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CCI_OG\Documents\Olivier\C+FOR\Ministère de la Transition écologique (MTECT)\CNPF C+for n° 181 Averton (MTECT n° 4)\"/>
    </mc:Choice>
  </mc:AlternateContent>
  <bookViews>
    <workbookView xWindow="0" yWindow="0" windowWidth="28800" windowHeight="12435" tabRatio="866" firstSheet="1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1" i="1" l="1"/>
  <c r="D230" i="1"/>
  <c r="B230" i="1"/>
  <c r="B229" i="1"/>
  <c r="D228" i="1"/>
  <c r="B228" i="1"/>
  <c r="B227" i="1"/>
  <c r="D226" i="1"/>
  <c r="B226" i="1"/>
  <c r="B225" i="1"/>
  <c r="D224" i="1"/>
  <c r="B224" i="1"/>
  <c r="B223" i="1"/>
  <c r="D222" i="1"/>
  <c r="B222" i="1"/>
  <c r="B221" i="1"/>
  <c r="B220" i="1"/>
  <c r="B219" i="1"/>
  <c r="B218" i="1"/>
  <c r="D142" i="1" l="1"/>
  <c r="B142" i="1"/>
  <c r="B141" i="1"/>
  <c r="D283" i="1"/>
  <c r="B283" i="1"/>
  <c r="B276" i="1"/>
  <c r="D275" i="1"/>
  <c r="B275" i="1"/>
  <c r="B274" i="1"/>
  <c r="D273" i="1"/>
  <c r="B273" i="1"/>
  <c r="B272" i="1"/>
  <c r="D271" i="1"/>
  <c r="B271" i="1"/>
  <c r="B270" i="1"/>
  <c r="D205" i="1" l="1"/>
  <c r="B205" i="1"/>
  <c r="B204" i="1"/>
  <c r="D203" i="1"/>
  <c r="B203" i="1"/>
  <c r="B202" i="1"/>
  <c r="D201" i="1"/>
  <c r="B201" i="1"/>
  <c r="B200" i="1"/>
  <c r="D199" i="1"/>
  <c r="B199" i="1"/>
  <c r="B198" i="1"/>
  <c r="D197" i="1"/>
  <c r="B197" i="1"/>
  <c r="B196" i="1"/>
  <c r="D195" i="1"/>
  <c r="B195" i="1"/>
  <c r="B194" i="1"/>
  <c r="D193" i="1"/>
  <c r="B193" i="1"/>
  <c r="B192" i="1"/>
  <c r="B127" i="1" l="1"/>
  <c r="D127" i="1" s="1"/>
  <c r="D125" i="1"/>
  <c r="B125" i="1"/>
  <c r="D123" i="1"/>
  <c r="B123" i="1"/>
  <c r="D121" i="1"/>
  <c r="B121" i="1"/>
  <c r="D119" i="1"/>
  <c r="B119" i="1"/>
  <c r="D117" i="1"/>
  <c r="B117" i="1"/>
  <c r="D115" i="1"/>
  <c r="B115" i="1"/>
  <c r="B179" i="1"/>
  <c r="D179" i="1" s="1"/>
  <c r="D177" i="1"/>
  <c r="B177" i="1"/>
  <c r="D175" i="1"/>
  <c r="B175" i="1"/>
  <c r="D173" i="1"/>
  <c r="B173" i="1"/>
  <c r="D171" i="1"/>
  <c r="B171" i="1"/>
  <c r="D169" i="1"/>
  <c r="B169" i="1"/>
  <c r="D167" i="1"/>
  <c r="B167" i="1"/>
  <c r="B251" i="1"/>
  <c r="D250" i="1"/>
  <c r="B250" i="1"/>
  <c r="B249" i="1"/>
  <c r="D248" i="1"/>
  <c r="B248" i="1"/>
  <c r="B247" i="1"/>
  <c r="D246" i="1"/>
  <c r="B246" i="1"/>
  <c r="B245" i="1"/>
  <c r="B95" i="1"/>
  <c r="D94" i="1"/>
  <c r="B94" i="1"/>
  <c r="B93" i="1"/>
  <c r="D92" i="1"/>
  <c r="B92" i="1"/>
  <c r="B91" i="1"/>
  <c r="D90" i="1"/>
  <c r="B90" i="1"/>
  <c r="B89" i="1"/>
  <c r="D73" i="1"/>
  <c r="B73" i="1"/>
  <c r="D72" i="1"/>
  <c r="B72" i="1"/>
  <c r="D71" i="1"/>
  <c r="B71" i="1"/>
  <c r="D70" i="1"/>
  <c r="B70" i="1"/>
  <c r="D69" i="1"/>
  <c r="B69" i="1"/>
  <c r="D68" i="1"/>
  <c r="B68" i="1"/>
  <c r="B67" i="1"/>
  <c r="D66" i="1"/>
  <c r="B66" i="1"/>
  <c r="B65" i="1"/>
  <c r="D64" i="1"/>
  <c r="B64" i="1"/>
  <c r="B63" i="1"/>
  <c r="B62" i="1"/>
  <c r="B46" i="1"/>
  <c r="D46" i="1" s="1"/>
  <c r="B45" i="1"/>
  <c r="D44" i="1"/>
  <c r="B44" i="1"/>
  <c r="D43" i="1"/>
  <c r="B43" i="1"/>
  <c r="D42" i="1"/>
  <c r="B42" i="1"/>
  <c r="D41" i="1"/>
  <c r="B41" i="1"/>
  <c r="D40" i="1"/>
  <c r="B40" i="1"/>
  <c r="B39" i="1"/>
  <c r="D38" i="1"/>
  <c r="B38" i="1"/>
  <c r="D37" i="1"/>
  <c r="B37" i="1"/>
  <c r="B36" i="1"/>
  <c r="C17" i="1" l="1"/>
  <c r="C14" i="1"/>
  <c r="C11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C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W7" i="2"/>
  <c r="EV7" i="2"/>
  <c r="EA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HH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HH14" i="2"/>
  <c r="EX14" i="2"/>
  <c r="EC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V18" i="2"/>
  <c r="EW18" i="2"/>
  <c r="EX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HH20" i="2"/>
  <c r="FS20" i="2"/>
  <c r="EV20" i="2"/>
  <c r="EW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HI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W22" i="2"/>
  <c r="HG22" i="2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HH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G28" i="2" l="1"/>
  <c r="HI28" i="2"/>
  <c r="FS28" i="2"/>
  <c r="EV28" i="2"/>
  <c r="EC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H33" i="2" l="1"/>
  <c r="HG33" i="2"/>
  <c r="EW33" i="2"/>
  <c r="EV33" i="2"/>
  <c r="EB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FQ35" i="2"/>
  <c r="CM35" i="2"/>
  <c r="EA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HI38" i="2"/>
  <c r="HH38" i="2"/>
  <c r="FS38" i="2"/>
  <c r="EX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V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HI43" i="2"/>
  <c r="EX43" i="2"/>
  <c r="DG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HI45" i="2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I48" i="2"/>
  <c r="HH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H57" i="2"/>
  <c r="HI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B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HI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HI62" i="2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X63" i="2"/>
  <c r="EB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C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HH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W78" i="2"/>
  <c r="EV78" i="2"/>
  <c r="EC78" i="2"/>
  <c r="EB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HI85" i="2"/>
  <c r="EV85" i="2"/>
  <c r="EW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EX87" i="2"/>
  <c r="EA87" i="2"/>
  <c r="EB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FQ95" i="2"/>
  <c r="EX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V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X107" i="2"/>
  <c r="EA107" i="2"/>
  <c r="EB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FQ112" i="2"/>
  <c r="EX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HI113" i="2"/>
  <c r="FS113" i="2"/>
  <c r="EX113" i="2"/>
  <c r="EW113" i="2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HH114" i="2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HI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HH118" i="2"/>
  <c r="FS118" i="2"/>
  <c r="FQ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FR120" i="2"/>
  <c r="FQ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FS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G130" i="2" l="1"/>
  <c r="HH130" i="2"/>
  <c r="HI130" i="2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FS132" i="2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HG140" i="2"/>
  <c r="FS140" i="2"/>
  <c r="FR140" i="2"/>
  <c r="EX140" i="2"/>
  <c r="EC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HH141" i="2"/>
  <c r="FS141" i="2"/>
  <c r="EB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HG144" i="2"/>
  <c r="FR144" i="2"/>
  <c r="EX144" i="2"/>
  <c r="EA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HH145" i="2"/>
  <c r="EX145" i="2"/>
  <c r="FR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HG146" i="2"/>
  <c r="HI146" i="2"/>
  <c r="FS146" i="2"/>
  <c r="FR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HG149" i="2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G150" i="2" l="1"/>
  <c r="HH150" i="2"/>
  <c r="HI150" i="2"/>
  <c r="FS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G154" i="2" l="1"/>
  <c r="HH154" i="2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J154" i="2" l="1"/>
  <c r="HH155" i="2"/>
  <c r="HG155" i="2"/>
  <c r="EY154" i="2"/>
  <c r="EW155" i="2"/>
  <c r="EX155" i="2"/>
  <c r="ED154" i="2"/>
  <c r="DI154" i="2"/>
  <c r="AC154" i="2"/>
  <c r="EA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AB156" i="2"/>
  <c r="HI156" i="2"/>
  <c r="HH156" i="2"/>
  <c r="HG156" i="2"/>
  <c r="FS156" i="2"/>
  <c r="EX156" i="2"/>
  <c r="ED155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HH157" i="2"/>
  <c r="EX157" i="2"/>
  <c r="EB157" i="2"/>
  <c r="EC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H158" i="2" l="1"/>
  <c r="HG158" i="2"/>
  <c r="EV158" i="2"/>
  <c r="EW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HI159" i="2"/>
  <c r="ED158" i="2"/>
  <c r="EC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HH160" i="2"/>
  <c r="HI160" i="2"/>
  <c r="FS160" i="2"/>
  <c r="ED159" i="2"/>
  <c r="EY159" i="2"/>
  <c r="EC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HH161" i="2"/>
  <c r="FS161" i="2"/>
  <c r="EX161" i="2"/>
  <c r="AB161" i="2"/>
  <c r="ED160" i="2"/>
  <c r="EB161" i="2"/>
  <c r="EA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HH162" i="2"/>
  <c r="DI161" i="2"/>
  <c r="EY161" i="2"/>
  <c r="EW162" i="2"/>
  <c r="ED161" i="2"/>
  <c r="EC162" i="2"/>
  <c r="EB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HG163" i="2"/>
  <c r="HI163" i="2"/>
  <c r="ED162" i="2"/>
  <c r="EV163" i="2"/>
  <c r="EB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HH164" i="2" l="1"/>
  <c r="HG164" i="2"/>
  <c r="FS164" i="2"/>
  <c r="FR164" i="2"/>
  <c r="EY163" i="2"/>
  <c r="EV164" i="2"/>
  <c r="EX164" i="2"/>
  <c r="ED163" i="2"/>
  <c r="DI163" i="2"/>
  <c r="EA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X165" i="2"/>
  <c r="EB165" i="2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FS166" i="2"/>
  <c r="ED165" i="2"/>
  <c r="CN165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HJ166" i="2"/>
  <c r="HI167" i="2"/>
  <c r="FR167" i="2"/>
  <c r="EX167" i="2"/>
  <c r="EY166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HI168" i="2"/>
  <c r="EV168" i="2"/>
  <c r="EW168" i="2"/>
  <c r="DG168" i="2"/>
  <c r="DI167" i="2"/>
  <c r="EB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Y168" i="2"/>
  <c r="EX169" i="2"/>
  <c r="EB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HI172" i="2"/>
  <c r="EY171" i="2"/>
  <c r="EV172" i="2"/>
  <c r="EW172" i="2"/>
  <c r="ED171" i="2"/>
  <c r="EA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W173" i="2"/>
  <c r="EX173" i="2"/>
  <c r="ED172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HI175" i="2" l="1"/>
  <c r="FS175" i="2"/>
  <c r="EW175" i="2"/>
  <c r="ED174" i="2"/>
  <c r="EB175" i="2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Y175" i="2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FQ177" i="2"/>
  <c r="FS177" i="2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G178" i="2" l="1"/>
  <c r="HH178" i="2"/>
  <c r="ED177" i="2"/>
  <c r="FS178" i="2"/>
  <c r="FQ178" i="2"/>
  <c r="EW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G179" i="2" l="1"/>
  <c r="HH179" i="2"/>
  <c r="HI179" i="2"/>
  <c r="EV179" i="2"/>
  <c r="ED178" i="2"/>
  <c r="EA179" i="2"/>
  <c r="EB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G180" i="2" l="1"/>
  <c r="HI180" i="2"/>
  <c r="EY179" i="2"/>
  <c r="EX180" i="2"/>
  <c r="ED179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D180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X182" i="2"/>
  <c r="EC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Y182" i="2"/>
  <c r="ED182" i="2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I185" i="2" l="1"/>
  <c r="HH185" i="2"/>
  <c r="HG185" i="2"/>
  <c r="ED184" i="2"/>
  <c r="EY184" i="2"/>
  <c r="EV185" i="2"/>
  <c r="EW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HG186" i="2"/>
  <c r="FS186" i="2"/>
  <c r="FR186" i="2"/>
  <c r="ED185" i="2"/>
  <c r="EW186" i="2"/>
  <c r="EA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HG187" i="2"/>
  <c r="EY186" i="2"/>
  <c r="EC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HH189" i="2"/>
  <c r="EY188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HH190" i="2"/>
  <c r="HG190" i="2"/>
  <c r="HJ189" i="2"/>
  <c r="EY189" i="2"/>
  <c r="EV190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HI191" i="2"/>
  <c r="ED190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G192" i="2" l="1"/>
  <c r="EY191" i="2"/>
  <c r="HI192" i="2"/>
  <c r="HH192" i="2"/>
  <c r="EV192" i="2"/>
  <c r="EW192" i="2"/>
  <c r="EB192" i="2"/>
  <c r="EC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HI193" i="2" l="1"/>
  <c r="FQ193" i="2"/>
  <c r="ED192" i="2"/>
  <c r="EY192" i="2"/>
  <c r="EX193" i="2"/>
  <c r="EA193" i="2"/>
  <c r="EB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HG194" i="2"/>
  <c r="FQ194" i="2"/>
  <c r="ED193" i="2"/>
  <c r="EB194" i="2"/>
  <c r="EA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G195" i="2" l="1"/>
  <c r="HI195" i="2"/>
  <c r="FQ195" i="2"/>
  <c r="ED194" i="2"/>
  <c r="EX195" i="2"/>
  <c r="EY194" i="2"/>
  <c r="AA195" i="2"/>
  <c r="EB195" i="2"/>
  <c r="EA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HH197" i="2"/>
  <c r="EY196" i="2"/>
  <c r="FS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W198" i="2"/>
  <c r="EV198" i="2"/>
  <c r="ED197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G199" i="2" l="1"/>
  <c r="HH199" i="2"/>
  <c r="FS199" i="2"/>
  <c r="EW199" i="2"/>
  <c r="EV199" i="2"/>
  <c r="EB199" i="2"/>
  <c r="EA199" i="2"/>
  <c r="HI199" i="2"/>
  <c r="HJ199" i="2" s="1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HJ200" i="2" l="1"/>
  <c r="HH201" i="2"/>
  <c r="ED200" i="2"/>
  <c r="HG201" i="2"/>
  <c r="FS201" i="2"/>
  <c r="DI200" i="2"/>
  <c r="EB201" i="2"/>
  <c r="EA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FS202" i="2"/>
  <c r="HH202" i="2"/>
  <c r="HG202" i="2"/>
  <c r="FR202" i="2"/>
  <c r="EY201" i="2"/>
  <c r="ED201" i="2"/>
  <c r="EX202" i="2"/>
  <c r="EW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81" i="2" a="1"/>
  <c r="GT181" i="2" s="1"/>
  <c r="GT133" i="2" a="1"/>
  <c r="GT133" i="2" s="1"/>
  <c r="GT33" i="2" a="1"/>
  <c r="GT33" i="2" s="1"/>
  <c r="GT147" i="2" a="1"/>
  <c r="GT147" i="2" s="1"/>
  <c r="GT102" i="2" a="1"/>
  <c r="GT102" i="2" s="1"/>
  <c r="GT11" i="2" a="1"/>
  <c r="GT11" i="2" s="1"/>
  <c r="EI198" i="2" a="1"/>
  <c r="EI198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44" i="2" a="1"/>
  <c r="FD44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AX200" i="2"/>
  <c r="GT121" i="2" l="1" a="1"/>
  <c r="GT121" i="2" s="1"/>
  <c r="GT122" i="2" a="1"/>
  <c r="GT122" i="2" s="1"/>
  <c r="GT51" i="2" a="1"/>
  <c r="GT51" i="2" s="1"/>
  <c r="GT68" i="2" a="1"/>
  <c r="GT68" i="2" s="1"/>
  <c r="GT152" i="2" a="1"/>
  <c r="GT152" i="2" s="1"/>
  <c r="GT184" i="2" a="1"/>
  <c r="GT184" i="2" s="1"/>
  <c r="GT115" i="2" a="1"/>
  <c r="GT115" i="2" s="1"/>
  <c r="EI153" i="2" a="1"/>
  <c r="EI153" i="2" s="1"/>
  <c r="EY202" i="2"/>
  <c r="EI166" i="2" a="1"/>
  <c r="EI166" i="2" s="1"/>
  <c r="HH203" i="2"/>
  <c r="FD59" i="2" a="1"/>
  <c r="FD59" i="2" s="1"/>
  <c r="FD21" i="2" a="1"/>
  <c r="FD21" i="2" s="1"/>
  <c r="FD48" i="2" a="1"/>
  <c r="FD48" i="2" s="1"/>
  <c r="FD144" i="2" a="1"/>
  <c r="FD144" i="2" s="1"/>
  <c r="FD188" i="2" a="1"/>
  <c r="FD188" i="2" s="1"/>
  <c r="FR203" i="2"/>
  <c r="AH151" i="2" a="1"/>
  <c r="AH151" i="2" s="1"/>
  <c r="AH62" i="2" a="1"/>
  <c r="AH62" i="2" s="1"/>
  <c r="AH199" i="2" a="1"/>
  <c r="AH199" i="2" s="1"/>
  <c r="AH19" i="2" a="1"/>
  <c r="AH19" i="2" s="1"/>
  <c r="AH90" i="2" a="1"/>
  <c r="AH90" i="2" s="1"/>
  <c r="AH166" i="2" a="1"/>
  <c r="AH166" i="2" s="1"/>
  <c r="AH92" i="2" a="1"/>
  <c r="AH92" i="2" s="1"/>
  <c r="AH163" i="2" a="1"/>
  <c r="AH163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CY24" i="2" l="1"/>
  <c r="FE107" i="2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CY73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CY81" i="2" l="1"/>
  <c r="CY91" i="2"/>
  <c r="CY202" i="2"/>
  <c r="CY72" i="2"/>
  <c r="CY62" i="2"/>
  <c r="CY94" i="2"/>
  <c r="CY106" i="2"/>
  <c r="CY70" i="2"/>
  <c r="CY76" i="2"/>
  <c r="CY151" i="2"/>
  <c r="CY122" i="2"/>
  <c r="CY67" i="2"/>
  <c r="CY167" i="2"/>
  <c r="CY44" i="2"/>
  <c r="CY10" i="2"/>
  <c r="CY164" i="2"/>
  <c r="CY117" i="2"/>
  <c r="CY155" i="2"/>
  <c r="CY57" i="2"/>
  <c r="CY125" i="2"/>
  <c r="CY3" i="2"/>
  <c r="C10" i="4" s="1"/>
  <c r="E10" i="4" s="1"/>
  <c r="F10" i="4" s="1"/>
  <c r="G10" i="4" s="1"/>
  <c r="L10" i="4" s="1"/>
  <c r="CY203" i="2"/>
  <c r="CY58" i="2"/>
  <c r="CY132" i="2"/>
  <c r="CY112" i="2"/>
  <c r="CY145" i="2"/>
  <c r="CY192" i="2"/>
  <c r="CY87" i="2"/>
  <c r="CY28" i="2"/>
  <c r="CY121" i="2"/>
  <c r="CY115" i="2"/>
  <c r="CY144" i="2"/>
  <c r="CY45" i="2"/>
  <c r="CY61" i="2"/>
  <c r="CY201" i="2"/>
  <c r="CY142" i="2"/>
  <c r="CY18" i="2"/>
  <c r="CY160" i="2"/>
  <c r="CY134" i="2"/>
  <c r="CY175" i="2"/>
  <c r="CY31" i="2"/>
  <c r="CY35" i="2"/>
  <c r="CY143" i="2"/>
  <c r="CY126" i="2"/>
  <c r="CY41" i="2"/>
  <c r="CY71" i="2"/>
  <c r="CY113" i="2"/>
  <c r="CY105" i="2"/>
  <c r="CY85" i="2"/>
  <c r="CY83" i="2"/>
  <c r="CY102" i="2"/>
  <c r="CY161" i="2"/>
  <c r="CY30" i="2"/>
  <c r="CY194" i="2"/>
  <c r="CY95" i="2"/>
  <c r="CY172" i="2"/>
  <c r="CY19" i="2"/>
  <c r="CY69" i="2"/>
  <c r="CY63" i="2"/>
  <c r="CY74" i="2"/>
  <c r="CY148" i="2"/>
  <c r="CY136" i="2"/>
  <c r="CY152" i="2"/>
  <c r="CY99" i="2"/>
  <c r="CY39" i="2"/>
  <c r="CY170" i="2"/>
  <c r="CY138" i="2"/>
  <c r="CY16" i="2"/>
  <c r="CY154" i="2"/>
  <c r="CY96" i="2"/>
  <c r="CY84" i="2"/>
  <c r="CY7" i="2"/>
  <c r="CY50" i="2"/>
  <c r="CY108" i="2"/>
  <c r="CY8" i="2"/>
  <c r="CY98" i="2"/>
  <c r="CY88" i="2"/>
  <c r="CY150" i="2"/>
  <c r="CY189" i="2"/>
  <c r="CY53" i="2"/>
  <c r="CY116" i="2"/>
  <c r="CY114" i="2"/>
  <c r="CY188" i="2"/>
  <c r="CY199" i="2"/>
  <c r="CY26" i="2"/>
  <c r="CY5" i="2"/>
  <c r="CY4" i="2"/>
  <c r="CY140" i="2"/>
  <c r="CY104" i="2"/>
  <c r="CY79" i="2"/>
  <c r="CY139" i="2"/>
  <c r="CY168" i="2"/>
  <c r="CY187" i="2"/>
  <c r="CY159" i="2"/>
  <c r="CY111" i="2"/>
  <c r="CY12" i="2"/>
  <c r="CY162" i="2"/>
  <c r="CY190" i="2"/>
  <c r="CY78" i="2"/>
  <c r="CY48" i="2"/>
  <c r="CY169" i="2"/>
  <c r="CY89" i="2"/>
  <c r="CY197" i="2"/>
  <c r="CY131" i="2"/>
  <c r="CY156" i="2"/>
  <c r="CY107" i="2"/>
  <c r="CY65" i="2"/>
  <c r="CY180" i="2"/>
  <c r="CY47" i="2"/>
  <c r="CY195" i="2"/>
  <c r="CY174" i="2"/>
  <c r="CY163" i="2"/>
  <c r="CY193" i="2"/>
  <c r="CY176" i="2"/>
  <c r="CY15" i="2"/>
  <c r="CY179" i="2"/>
  <c r="CY196" i="2"/>
  <c r="CY59" i="2"/>
  <c r="CY173" i="2"/>
  <c r="CY178" i="2"/>
  <c r="CY25" i="2"/>
  <c r="CY37" i="2"/>
  <c r="CY29" i="2"/>
  <c r="CY13" i="2"/>
  <c r="CY32" i="2"/>
  <c r="CY51" i="2"/>
  <c r="CY127" i="2"/>
  <c r="CY21" i="2"/>
  <c r="CY129" i="2"/>
  <c r="CY141" i="2"/>
  <c r="CY49" i="2"/>
  <c r="CY86" i="2"/>
  <c r="CY153" i="2"/>
  <c r="CY36" i="2"/>
  <c r="CY66" i="2"/>
  <c r="CY146" i="2"/>
  <c r="CY171" i="2"/>
  <c r="CY11" i="2"/>
  <c r="CY60" i="2"/>
  <c r="CY147" i="2"/>
  <c r="CY191" i="2"/>
  <c r="CY92" i="2"/>
  <c r="CY56" i="2"/>
  <c r="CY200" i="2"/>
  <c r="CY103" i="2"/>
  <c r="CY118" i="2"/>
  <c r="CY20" i="2"/>
  <c r="CY184" i="2"/>
  <c r="CY198" i="2"/>
  <c r="CY75" i="2"/>
  <c r="CY133" i="2"/>
  <c r="CY54" i="2"/>
  <c r="CY80" i="2"/>
  <c r="CY149" i="2"/>
  <c r="CY33" i="2"/>
  <c r="CY182" i="2"/>
  <c r="CY110" i="2"/>
  <c r="CY157" i="2"/>
  <c r="CY177" i="2"/>
  <c r="CY68" i="2"/>
  <c r="CY34" i="2"/>
  <c r="CY42" i="2"/>
  <c r="CY158" i="2"/>
  <c r="CY55" i="2"/>
  <c r="CY137" i="2"/>
  <c r="CY23" i="2"/>
  <c r="CY43" i="2"/>
  <c r="CY128" i="2"/>
  <c r="CY6" i="2"/>
  <c r="CY101" i="2"/>
  <c r="CY123" i="2"/>
  <c r="CY135" i="2"/>
  <c r="CY130" i="2"/>
  <c r="CY52" i="2"/>
  <c r="CY27" i="2"/>
  <c r="CY40" i="2"/>
  <c r="CY185" i="2"/>
  <c r="CY14" i="2"/>
  <c r="CY46" i="2"/>
  <c r="CY93" i="2"/>
  <c r="CY183" i="2"/>
  <c r="CY77" i="2"/>
  <c r="CY181" i="2"/>
  <c r="CY64" i="2"/>
  <c r="CY166" i="2"/>
  <c r="CY109" i="2"/>
  <c r="CY22" i="2"/>
  <c r="CY90" i="2"/>
  <c r="CY9" i="2"/>
  <c r="CY186" i="2"/>
  <c r="CY38" i="2"/>
  <c r="CY120" i="2"/>
  <c r="CY82" i="2"/>
  <c r="CY124" i="2"/>
  <c r="CY119" i="2"/>
  <c r="CY97" i="2"/>
  <c r="CY165" i="2"/>
  <c r="CY100" i="2"/>
  <c r="CY17" i="2"/>
  <c r="FE108" i="2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J162" i="2" l="1"/>
  <c r="FJ156" i="2"/>
  <c r="FJ16" i="2"/>
  <c r="FJ52" i="2"/>
  <c r="FJ19" i="2"/>
  <c r="FJ176" i="2"/>
  <c r="FJ193" i="2"/>
  <c r="FJ55" i="2"/>
  <c r="FJ112" i="2"/>
  <c r="FJ96" i="2"/>
  <c r="FJ135" i="2"/>
  <c r="FJ53" i="2"/>
  <c r="FJ59" i="2"/>
  <c r="FJ103" i="2"/>
  <c r="FJ113" i="2"/>
  <c r="FJ180" i="2"/>
  <c r="FJ127" i="2"/>
  <c r="FJ169" i="2"/>
  <c r="FJ126" i="2"/>
  <c r="FJ142" i="2"/>
  <c r="FJ175" i="2"/>
  <c r="FJ49" i="2"/>
  <c r="FJ22" i="2"/>
  <c r="FJ18" i="2"/>
  <c r="FJ123" i="2"/>
  <c r="FJ133" i="2"/>
  <c r="FJ202" i="2"/>
  <c r="FJ130" i="2"/>
  <c r="FJ111" i="2"/>
  <c r="FJ38" i="2"/>
  <c r="FJ41" i="2"/>
  <c r="FJ36" i="2"/>
  <c r="FJ30" i="2"/>
  <c r="FJ200" i="2"/>
  <c r="FJ99" i="2"/>
  <c r="FJ122" i="2"/>
  <c r="FJ168" i="2"/>
  <c r="FJ110" i="2"/>
  <c r="FJ184" i="2"/>
  <c r="FJ188" i="2"/>
  <c r="FJ65" i="2"/>
  <c r="FJ179" i="2"/>
  <c r="FJ137" i="2"/>
  <c r="FJ7" i="2"/>
  <c r="FJ92" i="2"/>
  <c r="FJ91" i="2"/>
  <c r="FJ131" i="2"/>
  <c r="FJ60" i="2"/>
  <c r="FJ163" i="2"/>
  <c r="FJ37" i="2"/>
  <c r="FJ74" i="2"/>
  <c r="FJ191" i="2"/>
  <c r="FJ139" i="2"/>
  <c r="FJ26" i="2"/>
  <c r="FJ34" i="2"/>
  <c r="FJ84" i="2"/>
  <c r="FJ89" i="2"/>
  <c r="FJ11" i="2"/>
  <c r="FJ13" i="2"/>
  <c r="FJ70" i="2"/>
  <c r="FJ177" i="2"/>
  <c r="FJ134" i="2"/>
  <c r="FJ69" i="2"/>
  <c r="FJ125" i="2"/>
  <c r="FJ71" i="2"/>
  <c r="FJ6" i="2"/>
  <c r="FJ79" i="2"/>
  <c r="FJ161" i="2"/>
  <c r="FJ198" i="2"/>
  <c r="FJ68" i="2"/>
  <c r="FJ171" i="2"/>
  <c r="FJ109" i="2"/>
  <c r="FJ203" i="2"/>
  <c r="FJ164" i="2"/>
  <c r="FJ167" i="2"/>
  <c r="FJ14" i="2"/>
  <c r="FJ172" i="2"/>
  <c r="FJ155" i="2"/>
  <c r="FJ148" i="2"/>
  <c r="FJ42" i="2"/>
  <c r="FJ114" i="2"/>
  <c r="FJ129" i="2"/>
  <c r="FJ102" i="2"/>
  <c r="FJ24" i="2"/>
  <c r="FJ86" i="2"/>
  <c r="FJ185" i="2"/>
  <c r="FJ165" i="2"/>
  <c r="FJ159" i="2"/>
  <c r="FJ25" i="2"/>
  <c r="FJ128" i="2"/>
  <c r="FJ187" i="2"/>
  <c r="FJ101" i="2"/>
  <c r="FJ132" i="2"/>
  <c r="FJ75" i="2"/>
  <c r="FJ157" i="2"/>
  <c r="FJ32" i="2"/>
  <c r="FJ43" i="2"/>
  <c r="FJ196" i="2"/>
  <c r="FJ154" i="2"/>
  <c r="FJ174" i="2"/>
  <c r="FJ160" i="2"/>
  <c r="FJ182" i="2"/>
  <c r="FJ39" i="2"/>
  <c r="FJ190" i="2"/>
  <c r="FJ90" i="2"/>
  <c r="FJ151" i="2"/>
  <c r="FJ81" i="2"/>
  <c r="FJ46" i="2"/>
  <c r="FJ17" i="2"/>
  <c r="FJ44" i="2"/>
  <c r="FJ31" i="2"/>
  <c r="FJ20" i="2"/>
  <c r="FJ189" i="2"/>
  <c r="FJ153" i="2"/>
  <c r="FJ146" i="2"/>
  <c r="FJ108" i="2"/>
  <c r="FJ136" i="2"/>
  <c r="FJ76" i="2"/>
  <c r="FJ98" i="2"/>
  <c r="FJ144" i="2"/>
  <c r="FJ57" i="2"/>
  <c r="FJ88" i="2"/>
  <c r="FJ67" i="2"/>
  <c r="FJ3" i="2"/>
  <c r="C13" i="4" s="1"/>
  <c r="E13" i="4" s="1"/>
  <c r="F13" i="4" s="1"/>
  <c r="G13" i="4" s="1"/>
  <c r="L13" i="4" s="1"/>
  <c r="FJ83" i="2"/>
  <c r="FJ5" i="2"/>
  <c r="FJ149" i="2"/>
  <c r="FJ120" i="2"/>
  <c r="FJ138" i="2"/>
  <c r="FJ173" i="2"/>
  <c r="FJ15" i="2"/>
  <c r="FJ23" i="2"/>
  <c r="FJ178" i="2"/>
  <c r="FJ29" i="2"/>
  <c r="FJ150" i="2"/>
  <c r="FJ119" i="2"/>
  <c r="FJ93" i="2"/>
  <c r="FJ9" i="2"/>
  <c r="FJ33" i="2"/>
  <c r="FJ45" i="2"/>
  <c r="FJ181" i="2"/>
  <c r="FJ40" i="2"/>
  <c r="FJ152" i="2"/>
  <c r="FJ87" i="2"/>
  <c r="FJ58" i="2"/>
  <c r="FJ21" i="2"/>
  <c r="FJ105" i="2"/>
  <c r="FJ8" i="2"/>
  <c r="FJ27" i="2"/>
  <c r="FJ118" i="2"/>
  <c r="FJ50" i="2"/>
  <c r="FJ54" i="2"/>
  <c r="FJ47" i="2"/>
  <c r="FJ66" i="2"/>
  <c r="FJ10" i="2"/>
  <c r="FJ116" i="2"/>
  <c r="FJ104" i="2"/>
  <c r="FJ199" i="2"/>
  <c r="FJ115" i="2"/>
  <c r="FJ192" i="2"/>
  <c r="FJ195" i="2"/>
  <c r="FJ143" i="2"/>
  <c r="FJ82" i="2"/>
  <c r="FJ140" i="2"/>
  <c r="FJ62" i="2"/>
  <c r="FJ72" i="2"/>
  <c r="FJ95" i="2"/>
  <c r="FJ80" i="2"/>
  <c r="FJ194" i="2"/>
  <c r="FJ197" i="2"/>
  <c r="FJ78" i="2"/>
  <c r="FJ97" i="2"/>
  <c r="FJ106" i="2"/>
  <c r="FJ48" i="2"/>
  <c r="FJ117" i="2"/>
  <c r="FJ100" i="2"/>
  <c r="FJ77" i="2"/>
  <c r="FJ61" i="2"/>
  <c r="FJ51" i="2"/>
  <c r="FJ186" i="2"/>
  <c r="FJ124" i="2"/>
  <c r="FJ64" i="2"/>
  <c r="FJ85" i="2"/>
  <c r="FJ145" i="2"/>
  <c r="FJ94" i="2"/>
  <c r="FJ201" i="2"/>
  <c r="FJ183" i="2"/>
  <c r="FJ28" i="2"/>
  <c r="FJ158" i="2"/>
  <c r="FJ121" i="2"/>
  <c r="FJ63" i="2"/>
  <c r="FJ35" i="2"/>
  <c r="FJ147" i="2"/>
  <c r="FJ141" i="2"/>
  <c r="FJ73" i="2"/>
  <c r="FJ166" i="2"/>
  <c r="FJ107" i="2"/>
  <c r="FJ56" i="2"/>
  <c r="FJ170" i="2"/>
  <c r="FJ4" i="2"/>
  <c r="FJ12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GE84" i="2" l="1"/>
  <c r="GE11" i="2"/>
  <c r="GE54" i="2"/>
  <c r="GE61" i="2"/>
  <c r="GE149" i="2"/>
  <c r="GE182" i="2"/>
  <c r="GE27" i="2"/>
  <c r="GE101" i="2"/>
  <c r="GE137" i="2"/>
  <c r="GE98" i="2"/>
  <c r="GE26" i="2"/>
  <c r="GE42" i="2"/>
  <c r="GE202" i="2"/>
  <c r="GE190" i="2"/>
  <c r="GE189" i="2"/>
  <c r="GE139" i="2"/>
  <c r="GE180" i="2"/>
  <c r="GE16" i="2"/>
  <c r="GE10" i="2"/>
  <c r="GE170" i="2"/>
  <c r="GE154" i="2"/>
  <c r="GE68" i="2"/>
  <c r="GE181" i="2"/>
  <c r="GE6" i="2"/>
  <c r="GE197" i="2"/>
  <c r="GE163" i="2"/>
  <c r="GE47" i="2"/>
  <c r="GE14" i="2"/>
  <c r="GE78" i="2"/>
  <c r="GE191" i="2"/>
  <c r="GE200" i="2"/>
  <c r="GE86" i="2"/>
  <c r="GE57" i="2"/>
  <c r="GE19" i="2"/>
  <c r="GE20" i="2"/>
  <c r="GE146" i="2"/>
  <c r="GE73" i="2"/>
  <c r="GE52" i="2"/>
  <c r="GE15" i="2"/>
  <c r="GE113" i="2"/>
  <c r="GE56" i="2"/>
  <c r="GE64" i="2"/>
  <c r="GE165" i="2"/>
  <c r="GE150" i="2"/>
  <c r="GE148" i="2"/>
  <c r="GE35" i="2"/>
  <c r="GE22" i="2"/>
  <c r="GE7" i="2"/>
  <c r="GE110" i="2"/>
  <c r="GE125" i="2"/>
  <c r="GE41" i="2"/>
  <c r="GE195" i="2"/>
  <c r="GE151" i="2"/>
  <c r="GE91" i="2"/>
  <c r="GE138" i="2"/>
  <c r="GE92" i="2"/>
  <c r="GE12" i="2"/>
  <c r="GE161" i="2"/>
  <c r="GE43" i="2"/>
  <c r="GE29" i="2"/>
  <c r="GE140" i="2"/>
  <c r="GE103" i="2"/>
  <c r="GE80" i="2"/>
  <c r="GE142" i="2"/>
  <c r="GE175" i="2"/>
  <c r="GE4" i="2"/>
  <c r="GE89" i="2"/>
  <c r="GE155" i="2"/>
  <c r="GE186" i="2"/>
  <c r="GE105" i="2"/>
  <c r="GE18" i="2"/>
  <c r="GE173" i="2"/>
  <c r="GE44" i="2"/>
  <c r="GE70" i="2"/>
  <c r="GE106" i="2"/>
  <c r="GE23" i="2"/>
  <c r="GE66" i="2"/>
  <c r="GE116" i="2"/>
  <c r="GE121" i="2"/>
  <c r="GE81" i="2"/>
  <c r="GE123" i="2"/>
  <c r="GE102" i="2"/>
  <c r="GE75" i="2"/>
  <c r="GE111" i="2"/>
  <c r="GE77" i="2"/>
  <c r="GE96" i="2"/>
  <c r="GE158" i="2"/>
  <c r="GE60" i="2"/>
  <c r="GE156" i="2"/>
  <c r="GE145" i="2"/>
  <c r="GE72" i="2"/>
  <c r="GE53" i="2"/>
  <c r="GE25" i="2"/>
  <c r="GE37" i="2"/>
  <c r="GE3" i="2"/>
  <c r="C14" i="4" s="1"/>
  <c r="E14" i="4" s="1"/>
  <c r="F14" i="4" s="1"/>
  <c r="G14" i="4" s="1"/>
  <c r="L14" i="4" s="1"/>
  <c r="GE83" i="2"/>
  <c r="GE141" i="2"/>
  <c r="GE104" i="2"/>
  <c r="GE107" i="2"/>
  <c r="GE162" i="2"/>
  <c r="GE82" i="2"/>
  <c r="GE112" i="2"/>
  <c r="GE50" i="2"/>
  <c r="GE28" i="2"/>
  <c r="GE185" i="2"/>
  <c r="GE51" i="2"/>
  <c r="GE108" i="2"/>
  <c r="GE201" i="2"/>
  <c r="GE143" i="2"/>
  <c r="GE126" i="2"/>
  <c r="GE164" i="2"/>
  <c r="GE132" i="2"/>
  <c r="GE119" i="2"/>
  <c r="GE134" i="2"/>
  <c r="GE21" i="2"/>
  <c r="GE17" i="2"/>
  <c r="GE45" i="2"/>
  <c r="GE192" i="2"/>
  <c r="GE169" i="2"/>
  <c r="GE33" i="2"/>
  <c r="GE65" i="2"/>
  <c r="GE30" i="2"/>
  <c r="GE95" i="2"/>
  <c r="GE97" i="2"/>
  <c r="GE39" i="2"/>
  <c r="GE88" i="2"/>
  <c r="GE144" i="2"/>
  <c r="GE128" i="2"/>
  <c r="GE179" i="2"/>
  <c r="GE166" i="2"/>
  <c r="GE67" i="2"/>
  <c r="GE198" i="2"/>
  <c r="GE187" i="2"/>
  <c r="GE24" i="2"/>
  <c r="GE115" i="2"/>
  <c r="GE183" i="2"/>
  <c r="GE194" i="2"/>
  <c r="GE177" i="2"/>
  <c r="GE124" i="2"/>
  <c r="GE130" i="2"/>
  <c r="GE133" i="2"/>
  <c r="GE63" i="2"/>
  <c r="GE74" i="2"/>
  <c r="GE178" i="2"/>
  <c r="GE129" i="2"/>
  <c r="GE87" i="2"/>
  <c r="GE36" i="2"/>
  <c r="GE160" i="2"/>
  <c r="GE48" i="2"/>
  <c r="GE118" i="2"/>
  <c r="GE100" i="2"/>
  <c r="GE69" i="2"/>
  <c r="GE32" i="2"/>
  <c r="GE62" i="2"/>
  <c r="GE40" i="2"/>
  <c r="GE135" i="2"/>
  <c r="GE193" i="2"/>
  <c r="GE157" i="2"/>
  <c r="GE188" i="2"/>
  <c r="GE114" i="2"/>
  <c r="GE94" i="2"/>
  <c r="GE172" i="2"/>
  <c r="GE171" i="2"/>
  <c r="GE13" i="2"/>
  <c r="GE176" i="2"/>
  <c r="GE127" i="2"/>
  <c r="GE79" i="2"/>
  <c r="GE159" i="2"/>
  <c r="GE203" i="2"/>
  <c r="GE147" i="2"/>
  <c r="GE76" i="2"/>
  <c r="GE90" i="2"/>
  <c r="GE71" i="2"/>
  <c r="GE34" i="2"/>
  <c r="GE85" i="2"/>
  <c r="GE196" i="2"/>
  <c r="GE5" i="2"/>
  <c r="GE199" i="2"/>
  <c r="GE131" i="2"/>
  <c r="GE122" i="2"/>
  <c r="GE31" i="2"/>
  <c r="GE8" i="2"/>
  <c r="GE38" i="2"/>
  <c r="GE58" i="2"/>
  <c r="GE184" i="2"/>
  <c r="GE136" i="2"/>
  <c r="GE93" i="2"/>
  <c r="GE153" i="2"/>
  <c r="GE46" i="2"/>
  <c r="GE152" i="2"/>
  <c r="GE55" i="2"/>
  <c r="GE174" i="2"/>
  <c r="GE99" i="2"/>
  <c r="GE167" i="2"/>
  <c r="GE120" i="2"/>
  <c r="GE59" i="2"/>
  <c r="GE168" i="2"/>
  <c r="GE109" i="2"/>
  <c r="GE117" i="2"/>
  <c r="GE9" i="2"/>
  <c r="GE49" i="2"/>
  <c r="GZ45" i="2"/>
  <c r="GZ40" i="2"/>
  <c r="GZ62" i="2"/>
  <c r="GZ14" i="2"/>
  <c r="GZ133" i="2"/>
  <c r="GZ189" i="2"/>
  <c r="GZ192" i="2"/>
  <c r="GZ112" i="2"/>
  <c r="GZ173" i="2"/>
  <c r="GZ43" i="2"/>
  <c r="GZ147" i="2"/>
  <c r="GZ149" i="2"/>
  <c r="GZ19" i="2"/>
  <c r="GZ46" i="2"/>
  <c r="GZ174" i="2"/>
  <c r="GZ105" i="2"/>
  <c r="GZ25" i="2"/>
  <c r="GZ152" i="2"/>
  <c r="GZ68" i="2"/>
  <c r="GZ124" i="2"/>
  <c r="GZ115" i="2"/>
  <c r="GZ39" i="2"/>
  <c r="GZ93" i="2"/>
  <c r="GZ86" i="2"/>
  <c r="GZ18" i="2"/>
  <c r="GZ187" i="2"/>
  <c r="GZ123" i="2"/>
  <c r="GZ107" i="2"/>
  <c r="GZ180" i="2"/>
  <c r="GZ31" i="2"/>
  <c r="GZ28" i="2"/>
  <c r="GZ72" i="2"/>
  <c r="GZ81" i="2"/>
  <c r="GZ198" i="2"/>
  <c r="GZ55" i="2"/>
  <c r="GZ44" i="2"/>
  <c r="GZ177" i="2"/>
  <c r="GZ10" i="2"/>
  <c r="GZ15" i="2"/>
  <c r="GZ140" i="2"/>
  <c r="GZ172" i="2"/>
  <c r="GZ29" i="2"/>
  <c r="GZ111" i="2"/>
  <c r="GZ143" i="2"/>
  <c r="GZ156" i="2"/>
  <c r="GZ90" i="2"/>
  <c r="GZ122" i="2"/>
  <c r="GZ127" i="2"/>
  <c r="GZ183" i="2"/>
  <c r="GZ85" i="2"/>
  <c r="GZ106" i="2"/>
  <c r="GZ32" i="2"/>
  <c r="GZ64" i="2"/>
  <c r="GZ69" i="2"/>
  <c r="GZ202" i="2"/>
  <c r="GZ203" i="2"/>
  <c r="GZ48" i="2"/>
  <c r="GZ165" i="2"/>
  <c r="GZ197" i="2"/>
  <c r="GZ131" i="2"/>
  <c r="GZ144" i="2"/>
  <c r="GZ176" i="2"/>
  <c r="GZ33" i="2"/>
  <c r="GZ51" i="2"/>
  <c r="GZ35" i="2"/>
  <c r="GZ160" i="2"/>
  <c r="GZ78" i="2"/>
  <c r="GZ110" i="2"/>
  <c r="GZ186" i="2"/>
  <c r="GZ179" i="2"/>
  <c r="GZ89" i="2"/>
  <c r="GZ60" i="2"/>
  <c r="GZ20" i="2"/>
  <c r="GZ52" i="2"/>
  <c r="GZ17" i="2"/>
  <c r="GZ190" i="2"/>
  <c r="GZ47" i="2"/>
  <c r="GZ169" i="2"/>
  <c r="GZ118" i="2"/>
  <c r="GZ150" i="2"/>
  <c r="GZ132" i="2"/>
  <c r="GZ153" i="2"/>
  <c r="GZ108" i="2"/>
  <c r="GZ103" i="2"/>
  <c r="GZ23" i="2"/>
  <c r="GZ92" i="2"/>
  <c r="GZ82" i="2"/>
  <c r="GZ201" i="2"/>
  <c r="GZ63" i="2"/>
  <c r="GZ67" i="2"/>
  <c r="GZ164" i="2"/>
  <c r="GZ42" i="2"/>
  <c r="GZ24" i="2"/>
  <c r="GZ135" i="2"/>
  <c r="GZ5" i="2"/>
  <c r="GZ194" i="2"/>
  <c r="GZ114" i="2"/>
  <c r="GZ175" i="2"/>
  <c r="GZ157" i="2"/>
  <c r="GZ77" i="2"/>
  <c r="GZ154" i="2"/>
  <c r="GZ136" i="2"/>
  <c r="GZ56" i="2"/>
  <c r="GZ117" i="2"/>
  <c r="GZ155" i="2"/>
  <c r="GZ195" i="2"/>
  <c r="GZ96" i="2"/>
  <c r="GZ70" i="2"/>
  <c r="GZ126" i="2"/>
  <c r="GZ37" i="2"/>
  <c r="GZ49" i="2"/>
  <c r="GZ168" i="2"/>
  <c r="GZ184" i="2"/>
  <c r="GZ12" i="2"/>
  <c r="GZ171" i="2"/>
  <c r="GZ8" i="2"/>
  <c r="GZ182" i="2"/>
  <c r="GZ102" i="2"/>
  <c r="GZ30" i="2"/>
  <c r="GZ161" i="2"/>
  <c r="GZ74" i="2"/>
  <c r="GZ9" i="2"/>
  <c r="GZ65" i="2"/>
  <c r="GZ128" i="2"/>
  <c r="GZ99" i="2"/>
  <c r="GZ95" i="2"/>
  <c r="GZ4" i="2"/>
  <c r="GZ109" i="2"/>
  <c r="GZ142" i="2"/>
  <c r="GZ151" i="2"/>
  <c r="GZ41" i="2"/>
  <c r="GZ121" i="2"/>
  <c r="GZ6" i="2"/>
  <c r="GZ158" i="2"/>
  <c r="GZ84" i="2"/>
  <c r="GZ116" i="2"/>
  <c r="GZ137" i="2"/>
  <c r="GZ193" i="2"/>
  <c r="GZ87" i="2"/>
  <c r="GZ100" i="2"/>
  <c r="GZ34" i="2"/>
  <c r="GZ66" i="2"/>
  <c r="GZ71" i="2"/>
  <c r="GZ196" i="2"/>
  <c r="GZ53" i="2"/>
  <c r="GZ50" i="2"/>
  <c r="GZ167" i="2"/>
  <c r="GZ199" i="2"/>
  <c r="GZ13" i="2"/>
  <c r="GZ146" i="2"/>
  <c r="GZ178" i="2"/>
  <c r="GZ11" i="2"/>
  <c r="GZ141" i="2"/>
  <c r="GZ162" i="2"/>
  <c r="GZ88" i="2"/>
  <c r="GZ120" i="2"/>
  <c r="GZ125" i="2"/>
  <c r="GZ181" i="2"/>
  <c r="GZ27" i="2"/>
  <c r="GZ104" i="2"/>
  <c r="GZ22" i="2"/>
  <c r="GZ54" i="2"/>
  <c r="GZ83" i="2"/>
  <c r="GZ200" i="2"/>
  <c r="GZ57" i="2"/>
  <c r="GZ38" i="2"/>
  <c r="GZ59" i="2"/>
  <c r="GZ163" i="2"/>
  <c r="GZ91" i="2"/>
  <c r="GZ134" i="2"/>
  <c r="GZ166" i="2"/>
  <c r="GZ75" i="2"/>
  <c r="GZ113" i="2"/>
  <c r="GZ16" i="2"/>
  <c r="GZ94" i="2"/>
  <c r="GZ76" i="2"/>
  <c r="GZ73" i="2"/>
  <c r="GZ129" i="2"/>
  <c r="GZ97" i="2"/>
  <c r="GZ36" i="2"/>
  <c r="GZ26" i="2"/>
  <c r="GZ145" i="2"/>
  <c r="GZ7" i="2"/>
  <c r="GZ188" i="2"/>
  <c r="GZ130" i="2"/>
  <c r="GZ185" i="2"/>
  <c r="GZ159" i="2"/>
  <c r="GZ79" i="2"/>
  <c r="GZ148" i="2"/>
  <c r="GZ138" i="2"/>
  <c r="GZ58" i="2"/>
  <c r="GZ119" i="2"/>
  <c r="GZ101" i="2"/>
  <c r="GZ21" i="2"/>
  <c r="GZ98" i="2"/>
  <c r="GZ80" i="2"/>
  <c r="GZ191" i="2"/>
  <c r="GZ61" i="2"/>
  <c r="GZ139" i="2"/>
  <c r="GZ170" i="2"/>
  <c r="GZ3" i="2"/>
  <c r="C15" i="4" s="1"/>
  <c r="E15" i="4" s="1"/>
  <c r="F15" i="4" s="1"/>
  <c r="G15" i="4" s="1"/>
  <c r="L15" i="4" s="1"/>
  <c r="CD60" i="2"/>
  <c r="CD70" i="2"/>
  <c r="CD103" i="2"/>
  <c r="CD33" i="2"/>
  <c r="CD124" i="2"/>
  <c r="CD9" i="2"/>
  <c r="CD165" i="2"/>
  <c r="CD84" i="2"/>
  <c r="CD125" i="2"/>
  <c r="CD15" i="2"/>
  <c r="CD158" i="2"/>
  <c r="CD119" i="2"/>
  <c r="CD172" i="2"/>
  <c r="CD58" i="2"/>
  <c r="CD44" i="2"/>
  <c r="CD47" i="2"/>
  <c r="CD108" i="2"/>
  <c r="CD180" i="2"/>
  <c r="CD105" i="2"/>
  <c r="CD25" i="2"/>
  <c r="CD118" i="2"/>
  <c r="CD28" i="2"/>
  <c r="CD170" i="2"/>
  <c r="CD82" i="2"/>
  <c r="CD29" i="2"/>
  <c r="CD191" i="2"/>
  <c r="CD27" i="2"/>
  <c r="CD72" i="2"/>
  <c r="CD102" i="2"/>
  <c r="CD147" i="2"/>
  <c r="CD151" i="2"/>
  <c r="CD98" i="2"/>
  <c r="CD139" i="2"/>
  <c r="CD143" i="2"/>
  <c r="CD176" i="2"/>
  <c r="CD96" i="2"/>
  <c r="CD126" i="2"/>
  <c r="CD190" i="2"/>
  <c r="CD184" i="2"/>
  <c r="CD80" i="2"/>
  <c r="CD19" i="2"/>
  <c r="CD155" i="2"/>
  <c r="CD138" i="2"/>
  <c r="CD107" i="2"/>
  <c r="CD163" i="2"/>
  <c r="CD168" i="2"/>
  <c r="CD120" i="2"/>
  <c r="CD197" i="2"/>
  <c r="CD196" i="2"/>
  <c r="CD145" i="2"/>
  <c r="CD46" i="2"/>
  <c r="CD123" i="2"/>
  <c r="CD159" i="2"/>
  <c r="CD62" i="2"/>
  <c r="CD154" i="2"/>
  <c r="CD41" i="2"/>
  <c r="CD77" i="2"/>
  <c r="CD88" i="2"/>
  <c r="CD194" i="2"/>
  <c r="CD18" i="2"/>
  <c r="CD17" i="2"/>
  <c r="CD4" i="2"/>
  <c r="CD50" i="2"/>
  <c r="CD146" i="2"/>
  <c r="CD115" i="2"/>
  <c r="CD141" i="2"/>
  <c r="CD174" i="2"/>
  <c r="CD6" i="2"/>
  <c r="CD150" i="2"/>
  <c r="CD32" i="2"/>
  <c r="CD164" i="2"/>
  <c r="CD200" i="2"/>
  <c r="CD111" i="2"/>
  <c r="CD129" i="2"/>
  <c r="CD132" i="2"/>
  <c r="CD85" i="2"/>
  <c r="CD181" i="2"/>
  <c r="CD133" i="2"/>
  <c r="CD175" i="2"/>
  <c r="CD149" i="2"/>
  <c r="CD74" i="2"/>
  <c r="CD55" i="2"/>
  <c r="CD99" i="2"/>
  <c r="CD64" i="2"/>
  <c r="CD8" i="2"/>
  <c r="CD135" i="2"/>
  <c r="CD61" i="2"/>
  <c r="CD22" i="2"/>
  <c r="CD39" i="2"/>
  <c r="CD56" i="2"/>
  <c r="CD26" i="2"/>
  <c r="CD106" i="2"/>
  <c r="CD7" i="2"/>
  <c r="CD192" i="2"/>
  <c r="CD148" i="2"/>
  <c r="CD87" i="2"/>
  <c r="CD137" i="2"/>
  <c r="CD89" i="2"/>
  <c r="CD188" i="2"/>
  <c r="CD93" i="2"/>
  <c r="CD91" i="2"/>
  <c r="CD16" i="2"/>
  <c r="CD100" i="2"/>
  <c r="CD127" i="2"/>
  <c r="CD169" i="2"/>
  <c r="CD110" i="2"/>
  <c r="CD66" i="2"/>
  <c r="CD113" i="2"/>
  <c r="CD179" i="2"/>
  <c r="CD142" i="2"/>
  <c r="CD130" i="2"/>
  <c r="CD76" i="2"/>
  <c r="CD152" i="2"/>
  <c r="CD116" i="2"/>
  <c r="CD48" i="2"/>
  <c r="CD83" i="2"/>
  <c r="CD144" i="2"/>
  <c r="CD195" i="2"/>
  <c r="CD182" i="2"/>
  <c r="CD36" i="2"/>
  <c r="CD12" i="2"/>
  <c r="CD43" i="2"/>
  <c r="CD193" i="2"/>
  <c r="CD94" i="2"/>
  <c r="CD160" i="2"/>
  <c r="CD178" i="2"/>
  <c r="CD81" i="2"/>
  <c r="CD13" i="2"/>
  <c r="CD131" i="2"/>
  <c r="CD140" i="2"/>
  <c r="CD52" i="2"/>
  <c r="CD68" i="2"/>
  <c r="CD49" i="2"/>
  <c r="CD38" i="2"/>
  <c r="CD104" i="2"/>
  <c r="CD30" i="2"/>
  <c r="CD78" i="2"/>
  <c r="CD156" i="2"/>
  <c r="CD35" i="2"/>
  <c r="CD54" i="2"/>
  <c r="CD198" i="2"/>
  <c r="CD10" i="2"/>
  <c r="CD201" i="2"/>
  <c r="CD37" i="2"/>
  <c r="CD90" i="2"/>
  <c r="CD24" i="2"/>
  <c r="CD189" i="2"/>
  <c r="CD161" i="2"/>
  <c r="CD97" i="2"/>
  <c r="CD117" i="2"/>
  <c r="CD67" i="2"/>
  <c r="CD79" i="2"/>
  <c r="CD134" i="2"/>
  <c r="CD185" i="2"/>
  <c r="CD173" i="2"/>
  <c r="CD166" i="2"/>
  <c r="CD112" i="2"/>
  <c r="CD86" i="2"/>
  <c r="CD153" i="2"/>
  <c r="CD65" i="2"/>
  <c r="CD183" i="2"/>
  <c r="CD57" i="2"/>
  <c r="CD114" i="2"/>
  <c r="CD69" i="2"/>
  <c r="CD167" i="2"/>
  <c r="CD40" i="2"/>
  <c r="CD203" i="2"/>
  <c r="CD109" i="2"/>
  <c r="CD14" i="2"/>
  <c r="CD101" i="2"/>
  <c r="CD157" i="2"/>
  <c r="CD177" i="2"/>
  <c r="CD5" i="2"/>
  <c r="CD122" i="2"/>
  <c r="CD73" i="2"/>
  <c r="CD20" i="2"/>
  <c r="CD42" i="2"/>
  <c r="CD51" i="2"/>
  <c r="CD92" i="2"/>
  <c r="CD95" i="2"/>
  <c r="CD136" i="2"/>
  <c r="CD202" i="2"/>
  <c r="CD3" i="2"/>
  <c r="C9" i="4" s="1"/>
  <c r="E9" i="4" s="1"/>
  <c r="F9" i="4" s="1"/>
  <c r="G9" i="4" s="1"/>
  <c r="L9" i="4" s="1"/>
  <c r="CD21" i="2"/>
  <c r="CD199" i="2"/>
  <c r="CD45" i="2"/>
  <c r="CD121" i="2"/>
  <c r="CD11" i="2"/>
  <c r="CD75" i="2"/>
  <c r="CD162" i="2"/>
  <c r="CD23" i="2"/>
  <c r="CD128" i="2"/>
  <c r="CD171" i="2"/>
  <c r="CD63" i="2"/>
  <c r="CD186" i="2"/>
  <c r="CD59" i="2"/>
  <c r="CD71" i="2"/>
  <c r="CD34" i="2"/>
  <c r="CD53" i="2"/>
  <c r="CD187" i="2"/>
  <c r="CD31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130" i="2"/>
  <c r="BI113" i="2"/>
  <c r="BI146" i="2"/>
  <c r="BI121" i="2"/>
  <c r="BI163" i="2"/>
  <c r="BI194" i="2"/>
  <c r="BI195" i="2"/>
  <c r="BI166" i="2"/>
  <c r="BI184" i="2"/>
  <c r="BI49" i="2"/>
  <c r="BI182" i="2"/>
  <c r="BI9" i="2"/>
  <c r="BI147" i="2"/>
  <c r="BI17" i="2"/>
  <c r="BI177" i="2"/>
  <c r="BI13" i="2"/>
  <c r="BI159" i="2"/>
  <c r="BI101" i="2"/>
  <c r="BI72" i="2"/>
  <c r="BI93" i="2"/>
  <c r="BI128" i="2"/>
  <c r="BI162" i="2"/>
  <c r="BI116" i="2"/>
  <c r="BI178" i="2"/>
  <c r="BI8" i="2"/>
  <c r="BI6" i="2"/>
  <c r="BI150" i="2"/>
  <c r="BI35" i="2"/>
  <c r="BI153" i="2"/>
  <c r="BI119" i="2"/>
  <c r="BI181" i="2"/>
  <c r="BI55" i="2"/>
  <c r="BI136" i="2"/>
  <c r="BI144" i="2"/>
  <c r="BI85" i="2"/>
  <c r="BI117" i="2"/>
  <c r="BI30" i="2"/>
  <c r="BI15" i="2"/>
  <c r="BI27" i="2"/>
  <c r="BI115" i="2"/>
  <c r="BI80" i="2"/>
  <c r="BI59" i="2"/>
  <c r="BI46" i="2"/>
  <c r="BI102" i="2"/>
  <c r="BI111" i="2"/>
  <c r="BI156" i="2"/>
  <c r="BI171" i="2"/>
  <c r="BI24" i="2"/>
  <c r="BI91" i="2"/>
  <c r="BI106" i="2"/>
  <c r="BI148" i="2"/>
  <c r="BI41" i="2"/>
  <c r="BI196" i="2"/>
  <c r="BI76" i="2"/>
  <c r="BI145" i="2"/>
  <c r="BI23" i="2"/>
  <c r="BI154" i="2"/>
  <c r="BI176" i="2"/>
  <c r="BI185" i="2"/>
  <c r="BI164" i="2"/>
  <c r="BI56" i="2"/>
  <c r="BI43" i="2"/>
  <c r="BI39" i="2"/>
  <c r="BI124" i="2"/>
  <c r="BI180" i="2"/>
  <c r="BI107" i="2"/>
  <c r="BI25" i="2"/>
  <c r="BI167" i="2"/>
  <c r="BI160" i="2"/>
  <c r="BI183" i="2"/>
  <c r="BI201" i="2"/>
  <c r="BI190" i="2"/>
  <c r="BI57" i="2"/>
  <c r="BI11" i="2"/>
  <c r="BI172" i="2"/>
  <c r="BI58" i="2"/>
  <c r="BI161" i="2"/>
  <c r="BI69" i="2"/>
  <c r="BI62" i="2"/>
  <c r="BI83" i="2"/>
  <c r="BI32" i="2"/>
  <c r="BI123" i="2"/>
  <c r="BI38" i="2"/>
  <c r="BI198" i="2"/>
  <c r="BI65" i="2"/>
  <c r="BI175" i="2"/>
  <c r="BI51" i="2"/>
  <c r="BI16" i="2"/>
  <c r="BI60" i="2"/>
  <c r="BI135" i="2"/>
  <c r="BI73" i="2"/>
  <c r="BI92" i="2"/>
  <c r="BI78" i="2"/>
  <c r="BI189" i="2"/>
  <c r="BI108" i="2"/>
  <c r="BI105" i="2"/>
  <c r="BI100" i="2"/>
  <c r="BI70" i="2"/>
  <c r="BI19" i="2"/>
  <c r="BI179" i="2"/>
  <c r="BI138" i="2"/>
  <c r="BI98" i="2"/>
  <c r="BI10" i="2"/>
  <c r="BI22" i="2"/>
  <c r="BI103" i="2"/>
  <c r="BI82" i="2"/>
  <c r="BI44" i="2"/>
  <c r="BI203" i="2"/>
  <c r="BI151" i="2"/>
  <c r="BI54" i="2"/>
  <c r="BI34" i="2"/>
  <c r="BI87" i="2"/>
  <c r="BI45" i="2"/>
  <c r="BI157" i="2"/>
  <c r="BI64" i="2"/>
  <c r="BI53" i="2"/>
  <c r="BI5" i="2"/>
  <c r="BI114" i="2"/>
  <c r="BI170" i="2"/>
  <c r="BI95" i="2"/>
  <c r="BI63" i="2"/>
  <c r="BI52" i="2"/>
  <c r="BI193" i="2"/>
  <c r="BI142" i="2"/>
  <c r="BI168" i="2"/>
  <c r="BI96" i="2"/>
  <c r="BI118" i="2"/>
  <c r="BI152" i="2"/>
  <c r="BI120" i="2"/>
  <c r="BI197" i="2"/>
  <c r="BI71" i="2"/>
  <c r="BI173" i="2"/>
  <c r="BI20" i="2"/>
  <c r="BI127" i="2"/>
  <c r="BI88" i="2"/>
  <c r="BI110" i="2"/>
  <c r="BI192" i="2"/>
  <c r="BI89" i="2"/>
  <c r="BI143" i="2"/>
  <c r="BI68" i="2"/>
  <c r="BI191" i="2"/>
  <c r="BI174" i="2"/>
  <c r="BI7" i="2"/>
  <c r="BI94" i="2"/>
  <c r="BI61" i="2"/>
  <c r="BI99" i="2"/>
  <c r="BI186" i="2"/>
  <c r="BI40" i="2"/>
  <c r="BI84" i="2"/>
  <c r="BI74" i="2"/>
  <c r="BI14" i="2"/>
  <c r="BI169" i="2"/>
  <c r="BI50" i="2"/>
  <c r="BI26" i="2"/>
  <c r="BI86" i="2"/>
  <c r="BI104" i="2"/>
  <c r="BI149" i="2"/>
  <c r="BI199" i="2"/>
  <c r="BI125" i="2"/>
  <c r="BI12" i="2"/>
  <c r="BI200" i="2"/>
  <c r="BI21" i="2"/>
  <c r="BI90" i="2"/>
  <c r="BI155" i="2"/>
  <c r="BI31" i="2"/>
  <c r="BI134" i="2"/>
  <c r="BI109" i="2"/>
  <c r="BI67" i="2"/>
  <c r="BI202" i="2"/>
  <c r="BI36" i="2"/>
  <c r="BI18" i="2"/>
  <c r="BI77" i="2"/>
  <c r="BI158" i="2"/>
  <c r="BI75" i="2"/>
  <c r="BI81" i="2"/>
  <c r="BI133" i="2"/>
  <c r="BI141" i="2"/>
  <c r="BI28" i="2"/>
  <c r="BI97" i="2"/>
  <c r="BI165" i="2"/>
  <c r="BI42" i="2"/>
  <c r="BI33" i="2"/>
  <c r="BI112" i="2"/>
  <c r="BI140" i="2"/>
  <c r="BI79" i="2"/>
  <c r="BI132" i="2"/>
  <c r="BI139" i="2"/>
  <c r="BI3" i="2"/>
  <c r="C8" i="4" s="1"/>
  <c r="E8" i="4" s="1"/>
  <c r="F8" i="4" s="1"/>
  <c r="G8" i="4" s="1"/>
  <c r="L8" i="4" s="1"/>
  <c r="BI126" i="2"/>
  <c r="BI4" i="2"/>
  <c r="BI187" i="2"/>
  <c r="BI66" i="2"/>
  <c r="BI29" i="2"/>
  <c r="BI37" i="2"/>
  <c r="BI131" i="2"/>
  <c r="BI122" i="2"/>
  <c r="BI137" i="2"/>
  <c r="BI188" i="2"/>
  <c r="BI48" i="2"/>
  <c r="BI129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<sst xmlns="http://schemas.openxmlformats.org/spreadsheetml/2006/main" count="1179" uniqueCount="324">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</sst>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1.8723031649007107</c:v>
                </c:pt>
                <c:pt idx="2">
                  <c:v>2.4119576082137919</c:v>
                </c:pt>
                <c:pt idx="3">
                  <c:v>3.1077875147547922</c:v>
                </c:pt>
                <c:pt idx="4">
                  <c:v>4.0051622306374703</c:v>
                </c:pt>
                <c:pt idx="5">
                  <c:v>5.1626778961505897</c:v>
                </c:pt>
                <c:pt idx="6">
                  <c:v>6.6560262423418139</c:v>
                </c:pt>
                <c:pt idx="7">
                  <c:v>8.5829984321267663</c:v>
                </c:pt>
                <c:pt idx="8">
                  <c:v>11.069957874647789</c:v>
                </c:pt>
                <c:pt idx="9">
                  <c:v>14.280214431149867</c:v>
                </c:pt>
                <c:pt idx="10">
                  <c:v>18.424860035282308</c:v>
                </c:pt>
                <c:pt idx="11">
                  <c:v>23.776791095098442</c:v>
                </c:pt>
                <c:pt idx="12">
                  <c:v>30.688857312292658</c:v>
                </c:pt>
                <c:pt idx="13">
                  <c:v>39.617354250979595</c:v>
                </c:pt>
                <c:pt idx="14">
                  <c:v>51.152436925971216</c:v>
                </c:pt>
                <c:pt idx="15">
                  <c:v>66.057498260618672</c:v>
                </c:pt>
                <c:pt idx="16">
                  <c:v>85.320161140728672</c:v>
                </c:pt>
                <c:pt idx="17">
                  <c:v>110.21831702865047</c:v>
                </c:pt>
                <c:pt idx="18">
                  <c:v>142.40566097813468</c:v>
                </c:pt>
                <c:pt idx="19">
                  <c:v>184.02249153410344</c:v>
                </c:pt>
                <c:pt idx="20">
                  <c:v>203.3007266873141</c:v>
                </c:pt>
                <c:pt idx="21">
                  <c:v>222.53665149290285</c:v>
                </c:pt>
                <c:pt idx="22">
                  <c:v>168.7566706161912</c:v>
                </c:pt>
                <c:pt idx="23">
                  <c:v>188.97408626306844</c:v>
                </c:pt>
                <c:pt idx="24">
                  <c:v>209.14106954499582</c:v>
                </c:pt>
                <c:pt idx="25">
                  <c:v>229.2631686584871</c:v>
                </c:pt>
                <c:pt idx="26">
                  <c:v>249.34487716008644</c:v>
                </c:pt>
                <c:pt idx="27">
                  <c:v>269.38990512338609</c:v>
                </c:pt>
                <c:pt idx="28">
                  <c:v>289.40136514946488</c:v>
                </c:pt>
                <c:pt idx="29">
                  <c:v>242.80327727023806</c:v>
                </c:pt>
                <c:pt idx="30">
                  <c:v>264.55540625187342</c:v>
                </c:pt>
                <c:pt idx="31">
                  <c:v>286.26720910143649</c:v>
                </c:pt>
                <c:pt idx="32">
                  <c:v>307.94217323717999</c:v>
                </c:pt>
                <c:pt idx="33">
                  <c:v>329.58325501039627</c:v>
                </c:pt>
                <c:pt idx="34">
                  <c:v>351.19299087374634</c:v>
                </c:pt>
                <c:pt idx="35">
                  <c:v>372.77357972834852</c:v>
                </c:pt>
                <c:pt idx="36">
                  <c:v>310.37056459620067</c:v>
                </c:pt>
                <c:pt idx="37">
                  <c:v>332.16291001549854</c:v>
                </c:pt>
                <c:pt idx="38">
                  <c:v>353.92374107920119</c:v>
                </c:pt>
                <c:pt idx="39">
                  <c:v>375.65526675033772</c:v>
                </c:pt>
                <c:pt idx="40">
                  <c:v>397.35941965516298</c:v>
                </c:pt>
                <c:pt idx="41">
                  <c:v>419.03790416885482</c:v>
                </c:pt>
                <c:pt idx="42">
                  <c:v>440.69223402870375</c:v>
                </c:pt>
                <c:pt idx="43">
                  <c:v>365.57312204300916</c:v>
                </c:pt>
                <c:pt idx="44">
                  <c:v>386.44458202636088</c:v>
                </c:pt>
                <c:pt idx="45">
                  <c:v>407.29156713376295</c:v>
                </c:pt>
                <c:pt idx="46">
                  <c:v>428.11550550227406</c:v>
                </c:pt>
                <c:pt idx="47">
                  <c:v>448.91767507952318</c:v>
                </c:pt>
                <c:pt idx="48">
                  <c:v>469.69922578809798</c:v>
                </c:pt>
                <c:pt idx="49">
                  <c:v>490.46119756343563</c:v>
                </c:pt>
                <c:pt idx="50">
                  <c:v>402.3588366856095</c:v>
                </c:pt>
                <c:pt idx="51">
                  <c:v>421.65245364552828</c:v>
                </c:pt>
                <c:pt idx="52">
                  <c:v>440.92706835035841</c:v>
                </c:pt>
                <c:pt idx="53">
                  <c:v>460.18362785912103</c:v>
                </c:pt>
                <c:pt idx="54">
                  <c:v>479.42299355003178</c:v>
                </c:pt>
                <c:pt idx="55">
                  <c:v>498.64595206966368</c:v>
                </c:pt>
                <c:pt idx="56">
                  <c:v>517.85322450630554</c:v>
                </c:pt>
                <c:pt idx="57">
                  <c:v>445.53319473983174</c:v>
                </c:pt>
                <c:pt idx="58">
                  <c:v>463.13961636412461</c:v>
                </c:pt>
                <c:pt idx="59">
                  <c:v>480.73176524290039</c:v>
                </c:pt>
                <c:pt idx="60">
                  <c:v>498.31023693169209</c:v>
                </c:pt>
                <c:pt idx="61">
                  <c:v>515.87558156393777</c:v>
                </c:pt>
                <c:pt idx="62">
                  <c:v>533.42830877562324</c:v>
                </c:pt>
                <c:pt idx="63">
                  <c:v>550.96889194826019</c:v>
                </c:pt>
                <c:pt idx="64">
                  <c:v>472.44484575319535</c:v>
                </c:pt>
                <c:pt idx="65">
                  <c:v>488.29251559091125</c:v>
                </c:pt>
                <c:pt idx="66">
                  <c:v>504.12927484272382</c:v>
                </c:pt>
                <c:pt idx="67">
                  <c:v>519.95551437581287</c:v>
                </c:pt>
                <c:pt idx="68">
                  <c:v>535.7715993334549</c:v>
                </c:pt>
                <c:pt idx="69">
                  <c:v>551.57787155305971</c:v>
                </c:pt>
                <c:pt idx="70">
                  <c:v>566.74332225455612</c:v>
                </c:pt>
                <c:pt idx="71">
                  <c:v>3.4554122145673649E-12</c:v>
                </c:pt>
                <c:pt idx="72">
                  <c:v>3.4554122145673649E-12</c:v>
                </c:pt>
                <c:pt idx="73">
                  <c:v>3.4554122145673649E-12</c:v>
                </c:pt>
                <c:pt idx="74">
                  <c:v>3.4554122145673649E-12</c:v>
                </c:pt>
                <c:pt idx="75">
                  <c:v>3.4554122145673649E-12</c:v>
                </c:pt>
                <c:pt idx="76">
                  <c:v>3.4554122145673649E-12</c:v>
                </c:pt>
                <c:pt idx="77">
                  <c:v>3.4554122145673649E-12</c:v>
                </c:pt>
                <c:pt idx="78">
                  <c:v>3.4554122145673649E-12</c:v>
                </c:pt>
                <c:pt idx="79">
                  <c:v>3.4554122145673649E-12</c:v>
                </c:pt>
                <c:pt idx="80">
                  <c:v>3.4554122145673649E-12</c:v>
                </c:pt>
                <c:pt idx="81">
                  <c:v>3.4554122145673649E-12</c:v>
                </c:pt>
                <c:pt idx="82">
                  <c:v>3.4554122145673649E-12</c:v>
                </c:pt>
                <c:pt idx="83">
                  <c:v>3.4554122145673649E-12</c:v>
                </c:pt>
                <c:pt idx="84">
                  <c:v>3.4554122145673649E-12</c:v>
                </c:pt>
                <c:pt idx="85">
                  <c:v>3.4554122145673649E-12</c:v>
                </c:pt>
                <c:pt idx="86">
                  <c:v>3.4554122145673649E-12</c:v>
                </c:pt>
                <c:pt idx="87">
                  <c:v>3.4554122145673649E-12</c:v>
                </c:pt>
                <c:pt idx="88">
                  <c:v>3.4554122145673649E-12</c:v>
                </c:pt>
                <c:pt idx="89">
                  <c:v>3.4554122145673649E-12</c:v>
                </c:pt>
                <c:pt idx="90">
                  <c:v>3.4554122145673649E-12</c:v>
                </c:pt>
                <c:pt idx="91">
                  <c:v>3.4554122145673649E-12</c:v>
                </c:pt>
                <c:pt idx="92">
                  <c:v>3.4554122145673649E-12</c:v>
                </c:pt>
                <c:pt idx="93">
                  <c:v>3.4554122145673649E-12</c:v>
                </c:pt>
                <c:pt idx="94">
                  <c:v>3.4554122145673649E-12</c:v>
                </c:pt>
                <c:pt idx="95">
                  <c:v>3.4554122145673649E-12</c:v>
                </c:pt>
                <c:pt idx="96">
                  <c:v>3.4554122145673649E-12</c:v>
                </c:pt>
                <c:pt idx="97">
                  <c:v>3.4554122145673649E-12</c:v>
                </c:pt>
                <c:pt idx="98">
                  <c:v>3.4554122145673649E-12</c:v>
                </c:pt>
                <c:pt idx="99">
                  <c:v>3.4554122145673649E-12</c:v>
                </c:pt>
                <c:pt idx="100">
                  <c:v>3.4554122145673649E-12</c:v>
                </c:pt>
                <c:pt idx="101">
                  <c:v>3.4554122145673649E-12</c:v>
                </c:pt>
                <c:pt idx="102">
                  <c:v>3.4554122145673649E-12</c:v>
                </c:pt>
                <c:pt idx="103">
                  <c:v>3.4554122145673649E-12</c:v>
                </c:pt>
                <c:pt idx="104">
                  <c:v>3.4554122145673649E-12</c:v>
                </c:pt>
                <c:pt idx="105">
                  <c:v>3.4554122145673649E-12</c:v>
                </c:pt>
                <c:pt idx="106">
                  <c:v>3.4554122145673649E-12</c:v>
                </c:pt>
                <c:pt idx="107">
                  <c:v>3.4554122145673649E-12</c:v>
                </c:pt>
                <c:pt idx="108">
                  <c:v>3.4554122145673649E-12</c:v>
                </c:pt>
                <c:pt idx="109">
                  <c:v>3.4554122145673649E-12</c:v>
                </c:pt>
                <c:pt idx="110">
                  <c:v>3.4554122145673649E-12</c:v>
                </c:pt>
                <c:pt idx="111">
                  <c:v>3.4554122145673649E-12</c:v>
                </c:pt>
                <c:pt idx="112">
                  <c:v>3.4554122145673649E-12</c:v>
                </c:pt>
                <c:pt idx="113">
                  <c:v>3.4554122145673649E-12</c:v>
                </c:pt>
                <c:pt idx="114">
                  <c:v>3.4554122145673649E-12</c:v>
                </c:pt>
                <c:pt idx="115">
                  <c:v>3.4554122145673649E-12</c:v>
                </c:pt>
                <c:pt idx="116">
                  <c:v>3.4554122145673649E-12</c:v>
                </c:pt>
                <c:pt idx="117">
                  <c:v>3.4554122145673649E-12</c:v>
                </c:pt>
                <c:pt idx="118">
                  <c:v>3.4554122145673649E-12</c:v>
                </c:pt>
                <c:pt idx="119">
                  <c:v>3.4554122145673649E-12</c:v>
                </c:pt>
                <c:pt idx="120">
                  <c:v>3.4554122145673649E-12</c:v>
                </c:pt>
                <c:pt idx="121">
                  <c:v>3.4554122145673649E-12</c:v>
                </c:pt>
                <c:pt idx="122">
                  <c:v>3.4554122145673649E-12</c:v>
                </c:pt>
                <c:pt idx="123">
                  <c:v>3.4554122145673649E-12</c:v>
                </c:pt>
                <c:pt idx="124">
                  <c:v>3.4554122145673649E-12</c:v>
                </c:pt>
                <c:pt idx="125">
                  <c:v>3.4554122145673649E-12</c:v>
                </c:pt>
                <c:pt idx="126">
                  <c:v>3.4554122145673649E-12</c:v>
                </c:pt>
                <c:pt idx="127">
                  <c:v>3.4554122145673649E-12</c:v>
                </c:pt>
                <c:pt idx="128">
                  <c:v>3.4554122145673649E-12</c:v>
                </c:pt>
                <c:pt idx="129">
                  <c:v>3.4554122145673649E-12</c:v>
                </c:pt>
                <c:pt idx="130">
                  <c:v>3.4554122145673649E-12</c:v>
                </c:pt>
                <c:pt idx="131">
                  <c:v>3.4554122145673649E-12</c:v>
                </c:pt>
                <c:pt idx="132">
                  <c:v>3.4554122145673649E-12</c:v>
                </c:pt>
                <c:pt idx="133">
                  <c:v>3.4554122145673649E-12</c:v>
                </c:pt>
                <c:pt idx="134">
                  <c:v>3.4554122145673649E-12</c:v>
                </c:pt>
                <c:pt idx="135">
                  <c:v>3.4554122145673649E-12</c:v>
                </c:pt>
                <c:pt idx="136">
                  <c:v>3.4554122145673649E-12</c:v>
                </c:pt>
                <c:pt idx="137">
                  <c:v>3.4554122145673649E-12</c:v>
                </c:pt>
                <c:pt idx="138">
                  <c:v>3.4554122145673649E-12</c:v>
                </c:pt>
                <c:pt idx="139">
                  <c:v>3.4554122145673649E-12</c:v>
                </c:pt>
                <c:pt idx="140">
                  <c:v>3.4554122145673649E-12</c:v>
                </c:pt>
                <c:pt idx="141">
                  <c:v>3.4554122145673649E-12</c:v>
                </c:pt>
                <c:pt idx="142">
                  <c:v>3.4554122145673649E-12</c:v>
                </c:pt>
                <c:pt idx="143">
                  <c:v>3.4554122145673649E-12</c:v>
                </c:pt>
                <c:pt idx="144">
                  <c:v>3.4554122145673649E-12</c:v>
                </c:pt>
                <c:pt idx="145">
                  <c:v>3.4554122145673649E-12</c:v>
                </c:pt>
                <c:pt idx="146">
                  <c:v>3.4554122145673649E-12</c:v>
                </c:pt>
                <c:pt idx="147">
                  <c:v>3.4554122145673649E-12</c:v>
                </c:pt>
                <c:pt idx="148">
                  <c:v>3.4554122145673649E-12</c:v>
                </c:pt>
                <c:pt idx="149">
                  <c:v>3.4554122145673649E-12</c:v>
                </c:pt>
                <c:pt idx="150">
                  <c:v>3.4554122145673649E-12</c:v>
                </c:pt>
                <c:pt idx="151">
                  <c:v>3.4554122145673649E-12</c:v>
                </c:pt>
                <c:pt idx="152">
                  <c:v>3.4554122145673649E-12</c:v>
                </c:pt>
                <c:pt idx="153">
                  <c:v>3.4554122145673649E-12</c:v>
                </c:pt>
                <c:pt idx="154">
                  <c:v>3.4554122145673649E-12</c:v>
                </c:pt>
                <c:pt idx="155">
                  <c:v>3.4554122145673649E-12</c:v>
                </c:pt>
                <c:pt idx="156">
                  <c:v>3.4554122145673649E-12</c:v>
                </c:pt>
                <c:pt idx="157">
                  <c:v>3.4554122145673649E-12</c:v>
                </c:pt>
                <c:pt idx="158">
                  <c:v>3.4554122145673649E-12</c:v>
                </c:pt>
                <c:pt idx="159">
                  <c:v>3.4554122145673649E-12</c:v>
                </c:pt>
                <c:pt idx="160">
                  <c:v>3.4554122145673649E-12</c:v>
                </c:pt>
                <c:pt idx="161">
                  <c:v>3.4554122145673649E-12</c:v>
                </c:pt>
                <c:pt idx="162">
                  <c:v>3.4554122145673649E-12</c:v>
                </c:pt>
                <c:pt idx="163">
                  <c:v>3.4554122145673649E-12</c:v>
                </c:pt>
                <c:pt idx="164">
                  <c:v>3.4554122145673649E-12</c:v>
                </c:pt>
                <c:pt idx="165">
                  <c:v>3.4554122145673649E-12</c:v>
                </c:pt>
                <c:pt idx="166">
                  <c:v>3.4554122145673649E-12</c:v>
                </c:pt>
                <c:pt idx="167">
                  <c:v>3.4554122145673649E-12</c:v>
                </c:pt>
                <c:pt idx="168">
                  <c:v>3.4554122145673649E-12</c:v>
                </c:pt>
                <c:pt idx="169">
                  <c:v>3.4554122145673649E-12</c:v>
                </c:pt>
                <c:pt idx="170">
                  <c:v>3.4554122145673649E-12</c:v>
                </c:pt>
                <c:pt idx="171">
                  <c:v>3.4554122145673649E-12</c:v>
                </c:pt>
                <c:pt idx="172">
                  <c:v>3.4554122145673649E-12</c:v>
                </c:pt>
                <c:pt idx="173">
                  <c:v>3.4554122145673649E-12</c:v>
                </c:pt>
                <c:pt idx="174">
                  <c:v>3.4554122145673649E-12</c:v>
                </c:pt>
                <c:pt idx="175">
                  <c:v>3.4554122145673649E-12</c:v>
                </c:pt>
                <c:pt idx="176">
                  <c:v>3.4554122145673649E-12</c:v>
                </c:pt>
                <c:pt idx="177">
                  <c:v>3.4554122145673649E-12</c:v>
                </c:pt>
                <c:pt idx="178">
                  <c:v>3.4554122145673649E-12</c:v>
                </c:pt>
                <c:pt idx="179">
                  <c:v>3.4554122145673649E-12</c:v>
                </c:pt>
                <c:pt idx="180">
                  <c:v>3.4554122145673649E-12</c:v>
                </c:pt>
                <c:pt idx="181">
                  <c:v>3.4554122145673649E-12</c:v>
                </c:pt>
                <c:pt idx="182">
                  <c:v>3.4554122145673649E-12</c:v>
                </c:pt>
                <c:pt idx="183">
                  <c:v>3.4554122145673649E-12</c:v>
                </c:pt>
                <c:pt idx="184">
                  <c:v>3.4554122145673649E-12</c:v>
                </c:pt>
                <c:pt idx="185">
                  <c:v>3.4554122145673649E-12</c:v>
                </c:pt>
                <c:pt idx="186">
                  <c:v>3.4554122145673649E-12</c:v>
                </c:pt>
                <c:pt idx="187">
                  <c:v>3.4554122145673649E-12</c:v>
                </c:pt>
                <c:pt idx="188">
                  <c:v>3.4554122145673649E-12</c:v>
                </c:pt>
                <c:pt idx="189">
                  <c:v>3.4554122145673649E-12</c:v>
                </c:pt>
                <c:pt idx="190">
                  <c:v>3.4554122145673649E-12</c:v>
                </c:pt>
                <c:pt idx="191">
                  <c:v>3.4554122145673649E-12</c:v>
                </c:pt>
                <c:pt idx="192">
                  <c:v>3.4554122145673649E-12</c:v>
                </c:pt>
                <c:pt idx="193">
                  <c:v>3.4554122145673649E-12</c:v>
                </c:pt>
                <c:pt idx="194">
                  <c:v>3.4554122145673649E-12</c:v>
                </c:pt>
                <c:pt idx="195">
                  <c:v>3.4554122145673649E-12</c:v>
                </c:pt>
                <c:pt idx="196">
                  <c:v>3.4554122145673649E-12</c:v>
                </c:pt>
                <c:pt idx="197">
                  <c:v>3.4554122145673649E-12</c:v>
                </c:pt>
                <c:pt idx="198">
                  <c:v>3.4554122145673649E-12</c:v>
                </c:pt>
                <c:pt idx="199">
                  <c:v>3.4554122145673649E-12</c:v>
                </c:pt>
                <c:pt idx="200">
                  <c:v>3.4554122145673649E-12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47723584"/>
        <c:axId val="-1147730656"/>
      </c:scatterChart>
      <c:valAx>
        <c:axId val="-114772358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30656"/>
        <c:crosses val="autoZero"/>
        <c:crossBetween val="midCat"/>
      </c:valAx>
      <c:valAx>
        <c:axId val="-114773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23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2.226622737697221</c:v>
                </c:pt>
                <c:pt idx="2">
                  <c:v>2.8625265097424397</c:v>
                </c:pt>
                <c:pt idx="3">
                  <c:v>3.6807673232046039</c:v>
                </c:pt>
                <c:pt idx="4">
                  <c:v>4.7338249191760466</c:v>
                </c:pt>
                <c:pt idx="5">
                  <c:v>6.0893366647592657</c:v>
                </c:pt>
                <c:pt idx="6">
                  <c:v>7.8344897360718626</c:v>
                </c:pt>
                <c:pt idx="7">
                  <c:v>10.081689817520575</c:v>
                </c:pt>
                <c:pt idx="8">
                  <c:v>12.975878330143091</c:v>
                </c:pt>
                <c:pt idx="9">
                  <c:v>16.70397888629628</c:v>
                </c:pt>
                <c:pt idx="10">
                  <c:v>21.507094176298665</c:v>
                </c:pt>
                <c:pt idx="11">
                  <c:v>27.696256162013025</c:v>
                </c:pt>
                <c:pt idx="12">
                  <c:v>35.672767364515572</c:v>
                </c:pt>
                <c:pt idx="13">
                  <c:v>45.954474822239945</c:v>
                </c:pt>
                <c:pt idx="14">
                  <c:v>59.209711195430032</c:v>
                </c:pt>
                <c:pt idx="15">
                  <c:v>76.301145689172856</c:v>
                </c:pt>
                <c:pt idx="16">
                  <c:v>88.457340034120918</c:v>
                </c:pt>
                <c:pt idx="17">
                  <c:v>100.57156022593183</c:v>
                </c:pt>
                <c:pt idx="18">
                  <c:v>112.64958590196655</c:v>
                </c:pt>
                <c:pt idx="19">
                  <c:v>124.69585112217392</c:v>
                </c:pt>
                <c:pt idx="20">
                  <c:v>136.71386058122562</c:v>
                </c:pt>
                <c:pt idx="21">
                  <c:v>113.40336758500625</c:v>
                </c:pt>
                <c:pt idx="22">
                  <c:v>125.82369159890273</c:v>
                </c:pt>
                <c:pt idx="23">
                  <c:v>138.21427227726235</c:v>
                </c:pt>
                <c:pt idx="24">
                  <c:v>150.57815464878283</c:v>
                </c:pt>
                <c:pt idx="25">
                  <c:v>162.91784180635725</c:v>
                </c:pt>
                <c:pt idx="26">
                  <c:v>174.6759892646526</c:v>
                </c:pt>
                <c:pt idx="27">
                  <c:v>186.41554721296791</c:v>
                </c:pt>
                <c:pt idx="28">
                  <c:v>198.13785215720918</c:v>
                </c:pt>
                <c:pt idx="29">
                  <c:v>209.8440693666619</c:v>
                </c:pt>
                <c:pt idx="30">
                  <c:v>221.53522335108485</c:v>
                </c:pt>
                <c:pt idx="31">
                  <c:v>185.2982570323903</c:v>
                </c:pt>
                <c:pt idx="32">
                  <c:v>196.46424765821197</c:v>
                </c:pt>
                <c:pt idx="33">
                  <c:v>207.61550464114839</c:v>
                </c:pt>
                <c:pt idx="34">
                  <c:v>218.7529314533075</c:v>
                </c:pt>
                <c:pt idx="35">
                  <c:v>229.8773319666974</c:v>
                </c:pt>
                <c:pt idx="36">
                  <c:v>240.24898910471029</c:v>
                </c:pt>
                <c:pt idx="37">
                  <c:v>250.61045481310325</c:v>
                </c:pt>
                <c:pt idx="38">
                  <c:v>260.96221015972299</c:v>
                </c:pt>
                <c:pt idx="39">
                  <c:v>271.30469489980919</c:v>
                </c:pt>
                <c:pt idx="40">
                  <c:v>281.63831249761358</c:v>
                </c:pt>
                <c:pt idx="41">
                  <c:v>241.5447193683236</c:v>
                </c:pt>
                <c:pt idx="42">
                  <c:v>251.35018250509077</c:v>
                </c:pt>
                <c:pt idx="43">
                  <c:v>261.14697743122923</c:v>
                </c:pt>
                <c:pt idx="44">
                  <c:v>270.93547543188362</c:v>
                </c:pt>
                <c:pt idx="45">
                  <c:v>280.71601875158382</c:v>
                </c:pt>
                <c:pt idx="46">
                  <c:v>289.75160586553034</c:v>
                </c:pt>
                <c:pt idx="47">
                  <c:v>298.78089686477716</c:v>
                </c:pt>
                <c:pt idx="48">
                  <c:v>307.80410900253173</c:v>
                </c:pt>
                <c:pt idx="49">
                  <c:v>316.82144574470937</c:v>
                </c:pt>
                <c:pt idx="50">
                  <c:v>325.8330980209808</c:v>
                </c:pt>
                <c:pt idx="51">
                  <c:v>287.17066187581446</c:v>
                </c:pt>
                <c:pt idx="52">
                  <c:v>295.46473202474721</c:v>
                </c:pt>
                <c:pt idx="53">
                  <c:v>303.75360952955964</c:v>
                </c:pt>
                <c:pt idx="54">
                  <c:v>312.03745619949137</c:v>
                </c:pt>
                <c:pt idx="55">
                  <c:v>320.31642454362617</c:v>
                </c:pt>
                <c:pt idx="56">
                  <c:v>328.03918745937807</c:v>
                </c:pt>
                <c:pt idx="57">
                  <c:v>335.75793717547276</c:v>
                </c:pt>
                <c:pt idx="58">
                  <c:v>343.47277904595654</c:v>
                </c:pt>
                <c:pt idx="59">
                  <c:v>351.1838133017921</c:v>
                </c:pt>
                <c:pt idx="60">
                  <c:v>358.89113540947909</c:v>
                </c:pt>
                <c:pt idx="61">
                  <c:v>323.07502170283419</c:v>
                </c:pt>
                <c:pt idx="62">
                  <c:v>330.42874810515195</c:v>
                </c:pt>
                <c:pt idx="63">
                  <c:v>337.77886455023247</c:v>
                </c:pt>
                <c:pt idx="64">
                  <c:v>345.12546074519736</c:v>
                </c:pt>
                <c:pt idx="65">
                  <c:v>352.46862226287652</c:v>
                </c:pt>
                <c:pt idx="66">
                  <c:v>359.62497583302707</c:v>
                </c:pt>
                <c:pt idx="67">
                  <c:v>366.77821443674179</c:v>
                </c:pt>
                <c:pt idx="68">
                  <c:v>373.92840744681308</c:v>
                </c:pt>
                <c:pt idx="69">
                  <c:v>381.0756213642569</c:v>
                </c:pt>
                <c:pt idx="70">
                  <c:v>388.21991999001654</c:v>
                </c:pt>
                <c:pt idx="71">
                  <c:v>355.40494358786822</c:v>
                </c:pt>
                <c:pt idx="72">
                  <c:v>362.00973132142713</c:v>
                </c:pt>
                <c:pt idx="73">
                  <c:v>368.61188489876866</c:v>
                </c:pt>
                <c:pt idx="74">
                  <c:v>375.21145820009173</c:v>
                </c:pt>
                <c:pt idx="75">
                  <c:v>381.80850305381119</c:v>
                </c:pt>
                <c:pt idx="76">
                  <c:v>387.85361564101663</c:v>
                </c:pt>
                <c:pt idx="77">
                  <c:v>393.89668264259575</c:v>
                </c:pt>
                <c:pt idx="78">
                  <c:v>399.93773989825166</c:v>
                </c:pt>
                <c:pt idx="79">
                  <c:v>405.97682207564725</c:v>
                </c:pt>
                <c:pt idx="80">
                  <c:v>412.01396272598703</c:v>
                </c:pt>
                <c:pt idx="81">
                  <c:v>380.34270900980056</c:v>
                </c:pt>
                <c:pt idx="82">
                  <c:v>386.2051529766095</c:v>
                </c:pt>
                <c:pt idx="83">
                  <c:v>392.06566407054515</c:v>
                </c:pt>
                <c:pt idx="84">
                  <c:v>397.9242752879988</c:v>
                </c:pt>
                <c:pt idx="85">
                  <c:v>403.78101857356387</c:v>
                </c:pt>
                <c:pt idx="86">
                  <c:v>409.27004647130326</c:v>
                </c:pt>
                <c:pt idx="87">
                  <c:v>414.75748456475031</c:v>
                </c:pt>
                <c:pt idx="88">
                  <c:v>420.24335687514667</c:v>
                </c:pt>
                <c:pt idx="89">
                  <c:v>425.72768674484382</c:v>
                </c:pt>
                <c:pt idx="90">
                  <c:v>431.21049686518558</c:v>
                </c:pt>
                <c:pt idx="91">
                  <c:v>401.76797181151136</c:v>
                </c:pt>
                <c:pt idx="92">
                  <c:v>407.07462745738621</c:v>
                </c:pt>
                <c:pt idx="93">
                  <c:v>412.37978836079861</c:v>
                </c:pt>
                <c:pt idx="94">
                  <c:v>417.6834764831122</c:v>
                </c:pt>
                <c:pt idx="95">
                  <c:v>422.98571318193194</c:v>
                </c:pt>
                <c:pt idx="96">
                  <c:v>428.10375641326408</c:v>
                </c:pt>
                <c:pt idx="97">
                  <c:v>433.22048417506704</c:v>
                </c:pt>
                <c:pt idx="98">
                  <c:v>438.33591421069946</c:v>
                </c:pt>
                <c:pt idx="99">
                  <c:v>443.45006381522575</c:v>
                </c:pt>
                <c:pt idx="100">
                  <c:v>448.56294985189817</c:v>
                </c:pt>
                <c:pt idx="101">
                  <c:v>421.15751834664781</c:v>
                </c:pt>
                <c:pt idx="102">
                  <c:v>425.72768674484382</c:v>
                </c:pt>
                <c:pt idx="103">
                  <c:v>430.29679977258542</c:v>
                </c:pt>
                <c:pt idx="104">
                  <c:v>434.86487022897177</c:v>
                </c:pt>
                <c:pt idx="105">
                  <c:v>439.43191062199884</c:v>
                </c:pt>
                <c:pt idx="106">
                  <c:v>444.18055307943456</c:v>
                </c:pt>
                <c:pt idx="107">
                  <c:v>448.92810808361338</c:v>
                </c:pt>
                <c:pt idx="108">
                  <c:v>453.67458876784752</c:v>
                </c:pt>
                <c:pt idx="109">
                  <c:v>458.42000796797294</c:v>
                </c:pt>
                <c:pt idx="110">
                  <c:v>463.16437823216773</c:v>
                </c:pt>
                <c:pt idx="111">
                  <c:v>3.1457867471021712E-12</c:v>
                </c:pt>
                <c:pt idx="112">
                  <c:v>3.1457867471021712E-12</c:v>
                </c:pt>
                <c:pt idx="113">
                  <c:v>3.1457867471021712E-12</c:v>
                </c:pt>
                <c:pt idx="114">
                  <c:v>3.1457867471021712E-12</c:v>
                </c:pt>
                <c:pt idx="115">
                  <c:v>3.1457867471021712E-12</c:v>
                </c:pt>
                <c:pt idx="116">
                  <c:v>3.1457867471021712E-12</c:v>
                </c:pt>
                <c:pt idx="117">
                  <c:v>3.1457867471021712E-12</c:v>
                </c:pt>
                <c:pt idx="118">
                  <c:v>3.1457867471021712E-12</c:v>
                </c:pt>
                <c:pt idx="119">
                  <c:v>3.1457867471021712E-12</c:v>
                </c:pt>
                <c:pt idx="120">
                  <c:v>3.1457867471021712E-12</c:v>
                </c:pt>
                <c:pt idx="121">
                  <c:v>3.1457867471021712E-12</c:v>
                </c:pt>
                <c:pt idx="122">
                  <c:v>3.1457867471021712E-12</c:v>
                </c:pt>
                <c:pt idx="123">
                  <c:v>3.1457867471021712E-12</c:v>
                </c:pt>
                <c:pt idx="124">
                  <c:v>3.1457867471021712E-12</c:v>
                </c:pt>
                <c:pt idx="125">
                  <c:v>3.1457867471021712E-12</c:v>
                </c:pt>
                <c:pt idx="126">
                  <c:v>3.1457867471021712E-12</c:v>
                </c:pt>
                <c:pt idx="127">
                  <c:v>3.1457867471021712E-12</c:v>
                </c:pt>
                <c:pt idx="128">
                  <c:v>3.1457867471021712E-12</c:v>
                </c:pt>
                <c:pt idx="129">
                  <c:v>3.1457867471021712E-12</c:v>
                </c:pt>
                <c:pt idx="130">
                  <c:v>3.1457867471021712E-12</c:v>
                </c:pt>
                <c:pt idx="131">
                  <c:v>3.1457867471021712E-12</c:v>
                </c:pt>
                <c:pt idx="132">
                  <c:v>3.1457867471021712E-12</c:v>
                </c:pt>
                <c:pt idx="133">
                  <c:v>3.1457867471021712E-12</c:v>
                </c:pt>
                <c:pt idx="134">
                  <c:v>3.1457867471021712E-12</c:v>
                </c:pt>
                <c:pt idx="135">
                  <c:v>3.1457867471021712E-12</c:v>
                </c:pt>
                <c:pt idx="136">
                  <c:v>3.1457867471021712E-12</c:v>
                </c:pt>
                <c:pt idx="137">
                  <c:v>3.1457867471021712E-12</c:v>
                </c:pt>
                <c:pt idx="138">
                  <c:v>3.1457867471021712E-12</c:v>
                </c:pt>
                <c:pt idx="139">
                  <c:v>3.1457867471021712E-12</c:v>
                </c:pt>
                <c:pt idx="140">
                  <c:v>3.1457867471021712E-12</c:v>
                </c:pt>
                <c:pt idx="141">
                  <c:v>3.1457867471021712E-12</c:v>
                </c:pt>
                <c:pt idx="142">
                  <c:v>3.1457867471021712E-12</c:v>
                </c:pt>
                <c:pt idx="143">
                  <c:v>3.1457867471021712E-12</c:v>
                </c:pt>
                <c:pt idx="144">
                  <c:v>3.1457867471021712E-12</c:v>
                </c:pt>
                <c:pt idx="145">
                  <c:v>3.1457867471021712E-12</c:v>
                </c:pt>
                <c:pt idx="146">
                  <c:v>3.1457867471021712E-12</c:v>
                </c:pt>
                <c:pt idx="147">
                  <c:v>3.1457867471021712E-12</c:v>
                </c:pt>
                <c:pt idx="148">
                  <c:v>3.1457867471021712E-12</c:v>
                </c:pt>
                <c:pt idx="149">
                  <c:v>3.1457867471021712E-12</c:v>
                </c:pt>
                <c:pt idx="150">
                  <c:v>3.1457867471021712E-12</c:v>
                </c:pt>
                <c:pt idx="151">
                  <c:v>3.1457867471021712E-12</c:v>
                </c:pt>
                <c:pt idx="152">
                  <c:v>3.1457867471021712E-12</c:v>
                </c:pt>
                <c:pt idx="153">
                  <c:v>3.1457867471021712E-12</c:v>
                </c:pt>
                <c:pt idx="154">
                  <c:v>3.1457867471021712E-12</c:v>
                </c:pt>
                <c:pt idx="155">
                  <c:v>3.1457867471021712E-12</c:v>
                </c:pt>
                <c:pt idx="156">
                  <c:v>3.1457867471021712E-12</c:v>
                </c:pt>
                <c:pt idx="157">
                  <c:v>3.1457867471021712E-12</c:v>
                </c:pt>
                <c:pt idx="158">
                  <c:v>3.1457867471021712E-12</c:v>
                </c:pt>
                <c:pt idx="159">
                  <c:v>3.1457867471021712E-12</c:v>
                </c:pt>
                <c:pt idx="160">
                  <c:v>3.1457867471021712E-12</c:v>
                </c:pt>
                <c:pt idx="161">
                  <c:v>3.1457867471021712E-12</c:v>
                </c:pt>
                <c:pt idx="162">
                  <c:v>3.1457867471021712E-12</c:v>
                </c:pt>
                <c:pt idx="163">
                  <c:v>3.1457867471021712E-12</c:v>
                </c:pt>
                <c:pt idx="164">
                  <c:v>3.1457867471021712E-12</c:v>
                </c:pt>
                <c:pt idx="165">
                  <c:v>3.1457867471021712E-12</c:v>
                </c:pt>
                <c:pt idx="166">
                  <c:v>3.1457867471021712E-12</c:v>
                </c:pt>
                <c:pt idx="167">
                  <c:v>3.1457867471021712E-12</c:v>
                </c:pt>
                <c:pt idx="168">
                  <c:v>3.1457867471021712E-12</c:v>
                </c:pt>
                <c:pt idx="169">
                  <c:v>3.1457867471021712E-12</c:v>
                </c:pt>
                <c:pt idx="170">
                  <c:v>3.1457867471021712E-12</c:v>
                </c:pt>
                <c:pt idx="171">
                  <c:v>3.1457867471021712E-12</c:v>
                </c:pt>
                <c:pt idx="172">
                  <c:v>3.1457867471021712E-12</c:v>
                </c:pt>
                <c:pt idx="173">
                  <c:v>3.1457867471021712E-12</c:v>
                </c:pt>
                <c:pt idx="174">
                  <c:v>3.1457867471021712E-12</c:v>
                </c:pt>
                <c:pt idx="175">
                  <c:v>3.1457867471021712E-12</c:v>
                </c:pt>
                <c:pt idx="176">
                  <c:v>3.1457867471021712E-12</c:v>
                </c:pt>
                <c:pt idx="177">
                  <c:v>3.1457867471021712E-12</c:v>
                </c:pt>
                <c:pt idx="178">
                  <c:v>3.1457867471021712E-12</c:v>
                </c:pt>
                <c:pt idx="179">
                  <c:v>3.1457867471021712E-12</c:v>
                </c:pt>
                <c:pt idx="180">
                  <c:v>3.1457867471021712E-12</c:v>
                </c:pt>
                <c:pt idx="181">
                  <c:v>3.1457867471021712E-12</c:v>
                </c:pt>
                <c:pt idx="182">
                  <c:v>3.1457867471021712E-12</c:v>
                </c:pt>
                <c:pt idx="183">
                  <c:v>3.1457867471021712E-12</c:v>
                </c:pt>
                <c:pt idx="184">
                  <c:v>3.1457867471021712E-12</c:v>
                </c:pt>
                <c:pt idx="185">
                  <c:v>3.1457867471021712E-12</c:v>
                </c:pt>
                <c:pt idx="186">
                  <c:v>3.1457867471021712E-12</c:v>
                </c:pt>
                <c:pt idx="187">
                  <c:v>3.1457867471021712E-12</c:v>
                </c:pt>
                <c:pt idx="188">
                  <c:v>3.1457867471021712E-12</c:v>
                </c:pt>
                <c:pt idx="189">
                  <c:v>3.1457867471021712E-12</c:v>
                </c:pt>
                <c:pt idx="190">
                  <c:v>3.1457867471021712E-12</c:v>
                </c:pt>
                <c:pt idx="191">
                  <c:v>3.1457867471021712E-12</c:v>
                </c:pt>
                <c:pt idx="192">
                  <c:v>3.1457867471021712E-12</c:v>
                </c:pt>
                <c:pt idx="193">
                  <c:v>3.1457867471021712E-12</c:v>
                </c:pt>
                <c:pt idx="194">
                  <c:v>3.1457867471021712E-12</c:v>
                </c:pt>
                <c:pt idx="195">
                  <c:v>3.1457867471021712E-12</c:v>
                </c:pt>
                <c:pt idx="196">
                  <c:v>3.1457867471021712E-12</c:v>
                </c:pt>
                <c:pt idx="197">
                  <c:v>3.1457867471021712E-12</c:v>
                </c:pt>
                <c:pt idx="198">
                  <c:v>3.1457867471021712E-12</c:v>
                </c:pt>
                <c:pt idx="199">
                  <c:v>3.1457867471021712E-12</c:v>
                </c:pt>
                <c:pt idx="200">
                  <c:v>3.1457867471021712E-12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9220112"/>
        <c:axId val="-1059210320"/>
      </c:scatterChart>
      <c:valAx>
        <c:axId val="-10592201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10320"/>
        <c:crosses val="autoZero"/>
        <c:crossBetween val="midCat"/>
      </c:valAx>
      <c:valAx>
        <c:axId val="-105921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20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1.9508946107432275</c:v>
                </c:pt>
                <c:pt idx="2">
                  <c:v>2.4541577777849692</c:v>
                </c:pt>
                <c:pt idx="3">
                  <c:v>3.0877594432242415</c:v>
                </c:pt>
                <c:pt idx="4">
                  <c:v>3.8855812951691147</c:v>
                </c:pt>
                <c:pt idx="5">
                  <c:v>4.8903432539889566</c:v>
                </c:pt>
                <c:pt idx="6">
                  <c:v>6.1559164125763592</c:v>
                </c:pt>
                <c:pt idx="7">
                  <c:v>7.7502430654644883</c:v>
                </c:pt>
                <c:pt idx="8">
                  <c:v>9.759023606181179</c:v>
                </c:pt>
                <c:pt idx="9">
                  <c:v>12.290372228750266</c:v>
                </c:pt>
                <c:pt idx="10">
                  <c:v>15.480696673450021</c:v>
                </c:pt>
                <c:pt idx="11">
                  <c:v>19.502124662623089</c:v>
                </c:pt>
                <c:pt idx="12">
                  <c:v>24.571884917422917</c:v>
                </c:pt>
                <c:pt idx="13">
                  <c:v>30.964158461385495</c:v>
                </c:pt>
                <c:pt idx="14">
                  <c:v>39.025052288726734</c:v>
                </c:pt>
                <c:pt idx="15">
                  <c:v>49.1915199822785</c:v>
                </c:pt>
                <c:pt idx="16">
                  <c:v>66.657384980595054</c:v>
                </c:pt>
                <c:pt idx="17">
                  <c:v>84.004272555239865</c:v>
                </c:pt>
                <c:pt idx="18">
                  <c:v>101.26043228511077</c:v>
                </c:pt>
                <c:pt idx="19">
                  <c:v>118.4435774600118</c:v>
                </c:pt>
                <c:pt idx="20">
                  <c:v>135.56582181617225</c:v>
                </c:pt>
                <c:pt idx="21">
                  <c:v>152.635953308398</c:v>
                </c:pt>
                <c:pt idx="22">
                  <c:v>172.96879566591463</c:v>
                </c:pt>
                <c:pt idx="23">
                  <c:v>118.91172145652443</c:v>
                </c:pt>
                <c:pt idx="24">
                  <c:v>133.60360008678595</c:v>
                </c:pt>
                <c:pt idx="25">
                  <c:v>151.40834557678431</c:v>
                </c:pt>
                <c:pt idx="26">
                  <c:v>169.16318954630938</c:v>
                </c:pt>
                <c:pt idx="27">
                  <c:v>186.87411053311584</c:v>
                </c:pt>
                <c:pt idx="28">
                  <c:v>158.76051047616974</c:v>
                </c:pt>
                <c:pt idx="29">
                  <c:v>175.59896515661092</c:v>
                </c:pt>
                <c:pt idx="30">
                  <c:v>192.39950654022343</c:v>
                </c:pt>
                <c:pt idx="31">
                  <c:v>209.16591247422164</c:v>
                </c:pt>
                <c:pt idx="32">
                  <c:v>225.90130495746598</c:v>
                </c:pt>
                <c:pt idx="33">
                  <c:v>242.60830522574884</c:v>
                </c:pt>
                <c:pt idx="34">
                  <c:v>203.58097513744312</c:v>
                </c:pt>
                <c:pt idx="35">
                  <c:v>220.02792534458783</c:v>
                </c:pt>
                <c:pt idx="36">
                  <c:v>236.44664825214025</c:v>
                </c:pt>
                <c:pt idx="37">
                  <c:v>252.83938003643593</c:v>
                </c:pt>
                <c:pt idx="38">
                  <c:v>269.20804307840717</c:v>
                </c:pt>
                <c:pt idx="39">
                  <c:v>285.5543068085463</c:v>
                </c:pt>
                <c:pt idx="40">
                  <c:v>301.87963387321696</c:v>
                </c:pt>
                <c:pt idx="41">
                  <c:v>318.18531578207211</c:v>
                </c:pt>
                <c:pt idx="42">
                  <c:v>258.41598708702196</c:v>
                </c:pt>
                <c:pt idx="43">
                  <c:v>273.64897539352847</c:v>
                </c:pt>
                <c:pt idx="44">
                  <c:v>288.86291050410284</c:v>
                </c:pt>
                <c:pt idx="45">
                  <c:v>304.0589372536673</c:v>
                </c:pt>
                <c:pt idx="46">
                  <c:v>319.23807668113335</c:v>
                </c:pt>
                <c:pt idx="47">
                  <c:v>334.40124478994869</c:v>
                </c:pt>
                <c:pt idx="48">
                  <c:v>349.54926772624771</c:v>
                </c:pt>
                <c:pt idx="49">
                  <c:v>364.68289418741483</c:v>
                </c:pt>
                <c:pt idx="50">
                  <c:v>379.80280566271296</c:v>
                </c:pt>
                <c:pt idx="51">
                  <c:v>322.84049712168786</c:v>
                </c:pt>
                <c:pt idx="52">
                  <c:v>336.4690093627658</c:v>
                </c:pt>
                <c:pt idx="53">
                  <c:v>350.08536930552191</c:v>
                </c:pt>
                <c:pt idx="54">
                  <c:v>363.69011622210314</c:v>
                </c:pt>
                <c:pt idx="55">
                  <c:v>377.28374574247232</c:v>
                </c:pt>
                <c:pt idx="56">
                  <c:v>390.8667148646162</c:v>
                </c:pt>
                <c:pt idx="57">
                  <c:v>404.43944623185251</c:v>
                </c:pt>
                <c:pt idx="58">
                  <c:v>418.00233180594455</c:v>
                </c:pt>
                <c:pt idx="59">
                  <c:v>431.55573603859693</c:v>
                </c:pt>
                <c:pt idx="60">
                  <c:v>445.09999862375895</c:v>
                </c:pt>
                <c:pt idx="61">
                  <c:v>387.77711671492489</c:v>
                </c:pt>
                <c:pt idx="62">
                  <c:v>399.46857547560211</c:v>
                </c:pt>
                <c:pt idx="63">
                  <c:v>411.15262834415722</c:v>
                </c:pt>
                <c:pt idx="64">
                  <c:v>422.82951547202788</c:v>
                </c:pt>
                <c:pt idx="65">
                  <c:v>434.4994626626833</c:v>
                </c:pt>
                <c:pt idx="66">
                  <c:v>446.16268259938084</c:v>
                </c:pt>
                <c:pt idx="67">
                  <c:v>457.81937593784551</c:v>
                </c:pt>
                <c:pt idx="68">
                  <c:v>469.46973228186403</c:v>
                </c:pt>
                <c:pt idx="69">
                  <c:v>481.11393105699329</c:v>
                </c:pt>
                <c:pt idx="70">
                  <c:v>492.75214229528314</c:v>
                </c:pt>
                <c:pt idx="71">
                  <c:v>435.52165251525486</c:v>
                </c:pt>
                <c:pt idx="72">
                  <c:v>445.12148725674388</c:v>
                </c:pt>
                <c:pt idx="73">
                  <c:v>454.71688879830623</c:v>
                </c:pt>
                <c:pt idx="74">
                  <c:v>464.30796390444101</c:v>
                </c:pt>
                <c:pt idx="75">
                  <c:v>473.8948145679185</c:v>
                </c:pt>
                <c:pt idx="76">
                  <c:v>483.47753831734195</c:v>
                </c:pt>
                <c:pt idx="77">
                  <c:v>493.05622849905507</c:v>
                </c:pt>
                <c:pt idx="78">
                  <c:v>502.63097453599829</c:v>
                </c:pt>
                <c:pt idx="79">
                  <c:v>512.20186216581487</c:v>
                </c:pt>
                <c:pt idx="80">
                  <c:v>521.76897366023286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47729024"/>
        <c:axId val="-1147727936"/>
      </c:scatterChart>
      <c:valAx>
        <c:axId val="-11477290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27936"/>
        <c:crosses val="autoZero"/>
        <c:crossBetween val="midCat"/>
      </c:valAx>
      <c:valAx>
        <c:axId val="-114772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29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47727392"/>
        <c:axId val="-1147735008"/>
      </c:scatterChart>
      <c:valAx>
        <c:axId val="-11477273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35008"/>
        <c:crosses val="autoZero"/>
        <c:crossBetween val="midCat"/>
      </c:valAx>
      <c:valAx>
        <c:axId val="-11477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27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2.3793080898225729</c:v>
                </c:pt>
                <c:pt idx="2">
                  <c:v>3.0003642996210083</c:v>
                </c:pt>
                <c:pt idx="3">
                  <c:v>3.7841678017287599</c:v>
                </c:pt>
                <c:pt idx="4">
                  <c:v>4.7735237790966574</c:v>
                </c:pt>
                <c:pt idx="5">
                  <c:v>6.0225346181057935</c:v>
                </c:pt>
                <c:pt idx="6">
                  <c:v>7.5995909853256647</c:v>
                </c:pt>
                <c:pt idx="7">
                  <c:v>9.5911571523689911</c:v>
                </c:pt>
                <c:pt idx="8">
                  <c:v>12.106562038828912</c:v>
                </c:pt>
                <c:pt idx="9">
                  <c:v>15.284063885053456</c:v>
                </c:pt>
                <c:pt idx="10">
                  <c:v>19.298528006020888</c:v>
                </c:pt>
                <c:pt idx="11">
                  <c:v>24.371147761410047</c:v>
                </c:pt>
                <c:pt idx="12">
                  <c:v>30.781753838224574</c:v>
                </c:pt>
                <c:pt idx="13">
                  <c:v>38.884402692877721</c:v>
                </c:pt>
                <c:pt idx="14">
                  <c:v>49.127119800966483</c:v>
                </c:pt>
                <c:pt idx="15">
                  <c:v>62.076907697013901</c:v>
                </c:pt>
                <c:pt idx="16">
                  <c:v>80.930305178951087</c:v>
                </c:pt>
                <c:pt idx="17">
                  <c:v>99.671872945964807</c:v>
                </c:pt>
                <c:pt idx="18">
                  <c:v>118.32573550855612</c:v>
                </c:pt>
                <c:pt idx="19">
                  <c:v>136.9077150360213</c:v>
                </c:pt>
                <c:pt idx="20">
                  <c:v>155.42896118281021</c:v>
                </c:pt>
                <c:pt idx="21">
                  <c:v>106.75681222125495</c:v>
                </c:pt>
                <c:pt idx="22">
                  <c:v>126.98414944146755</c:v>
                </c:pt>
                <c:pt idx="23">
                  <c:v>147.13326273728035</c:v>
                </c:pt>
                <c:pt idx="24">
                  <c:v>167.21639270035547</c:v>
                </c:pt>
                <c:pt idx="25">
                  <c:v>187.24258760716546</c:v>
                </c:pt>
                <c:pt idx="26">
                  <c:v>206.2685966241975</c:v>
                </c:pt>
                <c:pt idx="27">
                  <c:v>225.25404749767384</c:v>
                </c:pt>
                <c:pt idx="28">
                  <c:v>244.20283975997816</c:v>
                </c:pt>
                <c:pt idx="29">
                  <c:v>263.11821789263291</c:v>
                </c:pt>
                <c:pt idx="30">
                  <c:v>282.00292156784479</c:v>
                </c:pt>
                <c:pt idx="31">
                  <c:v>210.38540694907314</c:v>
                </c:pt>
                <c:pt idx="32">
                  <c:v>227.15051827180903</c:v>
                </c:pt>
                <c:pt idx="33">
                  <c:v>243.88730861103326</c:v>
                </c:pt>
                <c:pt idx="34">
                  <c:v>260.59799513306115</c:v>
                </c:pt>
                <c:pt idx="35">
                  <c:v>277.28448730625297</c:v>
                </c:pt>
                <c:pt idx="36">
                  <c:v>292.37729611444672</c:v>
                </c:pt>
                <c:pt idx="37">
                  <c:v>307.4527132610603</c:v>
                </c:pt>
                <c:pt idx="38">
                  <c:v>322.51171160469693</c:v>
                </c:pt>
                <c:pt idx="39">
                  <c:v>337.55516572548032</c:v>
                </c:pt>
                <c:pt idx="40">
                  <c:v>352.58386588275084</c:v>
                </c:pt>
                <c:pt idx="41">
                  <c:v>277.59910531675132</c:v>
                </c:pt>
                <c:pt idx="42">
                  <c:v>290.49166725088799</c:v>
                </c:pt>
                <c:pt idx="43">
                  <c:v>303.37144778612065</c:v>
                </c:pt>
                <c:pt idx="44">
                  <c:v>316.23906615147206</c:v>
                </c:pt>
                <c:pt idx="45">
                  <c:v>329.09508705409172</c:v>
                </c:pt>
                <c:pt idx="46">
                  <c:v>340.06095344521356</c:v>
                </c:pt>
                <c:pt idx="47">
                  <c:v>351.01904297525931</c:v>
                </c:pt>
                <c:pt idx="48">
                  <c:v>361.96963273404771</c:v>
                </c:pt>
                <c:pt idx="49">
                  <c:v>372.91298167145283</c:v>
                </c:pt>
                <c:pt idx="50">
                  <c:v>383.8493322938412</c:v>
                </c:pt>
                <c:pt idx="51">
                  <c:v>332.85570681025916</c:v>
                </c:pt>
                <c:pt idx="52">
                  <c:v>342.87947924141304</c:v>
                </c:pt>
                <c:pt idx="53">
                  <c:v>352.89681216953187</c:v>
                </c:pt>
                <c:pt idx="54">
                  <c:v>362.90791424748909</c:v>
                </c:pt>
                <c:pt idx="55">
                  <c:v>372.91298167145288</c:v>
                </c:pt>
                <c:pt idx="56">
                  <c:v>380.7253612664947</c:v>
                </c:pt>
                <c:pt idx="57">
                  <c:v>388.5342542497454</c:v>
                </c:pt>
                <c:pt idx="58">
                  <c:v>396.33974062840025</c:v>
                </c:pt>
                <c:pt idx="59">
                  <c:v>404.1418969991085</c:v>
                </c:pt>
                <c:pt idx="60">
                  <c:v>411.94079675783905</c:v>
                </c:pt>
                <c:pt idx="61">
                  <c:v>379.78806142237414</c:v>
                </c:pt>
                <c:pt idx="62">
                  <c:v>386.66043357385666</c:v>
                </c:pt>
                <c:pt idx="63">
                  <c:v>393.53015307860801</c:v>
                </c:pt>
                <c:pt idx="64">
                  <c:v>400.39727281265851</c:v>
                </c:pt>
                <c:pt idx="65">
                  <c:v>407.26184368889852</c:v>
                </c:pt>
                <c:pt idx="66">
                  <c:v>413.18832324929986</c:v>
                </c:pt>
                <c:pt idx="67">
                  <c:v>419.11296885471535</c:v>
                </c:pt>
                <c:pt idx="68">
                  <c:v>425.03581010994799</c:v>
                </c:pt>
                <c:pt idx="69">
                  <c:v>430.95687572671636</c:v>
                </c:pt>
                <c:pt idx="70">
                  <c:v>436.87619356276895</c:v>
                </c:pt>
                <c:pt idx="71">
                  <c:v>409.44549880731051</c:v>
                </c:pt>
                <c:pt idx="72">
                  <c:v>414.74761709639353</c:v>
                </c:pt>
                <c:pt idx="73">
                  <c:v>420.0482735257836</c:v>
                </c:pt>
                <c:pt idx="74">
                  <c:v>425.34748916314453</c:v>
                </c:pt>
                <c:pt idx="75">
                  <c:v>430.64528450788202</c:v>
                </c:pt>
                <c:pt idx="76">
                  <c:v>435.31864626323119</c:v>
                </c:pt>
                <c:pt idx="77">
                  <c:v>439.99093116362309</c:v>
                </c:pt>
                <c:pt idx="78">
                  <c:v>444.66215226871242</c:v>
                </c:pt>
                <c:pt idx="79">
                  <c:v>449.33232234112387</c:v>
                </c:pt>
                <c:pt idx="80">
                  <c:v>454.00145385629543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47721952"/>
        <c:axId val="-1147736640"/>
      </c:scatterChart>
      <c:valAx>
        <c:axId val="-11477219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36640"/>
        <c:crosses val="autoZero"/>
        <c:crossBetween val="midCat"/>
      </c:valAx>
      <c:valAx>
        <c:axId val="-114773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21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47736096"/>
        <c:axId val="-1340226192"/>
      </c:scatterChart>
      <c:valAx>
        <c:axId val="-11477360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0226192"/>
        <c:crosses val="autoZero"/>
        <c:crossBetween val="midCat"/>
      </c:valAx>
      <c:valAx>
        <c:axId val="-134022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47736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2.574052909151487</c:v>
                </c:pt>
                <c:pt idx="2">
                  <c:v>3.2461281653882743</c:v>
                </c:pt>
                <c:pt idx="3">
                  <c:v>4.0943661844375043</c:v>
                </c:pt>
                <c:pt idx="4">
                  <c:v>5.1651119528221656</c:v>
                </c:pt>
                <c:pt idx="5">
                  <c:v>6.5169446661128978</c:v>
                </c:pt>
                <c:pt idx="6">
                  <c:v>8.2239175681987557</c:v>
                </c:pt>
                <c:pt idx="7">
                  <c:v>10.379658260168837</c:v>
                </c:pt>
                <c:pt idx="8">
                  <c:v>13.102558620551131</c:v>
                </c:pt>
                <c:pt idx="9">
                  <c:v>16.542344646784436</c:v>
                </c:pt>
                <c:pt idx="10">
                  <c:v>20.888394060285197</c:v>
                </c:pt>
                <c:pt idx="11">
                  <c:v>26.380267800949554</c:v>
                </c:pt>
                <c:pt idx="12">
                  <c:v>33.321046136009507</c:v>
                </c:pt>
                <c:pt idx="13">
                  <c:v>42.094218082254564</c:v>
                </c:pt>
                <c:pt idx="14">
                  <c:v>53.185073146122171</c:v>
                </c:pt>
                <c:pt idx="15">
                  <c:v>67.207798386934755</c:v>
                </c:pt>
                <c:pt idx="16">
                  <c:v>87.624256130804284</c:v>
                </c:pt>
                <c:pt idx="17">
                  <c:v>107.92051495671599</c:v>
                </c:pt>
                <c:pt idx="18">
                  <c:v>128.12250482488196</c:v>
                </c:pt>
                <c:pt idx="19">
                  <c:v>148.24723201695511</c:v>
                </c:pt>
                <c:pt idx="20">
                  <c:v>168.30668061428082</c:v>
                </c:pt>
                <c:pt idx="21">
                  <c:v>115.59337364680665</c:v>
                </c:pt>
                <c:pt idx="22">
                  <c:v>137.4997067322079</c:v>
                </c:pt>
                <c:pt idx="23">
                  <c:v>159.32196170762111</c:v>
                </c:pt>
                <c:pt idx="24">
                  <c:v>181.07329523604912</c:v>
                </c:pt>
                <c:pt idx="25">
                  <c:v>202.76343275622807</c:v>
                </c:pt>
                <c:pt idx="26">
                  <c:v>223.37066471153204</c:v>
                </c:pt>
                <c:pt idx="27">
                  <c:v>243.93430319999132</c:v>
                </c:pt>
                <c:pt idx="28">
                  <c:v>264.45853959036123</c:v>
                </c:pt>
                <c:pt idx="29">
                  <c:v>284.94686117730771</c:v>
                </c:pt>
                <c:pt idx="30">
                  <c:v>305.4022126668512</c:v>
                </c:pt>
                <c:pt idx="31">
                  <c:v>227.82966235272235</c:v>
                </c:pt>
                <c:pt idx="32">
                  <c:v>245.98843749648782</c:v>
                </c:pt>
                <c:pt idx="33">
                  <c:v>264.11677214797504</c:v>
                </c:pt>
                <c:pt idx="34">
                  <c:v>282.21704940359291</c:v>
                </c:pt>
                <c:pt idx="35">
                  <c:v>300.29132163404557</c:v>
                </c:pt>
                <c:pt idx="36">
                  <c:v>316.63952954423013</c:v>
                </c:pt>
                <c:pt idx="37">
                  <c:v>332.96904422153938</c:v>
                </c:pt>
                <c:pt idx="38">
                  <c:v>349.28091133215889</c:v>
                </c:pt>
                <c:pt idx="39">
                  <c:v>365.57607090875041</c:v>
                </c:pt>
                <c:pt idx="40">
                  <c:v>381.85537235272426</c:v>
                </c:pt>
                <c:pt idx="41">
                  <c:v>300.63210759978858</c:v>
                </c:pt>
                <c:pt idx="42">
                  <c:v>314.59704855401958</c:v>
                </c:pt>
                <c:pt idx="43">
                  <c:v>328.5482515646342</c:v>
                </c:pt>
                <c:pt idx="44">
                  <c:v>342.4863822030199</c:v>
                </c:pt>
                <c:pt idx="45">
                  <c:v>356.41204743833833</c:v>
                </c:pt>
                <c:pt idx="46">
                  <c:v>368.29036734139095</c:v>
                </c:pt>
                <c:pt idx="47">
                  <c:v>380.16032837232183</c:v>
                </c:pt>
                <c:pt idx="48">
                  <c:v>392.0222283580228</c:v>
                </c:pt>
                <c:pt idx="49">
                  <c:v>403.87634562786849</c:v>
                </c:pt>
                <c:pt idx="50">
                  <c:v>415.72294083711432</c:v>
                </c:pt>
                <c:pt idx="51">
                  <c:v>360.48557531469902</c:v>
                </c:pt>
                <c:pt idx="52">
                  <c:v>371.34342911371238</c:v>
                </c:pt>
                <c:pt idx="53">
                  <c:v>382.19436148493236</c:v>
                </c:pt>
                <c:pt idx="54">
                  <c:v>393.03859669656578</c:v>
                </c:pt>
                <c:pt idx="55">
                  <c:v>403.87634562786849</c:v>
                </c:pt>
                <c:pt idx="56">
                  <c:v>412.33895235831255</c:v>
                </c:pt>
                <c:pt idx="57">
                  <c:v>420.79781154308029</c:v>
                </c:pt>
                <c:pt idx="58">
                  <c:v>429.25300917701065</c:v>
                </c:pt>
                <c:pt idx="59">
                  <c:v>437.70462758915488</c:v>
                </c:pt>
                <c:pt idx="60">
                  <c:v>446.1527456683495</c:v>
                </c:pt>
                <c:pt idx="61">
                  <c:v>411.32363915605634</c:v>
                </c:pt>
                <c:pt idx="62">
                  <c:v>418.76802245127942</c:v>
                </c:pt>
                <c:pt idx="63">
                  <c:v>426.20955457884071</c:v>
                </c:pt>
                <c:pt idx="64">
                  <c:v>433.64829237194999</c:v>
                </c:pt>
                <c:pt idx="65">
                  <c:v>441.08429055375763</c:v>
                </c:pt>
                <c:pt idx="66">
                  <c:v>447.50412482878772</c:v>
                </c:pt>
                <c:pt idx="67">
                  <c:v>453.92198789781906</c:v>
                </c:pt>
                <c:pt idx="68">
                  <c:v>460.33791158124319</c:v>
                </c:pt>
                <c:pt idx="69">
                  <c:v>466.75192673952944</c:v>
                </c:pt>
                <c:pt idx="70">
                  <c:v>473.16406331526713</c:v>
                </c:pt>
                <c:pt idx="71">
                  <c:v>443.449724046781</c:v>
                </c:pt>
                <c:pt idx="72">
                  <c:v>449.1932259604792</c:v>
                </c:pt>
                <c:pt idx="73">
                  <c:v>454.93515661064163</c:v>
                </c:pt>
                <c:pt idx="74">
                  <c:v>460.67553864161073</c:v>
                </c:pt>
                <c:pt idx="75">
                  <c:v>466.41439408694345</c:v>
                </c:pt>
                <c:pt idx="76">
                  <c:v>471.47683944067597</c:v>
                </c:pt>
                <c:pt idx="77">
                  <c:v>476.53812734890533</c:v>
                </c:pt>
                <c:pt idx="78">
                  <c:v>481.59827184865503</c:v>
                </c:pt>
                <c:pt idx="79">
                  <c:v>486.65728665769001</c:v>
                </c:pt>
                <c:pt idx="80">
                  <c:v>491.71518518509475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0223472"/>
        <c:axId val="-1340221840"/>
      </c:scatterChart>
      <c:valAx>
        <c:axId val="-13402234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0221840"/>
        <c:crosses val="autoZero"/>
        <c:crossBetween val="midCat"/>
      </c:valAx>
      <c:valAx>
        <c:axId val="-134022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0223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3.0562900081048716</c:v>
                </c:pt>
                <c:pt idx="2">
                  <c:v>3.8516445674544162</c:v>
                </c:pt>
                <c:pt idx="3">
                  <c:v>4.8547804100799219</c:v>
                </c:pt>
                <c:pt idx="4">
                  <c:v>6.1201763242133866</c:v>
                </c:pt>
                <c:pt idx="5">
                  <c:v>7.7166433859878012</c:v>
                </c:pt>
                <c:pt idx="6">
                  <c:v>9.7311072999956902</c:v>
                </c:pt>
                <c:pt idx="7">
                  <c:v>12.273391783795576</c:v>
                </c:pt>
                <c:pt idx="8">
                  <c:v>15.4822686316353</c:v>
                </c:pt>
                <c:pt idx="9">
                  <c:v>19.53311074960536</c:v>
                </c:pt>
                <c:pt idx="10">
                  <c:v>24.647573946215513</c:v>
                </c:pt>
                <c:pt idx="11">
                  <c:v>31.105846619534645</c:v>
                </c:pt>
                <c:pt idx="12">
                  <c:v>39.262150081012997</c:v>
                </c:pt>
                <c:pt idx="13">
                  <c:v>49.564354179988463</c:v>
                </c:pt>
                <c:pt idx="14">
                  <c:v>62.578803388802356</c:v>
                </c:pt>
                <c:pt idx="15">
                  <c:v>79.021740567855332</c:v>
                </c:pt>
                <c:pt idx="16">
                  <c:v>92.212001931830386</c:v>
                </c:pt>
                <c:pt idx="17">
                  <c:v>105.35503866631923</c:v>
                </c:pt>
                <c:pt idx="18">
                  <c:v>118.45758522816597</c:v>
                </c:pt>
                <c:pt idx="19">
                  <c:v>131.52475843384721</c:v>
                </c:pt>
                <c:pt idx="20">
                  <c:v>144.56057213518989</c:v>
                </c:pt>
                <c:pt idx="21">
                  <c:v>123.52840635605497</c:v>
                </c:pt>
                <c:pt idx="22">
                  <c:v>137.11517211565118</c:v>
                </c:pt>
                <c:pt idx="23">
                  <c:v>150.66954916498568</c:v>
                </c:pt>
                <c:pt idx="24">
                  <c:v>164.19486426810479</c:v>
                </c:pt>
                <c:pt idx="25">
                  <c:v>177.69385032373035</c:v>
                </c:pt>
                <c:pt idx="26">
                  <c:v>191.16879046159409</c:v>
                </c:pt>
                <c:pt idx="27">
                  <c:v>204.62161925684799</c:v>
                </c:pt>
                <c:pt idx="28">
                  <c:v>218.05399586508807</c:v>
                </c:pt>
                <c:pt idx="29">
                  <c:v>231.46735815462407</c:v>
                </c:pt>
                <c:pt idx="30">
                  <c:v>244.86296361177938</c:v>
                </c:pt>
                <c:pt idx="31">
                  <c:v>205.41231020128509</c:v>
                </c:pt>
                <c:pt idx="32">
                  <c:v>218.58035954454417</c:v>
                </c:pt>
                <c:pt idx="33">
                  <c:v>231.73018391404943</c:v>
                </c:pt>
                <c:pt idx="34">
                  <c:v>244.86296361177938</c:v>
                </c:pt>
                <c:pt idx="35">
                  <c:v>257.97974191077316</c:v>
                </c:pt>
                <c:pt idx="36">
                  <c:v>270.03384538640671</c:v>
                </c:pt>
                <c:pt idx="37">
                  <c:v>282.07584211332164</c:v>
                </c:pt>
                <c:pt idx="38">
                  <c:v>294.10632197650165</c:v>
                </c:pt>
                <c:pt idx="39">
                  <c:v>306.12582263909667</c:v>
                </c:pt>
                <c:pt idx="40">
                  <c:v>318.13483607832239</c:v>
                </c:pt>
                <c:pt idx="41">
                  <c:v>271.08144727175642</c:v>
                </c:pt>
                <c:pt idx="42">
                  <c:v>282.86078360632649</c:v>
                </c:pt>
                <c:pt idx="43">
                  <c:v>294.62913355147111</c:v>
                </c:pt>
                <c:pt idx="44">
                  <c:v>306.3869979576524</c:v>
                </c:pt>
                <c:pt idx="45">
                  <c:v>318.13483607832245</c:v>
                </c:pt>
                <c:pt idx="46">
                  <c:v>329.35156958294141</c:v>
                </c:pt>
                <c:pt idx="47">
                  <c:v>340.55987511500985</c:v>
                </c:pt>
                <c:pt idx="48">
                  <c:v>351.76006924925832</c:v>
                </c:pt>
                <c:pt idx="49">
                  <c:v>362.95244674780406</c:v>
                </c:pt>
                <c:pt idx="50">
                  <c:v>374.13728270377402</c:v>
                </c:pt>
                <c:pt idx="51">
                  <c:v>322.30950996229876</c:v>
                </c:pt>
                <c:pt idx="52">
                  <c:v>333.00169481114159</c:v>
                </c:pt>
                <c:pt idx="53">
                  <c:v>343.68631362725654</c:v>
                </c:pt>
                <c:pt idx="54">
                  <c:v>354.36363488362491</c:v>
                </c:pt>
                <c:pt idx="55">
                  <c:v>365.03390954723886</c:v>
                </c:pt>
                <c:pt idx="56">
                  <c:v>374.91734538946031</c:v>
                </c:pt>
                <c:pt idx="57">
                  <c:v>384.79510627137751</c:v>
                </c:pt>
                <c:pt idx="58">
                  <c:v>394.66735847110516</c:v>
                </c:pt>
                <c:pt idx="59">
                  <c:v>404.5342592660088</c:v>
                </c:pt>
                <c:pt idx="60">
                  <c:v>414.39595763230813</c:v>
                </c:pt>
                <c:pt idx="61">
                  <c:v>363.99321066425381</c:v>
                </c:pt>
                <c:pt idx="62">
                  <c:v>373.35718456856483</c:v>
                </c:pt>
                <c:pt idx="63">
                  <c:v>382.71604088568387</c:v>
                </c:pt>
                <c:pt idx="64">
                  <c:v>392.0699224681141</c:v>
                </c:pt>
                <c:pt idx="65">
                  <c:v>401.4189647926537</c:v>
                </c:pt>
                <c:pt idx="66">
                  <c:v>410.2442884418852</c:v>
                </c:pt>
                <c:pt idx="67">
                  <c:v>419.0655135735251</c:v>
                </c:pt>
                <c:pt idx="68">
                  <c:v>427.8827386661892</c:v>
                </c:pt>
                <c:pt idx="69">
                  <c:v>436.69605780694877</c:v>
                </c:pt>
                <c:pt idx="70">
                  <c:v>445.50556097376784</c:v>
                </c:pt>
                <c:pt idx="71">
                  <c:v>395.70622896203434</c:v>
                </c:pt>
                <c:pt idx="72">
                  <c:v>404.27467126938308</c:v>
                </c:pt>
                <c:pt idx="73">
                  <c:v>412.83918737669751</c:v>
                </c:pt>
                <c:pt idx="74">
                  <c:v>421.39987026288964</c:v>
                </c:pt>
                <c:pt idx="75">
                  <c:v>429.95680881908919</c:v>
                </c:pt>
                <c:pt idx="76">
                  <c:v>437.99181019525372</c:v>
                </c:pt>
                <c:pt idx="77">
                  <c:v>446.02365006516737</c:v>
                </c:pt>
                <c:pt idx="78">
                  <c:v>454.05239341686462</c:v>
                </c:pt>
                <c:pt idx="79">
                  <c:v>462.0781027515323</c:v>
                </c:pt>
                <c:pt idx="80">
                  <c:v>470.1008382211549</c:v>
                </c:pt>
                <c:pt idx="81">
                  <c:v>422.17792718748893</c:v>
                </c:pt>
                <c:pt idx="82">
                  <c:v>429.95680881908919</c:v>
                </c:pt>
                <c:pt idx="83">
                  <c:v>437.73266630566582</c:v>
                </c:pt>
                <c:pt idx="84">
                  <c:v>445.50556097376779</c:v>
                </c:pt>
                <c:pt idx="85">
                  <c:v>453.27555183427711</c:v>
                </c:pt>
                <c:pt idx="86">
                  <c:v>460.52497358173349</c:v>
                </c:pt>
                <c:pt idx="87">
                  <c:v>467.77195987462483</c:v>
                </c:pt>
                <c:pt idx="88">
                  <c:v>475.01655378575668</c:v>
                </c:pt>
                <c:pt idx="89">
                  <c:v>482.25879696627726</c:v>
                </c:pt>
                <c:pt idx="90">
                  <c:v>489.49872971371423</c:v>
                </c:pt>
                <c:pt idx="91">
                  <c:v>444.98745897736353</c:v>
                </c:pt>
                <c:pt idx="92">
                  <c:v>452.23971876405511</c:v>
                </c:pt>
                <c:pt idx="93">
                  <c:v>459.489492035924</c:v>
                </c:pt>
                <c:pt idx="94">
                  <c:v>466.73682357974229</c:v>
                </c:pt>
                <c:pt idx="95">
                  <c:v>473.98175667722558</c:v>
                </c:pt>
                <c:pt idx="96">
                  <c:v>480.70708356712709</c:v>
                </c:pt>
                <c:pt idx="97">
                  <c:v>487.4304109605867</c:v>
                </c:pt>
                <c:pt idx="98">
                  <c:v>494.15177034208205</c:v>
                </c:pt>
                <c:pt idx="99">
                  <c:v>500.87119226930128</c:v>
                </c:pt>
                <c:pt idx="100">
                  <c:v>507.58870641276644</c:v>
                </c:pt>
                <c:pt idx="101">
                  <c:v>465.96043924488595</c:v>
                </c:pt>
                <c:pt idx="102">
                  <c:v>472.17074594472138</c:v>
                </c:pt>
                <c:pt idx="103">
                  <c:v>478.37931369911365</c:v>
                </c:pt>
                <c:pt idx="104">
                  <c:v>484.58616827417546</c:v>
                </c:pt>
                <c:pt idx="105">
                  <c:v>490.79133472172845</c:v>
                </c:pt>
                <c:pt idx="106">
                  <c:v>496.99483740808415</c:v>
                </c:pt>
                <c:pt idx="107">
                  <c:v>503.19670004131422</c:v>
                </c:pt>
                <c:pt idx="108">
                  <c:v>509.39694569710491</c:v>
                </c:pt>
                <c:pt idx="109">
                  <c:v>515.59559684328622</c:v>
                </c:pt>
                <c:pt idx="110">
                  <c:v>521.79267536312125</c:v>
                </c:pt>
                <c:pt idx="111">
                  <c:v>482.38810162219664</c:v>
                </c:pt>
                <c:pt idx="112">
                  <c:v>488.20605227820744</c:v>
                </c:pt>
                <c:pt idx="113">
                  <c:v>494.02253179848339</c:v>
                </c:pt>
                <c:pt idx="114">
                  <c:v>499.83755995777983</c:v>
                </c:pt>
                <c:pt idx="115">
                  <c:v>505.65115603293197</c:v>
                </c:pt>
                <c:pt idx="116">
                  <c:v>511.46333882110065</c:v>
                </c:pt>
                <c:pt idx="117">
                  <c:v>517.27412665714303</c:v>
                </c:pt>
                <c:pt idx="118">
                  <c:v>523.08353743016437</c:v>
                </c:pt>
                <c:pt idx="119">
                  <c:v>528.89158859929296</c:v>
                </c:pt>
                <c:pt idx="120">
                  <c:v>534.69829720872906</c:v>
                </c:pt>
                <c:pt idx="121">
                  <c:v>2.9932409441277661E-12</c:v>
                </c:pt>
                <c:pt idx="122">
                  <c:v>2.9932409441277661E-12</c:v>
                </c:pt>
                <c:pt idx="123">
                  <c:v>2.9932409441277661E-12</c:v>
                </c:pt>
                <c:pt idx="124">
                  <c:v>2.9932409441277661E-12</c:v>
                </c:pt>
                <c:pt idx="125">
                  <c:v>2.9932409441277661E-12</c:v>
                </c:pt>
                <c:pt idx="126">
                  <c:v>2.9932409441277661E-12</c:v>
                </c:pt>
                <c:pt idx="127">
                  <c:v>2.9932409441277661E-12</c:v>
                </c:pt>
                <c:pt idx="128">
                  <c:v>2.9932409441277661E-12</c:v>
                </c:pt>
                <c:pt idx="129">
                  <c:v>2.9932409441277661E-12</c:v>
                </c:pt>
                <c:pt idx="130">
                  <c:v>2.9932409441277661E-12</c:v>
                </c:pt>
                <c:pt idx="131">
                  <c:v>2.9932409441277661E-12</c:v>
                </c:pt>
                <c:pt idx="132">
                  <c:v>2.9932409441277661E-12</c:v>
                </c:pt>
                <c:pt idx="133">
                  <c:v>2.9932409441277661E-12</c:v>
                </c:pt>
                <c:pt idx="134">
                  <c:v>2.9932409441277661E-12</c:v>
                </c:pt>
                <c:pt idx="135">
                  <c:v>2.9932409441277661E-12</c:v>
                </c:pt>
                <c:pt idx="136">
                  <c:v>2.9932409441277661E-12</c:v>
                </c:pt>
                <c:pt idx="137">
                  <c:v>2.9932409441277661E-12</c:v>
                </c:pt>
                <c:pt idx="138">
                  <c:v>2.9932409441277661E-12</c:v>
                </c:pt>
                <c:pt idx="139">
                  <c:v>2.9932409441277661E-12</c:v>
                </c:pt>
                <c:pt idx="140">
                  <c:v>2.9932409441277661E-12</c:v>
                </c:pt>
                <c:pt idx="141">
                  <c:v>2.9932409441277661E-12</c:v>
                </c:pt>
                <c:pt idx="142">
                  <c:v>2.9932409441277661E-12</c:v>
                </c:pt>
                <c:pt idx="143">
                  <c:v>2.9932409441277661E-12</c:v>
                </c:pt>
                <c:pt idx="144">
                  <c:v>2.9932409441277661E-12</c:v>
                </c:pt>
                <c:pt idx="145">
                  <c:v>2.9932409441277661E-12</c:v>
                </c:pt>
                <c:pt idx="146">
                  <c:v>2.9932409441277661E-12</c:v>
                </c:pt>
                <c:pt idx="147">
                  <c:v>2.9932409441277661E-12</c:v>
                </c:pt>
                <c:pt idx="148">
                  <c:v>2.9932409441277661E-12</c:v>
                </c:pt>
                <c:pt idx="149">
                  <c:v>2.9932409441277661E-12</c:v>
                </c:pt>
                <c:pt idx="150">
                  <c:v>2.9932409441277661E-12</c:v>
                </c:pt>
                <c:pt idx="151">
                  <c:v>2.9932409441277661E-12</c:v>
                </c:pt>
                <c:pt idx="152">
                  <c:v>2.9932409441277661E-12</c:v>
                </c:pt>
                <c:pt idx="153">
                  <c:v>2.9932409441277661E-12</c:v>
                </c:pt>
                <c:pt idx="154">
                  <c:v>2.9932409441277661E-12</c:v>
                </c:pt>
                <c:pt idx="155">
                  <c:v>2.9932409441277661E-12</c:v>
                </c:pt>
                <c:pt idx="156">
                  <c:v>2.9932409441277661E-12</c:v>
                </c:pt>
                <c:pt idx="157">
                  <c:v>2.9932409441277661E-12</c:v>
                </c:pt>
                <c:pt idx="158">
                  <c:v>2.9932409441277661E-12</c:v>
                </c:pt>
                <c:pt idx="159">
                  <c:v>2.9932409441277661E-12</c:v>
                </c:pt>
                <c:pt idx="160">
                  <c:v>2.9932409441277661E-12</c:v>
                </c:pt>
                <c:pt idx="161">
                  <c:v>2.9932409441277661E-12</c:v>
                </c:pt>
                <c:pt idx="162">
                  <c:v>2.9932409441277661E-12</c:v>
                </c:pt>
                <c:pt idx="163">
                  <c:v>2.9932409441277661E-12</c:v>
                </c:pt>
                <c:pt idx="164">
                  <c:v>2.9932409441277661E-12</c:v>
                </c:pt>
                <c:pt idx="165">
                  <c:v>2.9932409441277661E-12</c:v>
                </c:pt>
                <c:pt idx="166">
                  <c:v>2.9932409441277661E-12</c:v>
                </c:pt>
                <c:pt idx="167">
                  <c:v>2.9932409441277661E-12</c:v>
                </c:pt>
                <c:pt idx="168">
                  <c:v>2.9932409441277661E-12</c:v>
                </c:pt>
                <c:pt idx="169">
                  <c:v>2.9932409441277661E-12</c:v>
                </c:pt>
                <c:pt idx="170">
                  <c:v>2.9932409441277661E-12</c:v>
                </c:pt>
                <c:pt idx="171">
                  <c:v>2.9932409441277661E-12</c:v>
                </c:pt>
                <c:pt idx="172">
                  <c:v>2.9932409441277661E-12</c:v>
                </c:pt>
                <c:pt idx="173">
                  <c:v>2.9932409441277661E-12</c:v>
                </c:pt>
                <c:pt idx="174">
                  <c:v>2.9932409441277661E-12</c:v>
                </c:pt>
                <c:pt idx="175">
                  <c:v>2.9932409441277661E-12</c:v>
                </c:pt>
                <c:pt idx="176">
                  <c:v>2.9932409441277661E-12</c:v>
                </c:pt>
                <c:pt idx="177">
                  <c:v>2.9932409441277661E-12</c:v>
                </c:pt>
                <c:pt idx="178">
                  <c:v>2.9932409441277661E-12</c:v>
                </c:pt>
                <c:pt idx="179">
                  <c:v>2.9932409441277661E-12</c:v>
                </c:pt>
                <c:pt idx="180">
                  <c:v>2.9932409441277661E-12</c:v>
                </c:pt>
                <c:pt idx="181">
                  <c:v>2.9932409441277661E-12</c:v>
                </c:pt>
                <c:pt idx="182">
                  <c:v>2.9932409441277661E-12</c:v>
                </c:pt>
                <c:pt idx="183">
                  <c:v>2.9932409441277661E-12</c:v>
                </c:pt>
                <c:pt idx="184">
                  <c:v>2.9932409441277661E-12</c:v>
                </c:pt>
                <c:pt idx="185">
                  <c:v>2.9932409441277661E-12</c:v>
                </c:pt>
                <c:pt idx="186">
                  <c:v>2.9932409441277661E-12</c:v>
                </c:pt>
                <c:pt idx="187">
                  <c:v>2.9932409441277661E-12</c:v>
                </c:pt>
                <c:pt idx="188">
                  <c:v>2.9932409441277661E-12</c:v>
                </c:pt>
                <c:pt idx="189">
                  <c:v>2.9932409441277661E-12</c:v>
                </c:pt>
                <c:pt idx="190">
                  <c:v>2.9932409441277661E-12</c:v>
                </c:pt>
                <c:pt idx="191">
                  <c:v>2.9932409441277661E-12</c:v>
                </c:pt>
                <c:pt idx="192">
                  <c:v>2.9932409441277661E-12</c:v>
                </c:pt>
                <c:pt idx="193">
                  <c:v>2.9932409441277661E-12</c:v>
                </c:pt>
                <c:pt idx="194">
                  <c:v>2.9932409441277661E-12</c:v>
                </c:pt>
                <c:pt idx="195">
                  <c:v>2.9932409441277661E-12</c:v>
                </c:pt>
                <c:pt idx="196">
                  <c:v>2.9932409441277661E-12</c:v>
                </c:pt>
                <c:pt idx="197">
                  <c:v>2.9932409441277661E-12</c:v>
                </c:pt>
                <c:pt idx="198">
                  <c:v>2.9932409441277661E-12</c:v>
                </c:pt>
                <c:pt idx="199">
                  <c:v>2.9932409441277661E-12</c:v>
                </c:pt>
                <c:pt idx="200">
                  <c:v>2.9932409441277661E-12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0221296"/>
        <c:axId val="-1059215216"/>
      </c:scatterChart>
      <c:valAx>
        <c:axId val="-13402212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15216"/>
        <c:crosses val="autoZero"/>
        <c:crossBetween val="midCat"/>
      </c:valAx>
      <c:valAx>
        <c:axId val="-105921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0221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1.4217567752663396</c:v>
                </c:pt>
                <c:pt idx="2">
                  <c:v>1.6496387760333995</c:v>
                </c:pt>
                <c:pt idx="3">
                  <c:v>1.9141825094116696</c:v>
                </c:pt>
                <c:pt idx="4">
                  <c:v>2.2213069404908978</c:v>
                </c:pt>
                <c:pt idx="5">
                  <c:v>2.5778898048880068</c:v>
                </c:pt>
                <c:pt idx="6">
                  <c:v>2.9919233927322302</c:v>
                </c:pt>
                <c:pt idx="7">
                  <c:v>3.472695717358198</c:v>
                </c:pt>
                <c:pt idx="8">
                  <c:v>4.0310012160061346</c:v>
                </c:pt>
                <c:pt idx="9">
                  <c:v>4.6793858090430804</c:v>
                </c:pt>
                <c:pt idx="10">
                  <c:v>5.432431934915944</c:v>
                </c:pt>
                <c:pt idx="11">
                  <c:v>6.3070900985608995</c:v>
                </c:pt>
                <c:pt idx="12">
                  <c:v>7.3230645426796004</c:v>
                </c:pt>
                <c:pt idx="13">
                  <c:v>8.5032618990257713</c:v>
                </c:pt>
                <c:pt idx="14">
                  <c:v>9.8743131296009761</c:v>
                </c:pt>
                <c:pt idx="15">
                  <c:v>11.467180759188034</c:v>
                </c:pt>
                <c:pt idx="16">
                  <c:v>13.31786537027314</c:v>
                </c:pt>
                <c:pt idx="17">
                  <c:v>15.468227624926827</c:v>
                </c:pt>
                <c:pt idx="18">
                  <c:v>17.96694474899018</c:v>
                </c:pt>
                <c:pt idx="19">
                  <c:v>20.870623524111782</c:v>
                </c:pt>
                <c:pt idx="20">
                  <c:v>24.245095455229389</c:v>
                </c:pt>
                <c:pt idx="21">
                  <c:v>28.166923999370677</c:v>
                </c:pt>
                <c:pt idx="22">
                  <c:v>32.725158654475884</c:v>
                </c:pt>
                <c:pt idx="23">
                  <c:v>38.023376428874322</c:v>
                </c:pt>
                <c:pt idx="24">
                  <c:v>44.182057876552157</c:v>
                </c:pt>
                <c:pt idx="25">
                  <c:v>51.341352645956526</c:v>
                </c:pt>
                <c:pt idx="26">
                  <c:v>59.664298532021071</c:v>
                </c:pt>
                <c:pt idx="27">
                  <c:v>69.340568553547996</c:v>
                </c:pt>
                <c:pt idx="28">
                  <c:v>80.590832847134777</c:v>
                </c:pt>
                <c:pt idx="29">
                  <c:v>93.671836461268967</c:v>
                </c:pt>
                <c:pt idx="30">
                  <c:v>108.88231078423301</c:v>
                </c:pt>
                <c:pt idx="31">
                  <c:v>118.03208120289025</c:v>
                </c:pt>
                <c:pt idx="32">
                  <c:v>127.16454093707324</c:v>
                </c:pt>
                <c:pt idx="33">
                  <c:v>136.28111027557466</c:v>
                </c:pt>
                <c:pt idx="34">
                  <c:v>145.38300356865543</c:v>
                </c:pt>
                <c:pt idx="35">
                  <c:v>154.47127040505103</c:v>
                </c:pt>
                <c:pt idx="36">
                  <c:v>164.62257075242445</c:v>
                </c:pt>
                <c:pt idx="37">
                  <c:v>174.75908346315285</c:v>
                </c:pt>
                <c:pt idx="38">
                  <c:v>184.88178804027584</c:v>
                </c:pt>
                <c:pt idx="39">
                  <c:v>194.99154782254652</c:v>
                </c:pt>
                <c:pt idx="40">
                  <c:v>205.08912920241869</c:v>
                </c:pt>
                <c:pt idx="41">
                  <c:v>216.07167176294379</c:v>
                </c:pt>
                <c:pt idx="42">
                  <c:v>227.04137501930674</c:v>
                </c:pt>
                <c:pt idx="43">
                  <c:v>237.99894718169116</c:v>
                </c:pt>
                <c:pt idx="44">
                  <c:v>248.9450258663492</c:v>
                </c:pt>
                <c:pt idx="45">
                  <c:v>259.88018799430489</c:v>
                </c:pt>
                <c:pt idx="46">
                  <c:v>271.55455561199773</c:v>
                </c:pt>
                <c:pt idx="47">
                  <c:v>283.21763703149043</c:v>
                </c:pt>
                <c:pt idx="48">
                  <c:v>294.86996273477894</c:v>
                </c:pt>
                <c:pt idx="49">
                  <c:v>306.51201783346147</c:v>
                </c:pt>
                <c:pt idx="50">
                  <c:v>318.14424756196712</c:v>
                </c:pt>
                <c:pt idx="51">
                  <c:v>329.76706192494237</c:v>
                </c:pt>
                <c:pt idx="52">
                  <c:v>239.67683700392948</c:v>
                </c:pt>
                <c:pt idx="53">
                  <c:v>250.29218464838678</c:v>
                </c:pt>
                <c:pt idx="54">
                  <c:v>260.8973260680587</c:v>
                </c:pt>
                <c:pt idx="55">
                  <c:v>271.49273488667239</c:v>
                </c:pt>
                <c:pt idx="56">
                  <c:v>282.07884471495868</c:v>
                </c:pt>
                <c:pt idx="57">
                  <c:v>292.65605393833511</c:v>
                </c:pt>
                <c:pt idx="58">
                  <c:v>303.66796237794057</c:v>
                </c:pt>
                <c:pt idx="59">
                  <c:v>314.67098963455902</c:v>
                </c:pt>
                <c:pt idx="60">
                  <c:v>325.66549017002541</c:v>
                </c:pt>
                <c:pt idx="61">
                  <c:v>336.65179254781509</c:v>
                </c:pt>
                <c:pt idx="62">
                  <c:v>347.63020212685018</c:v>
                </c:pt>
                <c:pt idx="63">
                  <c:v>358.60100339709601</c:v>
                </c:pt>
                <c:pt idx="64">
                  <c:v>260.03231321547509</c:v>
                </c:pt>
                <c:pt idx="65">
                  <c:v>269.77193063297682</c:v>
                </c:pt>
                <c:pt idx="66">
                  <c:v>279.50363527600848</c:v>
                </c:pt>
                <c:pt idx="67">
                  <c:v>289.22774169786436</c:v>
                </c:pt>
                <c:pt idx="68">
                  <c:v>298.94454155777515</c:v>
                </c:pt>
                <c:pt idx="69">
                  <c:v>308.65430599336338</c:v>
                </c:pt>
                <c:pt idx="70">
                  <c:v>318.62294171430648</c:v>
                </c:pt>
                <c:pt idx="71">
                  <c:v>328.58467368958503</c:v>
                </c:pt>
                <c:pt idx="72">
                  <c:v>338.53974084807078</c:v>
                </c:pt>
                <c:pt idx="73">
                  <c:v>348.48836691199364</c:v>
                </c:pt>
                <c:pt idx="74">
                  <c:v>358.43076178064831</c:v>
                </c:pt>
                <c:pt idx="75">
                  <c:v>368.36712275248732</c:v>
                </c:pt>
                <c:pt idx="76">
                  <c:v>291.91671551884872</c:v>
                </c:pt>
                <c:pt idx="77">
                  <c:v>300.87214322749122</c:v>
                </c:pt>
                <c:pt idx="78">
                  <c:v>309.82163676754641</c:v>
                </c:pt>
                <c:pt idx="79">
                  <c:v>318.76539185761334</c:v>
                </c:pt>
                <c:pt idx="80">
                  <c:v>327.70359232869743</c:v>
                </c:pt>
                <c:pt idx="81">
                  <c:v>336.63641115786692</c:v>
                </c:pt>
                <c:pt idx="82">
                  <c:v>345.70364470995446</c:v>
                </c:pt>
                <c:pt idx="83">
                  <c:v>354.76565626068276</c:v>
                </c:pt>
                <c:pt idx="84">
                  <c:v>363.82259809116505</c:v>
                </c:pt>
                <c:pt idx="85">
                  <c:v>372.87461427751396</c:v>
                </c:pt>
                <c:pt idx="86">
                  <c:v>381.92184132571924</c:v>
                </c:pt>
                <c:pt idx="87">
                  <c:v>390.96440874320393</c:v>
                </c:pt>
                <c:pt idx="88">
                  <c:v>316.23957957327008</c:v>
                </c:pt>
                <c:pt idx="89">
                  <c:v>324.36731982730089</c:v>
                </c:pt>
                <c:pt idx="90">
                  <c:v>332.49055967837018</c:v>
                </c:pt>
                <c:pt idx="91">
                  <c:v>340.60942467657702</c:v>
                </c:pt>
                <c:pt idx="92">
                  <c:v>348.72403389340735</c:v>
                </c:pt>
                <c:pt idx="93">
                  <c:v>356.8345004023297</c:v>
                </c:pt>
                <c:pt idx="94">
                  <c:v>364.97803760821688</c:v>
                </c:pt>
                <c:pt idx="95">
                  <c:v>373.11760631918406</c:v>
                </c:pt>
                <c:pt idx="96">
                  <c:v>381.25330537802529</c:v>
                </c:pt>
                <c:pt idx="97">
                  <c:v>389.38522906199631</c:v>
                </c:pt>
                <c:pt idx="98">
                  <c:v>397.51346738672737</c:v>
                </c:pt>
                <c:pt idx="99">
                  <c:v>405.63810638397126</c:v>
                </c:pt>
                <c:pt idx="100">
                  <c:v>212.76508133047199</c:v>
                </c:pt>
                <c:pt idx="101">
                  <c:v>218.67199561794735</c:v>
                </c:pt>
                <c:pt idx="102">
                  <c:v>224.57524361030281</c:v>
                </c:pt>
                <c:pt idx="103">
                  <c:v>230.47493544221061</c:v>
                </c:pt>
                <c:pt idx="104">
                  <c:v>236.37117514013221</c:v>
                </c:pt>
                <c:pt idx="105">
                  <c:v>241.87202761852049</c:v>
                </c:pt>
                <c:pt idx="106">
                  <c:v>247.37003385573931</c:v>
                </c:pt>
                <c:pt idx="107">
                  <c:v>252.86526614443781</c:v>
                </c:pt>
                <c:pt idx="108">
                  <c:v>258.35779337351011</c:v>
                </c:pt>
                <c:pt idx="109">
                  <c:v>263.84768125895852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9205424"/>
        <c:axId val="-1059220656"/>
      </c:scatterChart>
      <c:valAx>
        <c:axId val="-10592054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20656"/>
        <c:crosses val="autoZero"/>
        <c:crossBetween val="midCat"/>
      </c:valAx>
      <c:valAx>
        <c:axId val="-105922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05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59207600"/>
        <c:axId val="-1059217936"/>
      </c:scatterChart>
      <c:valAx>
        <c:axId val="-10592076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17936"/>
        <c:crosses val="autoZero"/>
        <c:crossBetween val="midCat"/>
      </c:valAx>
      <c:valAx>
        <c:axId val="-1059217936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59207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opLeftCell="A16" zoomScale="85" zoomScaleNormal="85" workbookViewId="0">
      <selection activeCell="C26" sqref="C2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4"/>
      <c r="I3" s="227" t="s">
        <v>304</v>
      </c>
      <c r="J3" s="9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6"/>
      <c r="B4" s="96"/>
      <c r="C4" s="96"/>
      <c r="D4" s="96"/>
      <c r="E4" s="96"/>
      <c r="F4" s="96"/>
      <c r="G4" s="237"/>
      <c r="I4" s="227" t="s">
        <v>305</v>
      </c>
      <c r="J4" s="9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6.67</v>
      </c>
      <c r="D5" s="305" t="s">
        <v>229</v>
      </c>
      <c r="E5" s="306"/>
      <c r="F5" s="96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7"/>
      <c r="B6" s="97"/>
      <c r="C6" s="98"/>
      <c r="D6" s="91"/>
      <c r="E6" s="91"/>
      <c r="F6" s="29"/>
      <c r="G6" s="239"/>
      <c r="H6" s="240"/>
      <c r="I6" s="240"/>
      <c r="J6" s="247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38" ht="26.25" x14ac:dyDescent="0.25">
      <c r="A7" s="302" t="s">
        <v>226</v>
      </c>
      <c r="B7" s="302"/>
      <c r="C7" s="96"/>
      <c r="D7" s="96"/>
      <c r="E7" s="5"/>
      <c r="F7" s="96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18</v>
      </c>
      <c r="C9" s="35">
        <v>0.28070000000000001</v>
      </c>
      <c r="D9" s="36">
        <f t="shared" ref="D9:D18" si="0">C9*$C$5</f>
        <v>1.872269</v>
      </c>
      <c r="E9" s="37">
        <v>70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35</v>
      </c>
      <c r="C10" s="35">
        <v>0.13220000000000001</v>
      </c>
      <c r="D10" s="36">
        <f t="shared" si="0"/>
        <v>0.88177400000000006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14</v>
      </c>
      <c r="C11" s="35">
        <f>12.47%+6.24%</f>
        <v>0.18710000000000002</v>
      </c>
      <c r="D11" s="36">
        <f t="shared" si="0"/>
        <v>1.2479570000000002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8</v>
      </c>
      <c r="C12" s="35">
        <v>7.0199999999999999E-2</v>
      </c>
      <c r="D12" s="36">
        <f t="shared" si="0"/>
        <v>0.46823399999999998</v>
      </c>
      <c r="E12" s="37">
        <v>80</v>
      </c>
      <c r="F12" s="38" t="str">
        <f t="array" ref="F12">IF(E12="","",IF(INDEX(A:A,MAX(IF(ISNUMBER($A$114:$A$133),ROW($A$114:$A$133),"")))&lt;&gt;E12,"Corrigez : révolution incorrecte","OK"))</f>
        <v>OK</v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29</v>
      </c>
      <c r="C13" s="35">
        <v>7.0199999999999999E-2</v>
      </c>
      <c r="D13" s="36">
        <f t="shared" si="0"/>
        <v>0.46823399999999998</v>
      </c>
      <c r="E13" s="37">
        <v>69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22</v>
      </c>
      <c r="C14" s="35">
        <f>4.68%+4.41%</f>
        <v>9.0899999999999995E-2</v>
      </c>
      <c r="D14" s="36">
        <f t="shared" si="0"/>
        <v>0.60630299999999993</v>
      </c>
      <c r="E14" s="37">
        <v>80</v>
      </c>
      <c r="F14" s="38" t="str">
        <f t="array" ref="F14">IF(E14="","",IF(INDEX(A:A,MAX(IF(ISNUMBER($A$166:$A$185),ROW($A$166:$A$185),"")))&lt;&gt;E14,"Corrigez : révolution incorrecte","OK"))</f>
        <v>OK</v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 t="s">
        <v>6</v>
      </c>
      <c r="C15" s="35">
        <v>4.6800000000000001E-2</v>
      </c>
      <c r="D15" s="36">
        <f t="shared" si="0"/>
        <v>0.31215599999999999</v>
      </c>
      <c r="E15" s="37">
        <v>120</v>
      </c>
      <c r="F15" s="38" t="str">
        <f t="array" ref="F15">IF(E15="","",IF(INDEX(A:A,MAX(IF(ISNUMBER($A$192:$A$211),ROW($A$192:$A$211),"")))&lt;&gt;E15,"Corrigez : révolution incorrecte","OK"))</f>
        <v>OK</v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 t="s">
        <v>164</v>
      </c>
      <c r="C16" s="35">
        <v>4.41E-2</v>
      </c>
      <c r="D16" s="36">
        <f t="shared" si="0"/>
        <v>0.29414699999999999</v>
      </c>
      <c r="E16" s="37">
        <v>109</v>
      </c>
      <c r="F16" s="38" t="str">
        <f t="array" ref="F16">IF(E16="","",IF(INDEX(A:A,MAX(IF(ISNUMBER($A$218:$A$237),ROW($A$218:$A$237),"")))&lt;&gt;E16,"Corrigez : révolution incorrecte","OK"))</f>
        <v>OK</v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 t="s">
        <v>1</v>
      </c>
      <c r="C17" s="35">
        <f>3.12%+1.56%</f>
        <v>4.6800000000000001E-2</v>
      </c>
      <c r="D17" s="36">
        <f t="shared" si="0"/>
        <v>0.31215599999999999</v>
      </c>
      <c r="E17" s="37">
        <v>150</v>
      </c>
      <c r="F17" s="38" t="str">
        <f t="array" ref="F17">IF(E17="","",IF(INDEX(A:A,MAX(IF(ISNUMBER($A$244:$A$263),ROW($A$244:$A$263),"")))&lt;&gt;E17,"Corrigez : révolution incorrecte","OK"))</f>
        <v>OK</v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 t="s">
        <v>50</v>
      </c>
      <c r="C18" s="35">
        <v>1.5599999999999999E-2</v>
      </c>
      <c r="D18" s="36">
        <f t="shared" si="0"/>
        <v>0.10405199999999999</v>
      </c>
      <c r="E18" s="37">
        <v>110</v>
      </c>
      <c r="F18" s="38" t="str">
        <f t="array" ref="F18">IF(E18="","",IF(INDEX(A:A,MAX(IF(ISNUMBER($A$270:$A$289),ROW($A$270:$A$289),"")))&lt;&gt;E18,"Corrigez : révolution incorrecte","OK"))</f>
        <v>OK</v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99"/>
      <c r="B19" s="39" t="s">
        <v>175</v>
      </c>
      <c r="C19" s="40">
        <f>SUM(C9:C18)</f>
        <v>0.98460000000000003</v>
      </c>
      <c r="D19" s="41">
        <f>SUM(D9:D18)</f>
        <v>6.5672819999999996</v>
      </c>
      <c r="E19" s="5"/>
      <c r="F19" s="100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99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8"/>
      <c r="H22" s="229"/>
      <c r="I22" s="247"/>
      <c r="J22" s="247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45" x14ac:dyDescent="0.25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1"/>
      <c r="F24" s="101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2"/>
      <c r="E25" s="5"/>
      <c r="F25" s="102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1"/>
      <c r="F26" s="101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1"/>
      <c r="F27" s="101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49"/>
      <c r="H30" s="247"/>
      <c r="I30" s="247"/>
      <c r="J30" s="247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</row>
    <row r="31" spans="1:45" x14ac:dyDescent="0.25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Douglas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0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3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19</v>
      </c>
      <c r="B36" s="63">
        <f>192.63/1.3</f>
        <v>148.17692307692306</v>
      </c>
      <c r="C36" s="63"/>
      <c r="D36" s="63"/>
      <c r="E36" s="54"/>
      <c r="F36" s="54"/>
      <c r="G36" s="54"/>
      <c r="H36" s="54"/>
      <c r="I36" s="52">
        <f>IFERROR(B36/A36,"")</f>
        <v>7.7987854251012134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21</v>
      </c>
      <c r="B37" s="63">
        <f>234.08/1.3</f>
        <v>180.06153846153848</v>
      </c>
      <c r="C37" s="63">
        <v>1</v>
      </c>
      <c r="D37" s="63">
        <f>79.52/1.3</f>
        <v>61.169230769230765</v>
      </c>
      <c r="E37" s="54"/>
      <c r="F37" s="54">
        <v>0.2</v>
      </c>
      <c r="G37" s="54">
        <v>0.4</v>
      </c>
      <c r="H37" s="54">
        <v>0.4</v>
      </c>
      <c r="I37" s="56">
        <f t="shared" ref="I37:I55" si="1">IF(A37&lt;&gt;0,(B37-(B36-D36))/(A37-A36),"")</f>
        <v>15.942307692307708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28</v>
      </c>
      <c r="B38" s="63">
        <f>306.42/1.3</f>
        <v>235.7076923076923</v>
      </c>
      <c r="C38" s="63">
        <v>2</v>
      </c>
      <c r="D38" s="63">
        <f>73.99/1.3</f>
        <v>56.91538461538461</v>
      </c>
      <c r="E38" s="54">
        <v>0.2</v>
      </c>
      <c r="F38" s="54">
        <v>0.2</v>
      </c>
      <c r="G38" s="54">
        <v>0.3</v>
      </c>
      <c r="H38" s="54">
        <v>0.3</v>
      </c>
      <c r="I38" s="56">
        <f t="shared" si="1"/>
        <v>16.687912087912085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f>279.49/1.3</f>
        <v>214.99230769230769</v>
      </c>
      <c r="C39" s="63"/>
      <c r="D39" s="63"/>
      <c r="E39" s="54"/>
      <c r="F39" s="54"/>
      <c r="G39" s="54"/>
      <c r="H39" s="54"/>
      <c r="I39" s="52">
        <f t="shared" si="1"/>
        <v>18.099999999999994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35</v>
      </c>
      <c r="B40" s="63">
        <f>397.14/1.3</f>
        <v>305.49230769230769</v>
      </c>
      <c r="C40" s="63">
        <v>3</v>
      </c>
      <c r="D40" s="63">
        <f>91.65/1.3</f>
        <v>70.5</v>
      </c>
      <c r="E40" s="54"/>
      <c r="F40" s="54"/>
      <c r="G40" s="54"/>
      <c r="H40" s="54"/>
      <c r="I40" s="52">
        <f t="shared" si="1"/>
        <v>18.100000000000001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42</v>
      </c>
      <c r="B41" s="63">
        <f>471.38/1.3</f>
        <v>362.59999999999997</v>
      </c>
      <c r="C41" s="63">
        <v>4</v>
      </c>
      <c r="D41" s="63">
        <f>104.87/1.3</f>
        <v>80.669230769230765</v>
      </c>
      <c r="E41" s="54"/>
      <c r="F41" s="54"/>
      <c r="G41" s="54"/>
      <c r="H41" s="54"/>
      <c r="I41" s="56">
        <f t="shared" si="1"/>
        <v>18.229670329670324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49</v>
      </c>
      <c r="B42" s="63">
        <f>525.94/1.3</f>
        <v>404.56923076923078</v>
      </c>
      <c r="C42" s="63">
        <v>5</v>
      </c>
      <c r="D42" s="63">
        <f>117.59/1.3</f>
        <v>90.453846153846158</v>
      </c>
      <c r="E42" s="54"/>
      <c r="F42" s="54"/>
      <c r="G42" s="54"/>
      <c r="H42" s="54"/>
      <c r="I42" s="56">
        <f t="shared" si="1"/>
        <v>17.519780219780223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2">
        <v>56</v>
      </c>
      <c r="B43" s="63">
        <f>556.02/1.3</f>
        <v>427.7076923076923</v>
      </c>
      <c r="C43" s="63">
        <v>6</v>
      </c>
      <c r="D43" s="63">
        <f>98.63/1.3</f>
        <v>75.869230769230768</v>
      </c>
      <c r="E43" s="54"/>
      <c r="F43" s="54"/>
      <c r="G43" s="54"/>
      <c r="H43" s="54"/>
      <c r="I43" s="52">
        <f t="shared" si="1"/>
        <v>16.227472527472521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2">
        <v>63</v>
      </c>
      <c r="B44" s="63">
        <f>592.43/1.3</f>
        <v>455.71538461538455</v>
      </c>
      <c r="C44" s="63">
        <v>7</v>
      </c>
      <c r="D44" s="63">
        <f>103.64/1.3</f>
        <v>79.723076923076917</v>
      </c>
      <c r="E44" s="54"/>
      <c r="F44" s="54"/>
      <c r="G44" s="54"/>
      <c r="H44" s="54"/>
      <c r="I44" s="52">
        <f t="shared" si="1"/>
        <v>14.839560439560435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2">
        <v>69</v>
      </c>
      <c r="B45" s="63">
        <f>593.1/1.3</f>
        <v>456.23076923076923</v>
      </c>
      <c r="C45" s="63"/>
      <c r="D45" s="63"/>
      <c r="E45" s="54"/>
      <c r="F45" s="54"/>
      <c r="G45" s="54"/>
      <c r="H45" s="54"/>
      <c r="I45" s="52">
        <f t="shared" si="1"/>
        <v>13.373076923076932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2">
        <v>70</v>
      </c>
      <c r="B46" s="63">
        <f>609.79/1.3</f>
        <v>469.06923076923073</v>
      </c>
      <c r="C46" s="63">
        <v>8</v>
      </c>
      <c r="D46" s="63">
        <f>B46</f>
        <v>469.06923076923073</v>
      </c>
      <c r="E46" s="54"/>
      <c r="F46" s="54"/>
      <c r="G46" s="54"/>
      <c r="H46" s="54"/>
      <c r="I46" s="52">
        <f t="shared" si="1"/>
        <v>12.838461538461502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2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2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2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2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laricio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4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0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3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15</v>
      </c>
      <c r="B62" s="63">
        <f>46.42/1.3</f>
        <v>35.707692307692305</v>
      </c>
      <c r="C62" s="63"/>
      <c r="D62" s="63"/>
      <c r="E62" s="54"/>
      <c r="F62" s="54"/>
      <c r="G62" s="54"/>
      <c r="H62" s="92"/>
      <c r="I62" s="56">
        <f>IFERROR(B62/A62,"")</f>
        <v>2.3805128205128203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21</v>
      </c>
      <c r="B63" s="63">
        <f>148.63/1.3</f>
        <v>114.33076923076922</v>
      </c>
      <c r="C63" s="63"/>
      <c r="D63" s="63"/>
      <c r="E63" s="54"/>
      <c r="F63" s="54"/>
      <c r="G63" s="54"/>
      <c r="H63" s="92"/>
      <c r="I63" s="52">
        <f>IF(A63&lt;&gt;0,(B63-(B62-D62))/(A63-A62),"")</f>
        <v>13.103846153846154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f>168.98/1.3</f>
        <v>129.98461538461538</v>
      </c>
      <c r="C64" s="63">
        <v>1</v>
      </c>
      <c r="D64" s="63">
        <f>68.57/1.3</f>
        <v>52.746153846153838</v>
      </c>
      <c r="E64" s="92"/>
      <c r="F64" s="92"/>
      <c r="G64" s="92"/>
      <c r="H64" s="92">
        <v>1</v>
      </c>
      <c r="I64" s="52">
        <f>IF(A64&lt;&gt;0,(B64-(B63-D63))/(A64-A63),"")</f>
        <v>15.65384615384616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24</v>
      </c>
      <c r="B65" s="63">
        <f>129.64/1.3</f>
        <v>99.723076923076903</v>
      </c>
      <c r="C65" s="63"/>
      <c r="D65" s="63"/>
      <c r="E65" s="92"/>
      <c r="F65" s="92"/>
      <c r="G65" s="92"/>
      <c r="H65" s="92"/>
      <c r="I65" s="52">
        <f>IF(A65&lt;&gt;0,(B65-(B64-D64))/(A65-A64),"")</f>
        <v>11.242307692307683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27</v>
      </c>
      <c r="B66" s="63">
        <f>182.93/1.3</f>
        <v>140.71538461538461</v>
      </c>
      <c r="C66" s="63">
        <v>2</v>
      </c>
      <c r="D66" s="63">
        <f>45.04/1.3</f>
        <v>34.646153846153844</v>
      </c>
      <c r="E66" s="92"/>
      <c r="F66" s="92"/>
      <c r="G66" s="92">
        <v>0.5</v>
      </c>
      <c r="H66" s="92">
        <v>0.5</v>
      </c>
      <c r="I66" s="52">
        <f t="shared" ref="I66:I81" si="2">IF(A66&lt;&gt;0,(B66-(B65-D65))/(A66-A65),"")</f>
        <v>13.664102564102569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30</v>
      </c>
      <c r="B67" s="63">
        <f>188.48/1.3</f>
        <v>144.98461538461538</v>
      </c>
      <c r="C67" s="63"/>
      <c r="D67" s="63"/>
      <c r="E67" s="92"/>
      <c r="F67" s="92"/>
      <c r="G67" s="92"/>
      <c r="H67" s="92"/>
      <c r="I67" s="52">
        <f t="shared" si="2"/>
        <v>12.971794871794875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33</v>
      </c>
      <c r="B68" s="63">
        <f>239.07/1.3</f>
        <v>183.89999999999998</v>
      </c>
      <c r="C68" s="63">
        <v>3</v>
      </c>
      <c r="D68" s="63">
        <f>55.91/1.3</f>
        <v>43.007692307692302</v>
      </c>
      <c r="E68" s="92"/>
      <c r="F68" s="92"/>
      <c r="G68" s="92"/>
      <c r="H68" s="92"/>
      <c r="I68" s="52">
        <f t="shared" si="2"/>
        <v>12.971794871794865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63">
        <v>41</v>
      </c>
      <c r="B69" s="63">
        <f>315.66/1.3</f>
        <v>242.81538461538463</v>
      </c>
      <c r="C69" s="63">
        <v>4</v>
      </c>
      <c r="D69" s="63">
        <f>76.03/1.3</f>
        <v>58.484615384615381</v>
      </c>
      <c r="E69" s="92"/>
      <c r="F69" s="92"/>
      <c r="G69" s="92"/>
      <c r="H69" s="92"/>
      <c r="I69" s="52">
        <f t="shared" si="2"/>
        <v>12.74038461538462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63">
        <v>50</v>
      </c>
      <c r="B70" s="63">
        <f>378.41/1.3</f>
        <v>291.0846153846154</v>
      </c>
      <c r="C70" s="63">
        <v>5</v>
      </c>
      <c r="D70" s="63">
        <f>71.88/1.3</f>
        <v>55.292307692307688</v>
      </c>
      <c r="E70" s="92"/>
      <c r="F70" s="92"/>
      <c r="G70" s="92"/>
      <c r="H70" s="92"/>
      <c r="I70" s="52">
        <f t="shared" si="2"/>
        <v>11.861538461538462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63">
        <v>60</v>
      </c>
      <c r="B71" s="63">
        <f>445.15/1.3</f>
        <v>342.42307692307691</v>
      </c>
      <c r="C71" s="63">
        <v>6</v>
      </c>
      <c r="D71" s="63">
        <f>70.54/1.3</f>
        <v>54.261538461538464</v>
      </c>
      <c r="E71" s="92"/>
      <c r="F71" s="92"/>
      <c r="G71" s="92"/>
      <c r="H71" s="92"/>
      <c r="I71" s="52">
        <f t="shared" si="2"/>
        <v>10.66307692307692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63">
        <v>70</v>
      </c>
      <c r="B72" s="63">
        <f>493.99/1.3</f>
        <v>379.99230769230769</v>
      </c>
      <c r="C72" s="63">
        <v>7</v>
      </c>
      <c r="D72" s="63">
        <f>68.47/1.3</f>
        <v>52.669230769230765</v>
      </c>
      <c r="E72" s="92"/>
      <c r="F72" s="92"/>
      <c r="G72" s="92"/>
      <c r="H72" s="92"/>
      <c r="I72" s="52">
        <f t="shared" si="2"/>
        <v>9.1830769230769249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63">
        <v>80</v>
      </c>
      <c r="B73" s="63">
        <f>523.78/1.3</f>
        <v>402.90769230769229</v>
      </c>
      <c r="C73" s="63">
        <v>8</v>
      </c>
      <c r="D73" s="63">
        <f>B73</f>
        <v>402.90769230769229</v>
      </c>
      <c r="E73" s="92"/>
      <c r="F73" s="92"/>
      <c r="G73" s="92"/>
      <c r="H73" s="92"/>
      <c r="I73" s="52">
        <f t="shared" si="2"/>
        <v>7.5584615384615343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sessile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4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0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42</v>
      </c>
      <c r="C88" s="63"/>
      <c r="D88" s="63"/>
      <c r="E88" s="54"/>
      <c r="F88" s="54"/>
      <c r="G88" s="54"/>
      <c r="H88" s="54"/>
      <c r="I88" s="56">
        <f>IFERROR(B88/A88,"")</f>
        <v>2.1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25</v>
      </c>
      <c r="B89" s="63">
        <f>62+8</f>
        <v>70</v>
      </c>
      <c r="C89" s="63"/>
      <c r="D89" s="63"/>
      <c r="E89" s="54"/>
      <c r="F89" s="54"/>
      <c r="G89" s="54"/>
      <c r="H89" s="54"/>
      <c r="I89" s="56">
        <f t="shared" ref="I89:I107" si="3">IF(A89&lt;&gt;0,(B89-(B88-D88))/(A89-A88),"")</f>
        <v>5.6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30</v>
      </c>
      <c r="B90" s="63">
        <f>76+8+21</f>
        <v>105</v>
      </c>
      <c r="C90" s="63">
        <v>1</v>
      </c>
      <c r="D90" s="63">
        <f>8+21</f>
        <v>29</v>
      </c>
      <c r="E90" s="54"/>
      <c r="F90" s="54"/>
      <c r="G90" s="54"/>
      <c r="H90" s="54">
        <v>1</v>
      </c>
      <c r="I90" s="56">
        <f t="shared" si="3"/>
        <v>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35</v>
      </c>
      <c r="B91" s="63">
        <f>95+21</f>
        <v>116</v>
      </c>
      <c r="C91" s="63"/>
      <c r="D91" s="63"/>
      <c r="E91" s="54"/>
      <c r="F91" s="54"/>
      <c r="G91" s="54"/>
      <c r="H91" s="54"/>
      <c r="I91" s="56">
        <f t="shared" si="3"/>
        <v>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40</v>
      </c>
      <c r="B92" s="63">
        <f>116+21+21</f>
        <v>158</v>
      </c>
      <c r="C92" s="63">
        <v>2</v>
      </c>
      <c r="D92" s="63">
        <f>21+21</f>
        <v>42</v>
      </c>
      <c r="E92" s="54"/>
      <c r="F92" s="54"/>
      <c r="G92" s="54"/>
      <c r="H92" s="54"/>
      <c r="I92" s="56">
        <f t="shared" si="3"/>
        <v>8.4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45</v>
      </c>
      <c r="B93" s="63">
        <f>137+21</f>
        <v>158</v>
      </c>
      <c r="C93" s="63"/>
      <c r="D93" s="63"/>
      <c r="E93" s="54"/>
      <c r="F93" s="54"/>
      <c r="G93" s="54"/>
      <c r="H93" s="54"/>
      <c r="I93" s="56">
        <f t="shared" si="3"/>
        <v>8.4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50</v>
      </c>
      <c r="B94" s="63">
        <f>157+21+21</f>
        <v>199</v>
      </c>
      <c r="C94" s="63">
        <v>3</v>
      </c>
      <c r="D94" s="63">
        <f>21+21</f>
        <v>42</v>
      </c>
      <c r="E94" s="54"/>
      <c r="F94" s="54"/>
      <c r="G94" s="54"/>
      <c r="H94" s="54"/>
      <c r="I94" s="56">
        <f t="shared" si="3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53">
        <v>55</v>
      </c>
      <c r="B95" s="63">
        <f>176+21</f>
        <v>197</v>
      </c>
      <c r="C95" s="63"/>
      <c r="D95" s="63"/>
      <c r="E95" s="54"/>
      <c r="F95" s="54"/>
      <c r="G95" s="54"/>
      <c r="H95" s="54"/>
      <c r="I95" s="56">
        <f t="shared" si="3"/>
        <v>8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53">
        <v>60</v>
      </c>
      <c r="B96" s="53">
        <v>235</v>
      </c>
      <c r="C96" s="53">
        <v>4</v>
      </c>
      <c r="D96" s="53">
        <v>42</v>
      </c>
      <c r="E96" s="54"/>
      <c r="F96" s="54"/>
      <c r="G96" s="54"/>
      <c r="H96" s="54"/>
      <c r="I96" s="56">
        <f t="shared" si="3"/>
        <v>7.6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53">
        <v>65</v>
      </c>
      <c r="B97" s="53">
        <v>229</v>
      </c>
      <c r="C97" s="53"/>
      <c r="D97" s="53"/>
      <c r="E97" s="54"/>
      <c r="F97" s="54"/>
      <c r="G97" s="54"/>
      <c r="H97" s="54"/>
      <c r="I97" s="56">
        <f t="shared" si="3"/>
        <v>7.2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53">
        <v>70</v>
      </c>
      <c r="B98" s="53">
        <v>263</v>
      </c>
      <c r="C98" s="53">
        <v>5</v>
      </c>
      <c r="D98" s="53">
        <v>42</v>
      </c>
      <c r="E98" s="54"/>
      <c r="F98" s="54"/>
      <c r="G98" s="54"/>
      <c r="H98" s="54"/>
      <c r="I98" s="56">
        <f t="shared" si="3"/>
        <v>6.8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53">
        <v>75</v>
      </c>
      <c r="B99" s="53">
        <v>252</v>
      </c>
      <c r="C99" s="53"/>
      <c r="D99" s="53"/>
      <c r="E99" s="54"/>
      <c r="F99" s="54"/>
      <c r="G99" s="54"/>
      <c r="H99" s="54"/>
      <c r="I99" s="56">
        <f t="shared" si="3"/>
        <v>6.2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53">
        <v>80</v>
      </c>
      <c r="B100" s="53">
        <v>282</v>
      </c>
      <c r="C100" s="53">
        <v>6</v>
      </c>
      <c r="D100" s="53">
        <v>42</v>
      </c>
      <c r="E100" s="54"/>
      <c r="F100" s="54"/>
      <c r="G100" s="54"/>
      <c r="H100" s="54"/>
      <c r="I100" s="56">
        <f t="shared" si="3"/>
        <v>6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53">
        <v>90</v>
      </c>
      <c r="B101" s="53">
        <v>296</v>
      </c>
      <c r="C101" s="53">
        <v>7</v>
      </c>
      <c r="D101" s="53">
        <v>42</v>
      </c>
      <c r="E101" s="54"/>
      <c r="F101" s="54"/>
      <c r="G101" s="54"/>
      <c r="H101" s="54"/>
      <c r="I101" s="56">
        <f t="shared" si="3"/>
        <v>5.6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53">
        <v>100</v>
      </c>
      <c r="B102" s="53">
        <v>303</v>
      </c>
      <c r="C102" s="53">
        <v>8</v>
      </c>
      <c r="D102" s="53">
        <v>42</v>
      </c>
      <c r="E102" s="54"/>
      <c r="F102" s="54"/>
      <c r="G102" s="54"/>
      <c r="H102" s="54"/>
      <c r="I102" s="56">
        <f t="shared" si="3"/>
        <v>4.9000000000000004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53">
        <v>110</v>
      </c>
      <c r="B103" s="53">
        <v>305</v>
      </c>
      <c r="C103" s="53">
        <v>9</v>
      </c>
      <c r="D103" s="53">
        <v>39</v>
      </c>
      <c r="E103" s="54"/>
      <c r="F103" s="54"/>
      <c r="G103" s="54"/>
      <c r="H103" s="54"/>
      <c r="I103" s="56">
        <f t="shared" si="3"/>
        <v>4.4000000000000004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53">
        <v>120</v>
      </c>
      <c r="B104" s="53">
        <v>303</v>
      </c>
      <c r="C104" s="53">
        <v>10</v>
      </c>
      <c r="D104" s="53">
        <v>35</v>
      </c>
      <c r="E104" s="54"/>
      <c r="F104" s="54"/>
      <c r="G104" s="54"/>
      <c r="H104" s="54"/>
      <c r="I104" s="56">
        <f t="shared" si="3"/>
        <v>3.7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>
        <v>130</v>
      </c>
      <c r="B105" s="53">
        <v>300</v>
      </c>
      <c r="C105" s="53">
        <v>11</v>
      </c>
      <c r="D105" s="53">
        <v>31</v>
      </c>
      <c r="E105" s="54"/>
      <c r="F105" s="54"/>
      <c r="G105" s="54"/>
      <c r="H105" s="54"/>
      <c r="I105" s="56">
        <f t="shared" si="3"/>
        <v>3.2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>
        <v>140</v>
      </c>
      <c r="B106" s="53">
        <v>296</v>
      </c>
      <c r="C106" s="53">
        <v>12</v>
      </c>
      <c r="D106" s="53">
        <v>27</v>
      </c>
      <c r="E106" s="54"/>
      <c r="F106" s="54"/>
      <c r="G106" s="54"/>
      <c r="H106" s="54"/>
      <c r="I106" s="56">
        <f t="shared" si="3"/>
        <v>2.7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>
        <v>150</v>
      </c>
      <c r="B107" s="53">
        <v>293</v>
      </c>
      <c r="C107" s="53">
        <v>13</v>
      </c>
      <c r="D107" s="53">
        <v>293</v>
      </c>
      <c r="E107" s="54"/>
      <c r="F107" s="54"/>
      <c r="G107" s="54"/>
      <c r="H107" s="54"/>
      <c r="I107" s="56">
        <f t="shared" si="3"/>
        <v>2.4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Châtaignier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4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0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15</v>
      </c>
      <c r="B114" s="63">
        <v>37</v>
      </c>
      <c r="C114" s="63"/>
      <c r="D114" s="63"/>
      <c r="E114" s="54"/>
      <c r="F114" s="54"/>
      <c r="G114" s="54"/>
      <c r="H114" s="92"/>
      <c r="I114" s="56">
        <f>IFERROR(B114/A114,"")</f>
        <v>2.4666666666666668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20</v>
      </c>
      <c r="B115" s="63">
        <f>80+15</f>
        <v>95</v>
      </c>
      <c r="C115" s="63">
        <v>1</v>
      </c>
      <c r="D115" s="63">
        <f>15+28</f>
        <v>43</v>
      </c>
      <c r="E115" s="54"/>
      <c r="F115" s="54"/>
      <c r="G115" s="54"/>
      <c r="H115" s="92">
        <v>1</v>
      </c>
      <c r="I115" s="56">
        <f t="shared" ref="I115:I133" si="4">IF(A115&lt;&gt;0,(B115-(B114-D114))/(A115-A114),"")</f>
        <v>11.6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25</v>
      </c>
      <c r="B116" s="63">
        <v>115</v>
      </c>
      <c r="C116" s="63"/>
      <c r="D116" s="63"/>
      <c r="E116" s="92"/>
      <c r="F116" s="92"/>
      <c r="G116" s="92"/>
      <c r="H116" s="92"/>
      <c r="I116" s="56">
        <f t="shared" si="4"/>
        <v>12.6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30</v>
      </c>
      <c r="B117" s="63">
        <f>147+28</f>
        <v>175</v>
      </c>
      <c r="C117" s="63">
        <v>2</v>
      </c>
      <c r="D117" s="63">
        <f>28+28</f>
        <v>56</v>
      </c>
      <c r="E117" s="92"/>
      <c r="F117" s="92"/>
      <c r="G117" s="92"/>
      <c r="H117" s="92">
        <v>1</v>
      </c>
      <c r="I117" s="56">
        <f t="shared" si="4"/>
        <v>12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35</v>
      </c>
      <c r="B118" s="63">
        <v>172</v>
      </c>
      <c r="C118" s="63"/>
      <c r="D118" s="63"/>
      <c r="E118" s="92"/>
      <c r="F118" s="92"/>
      <c r="G118" s="92"/>
      <c r="H118" s="92"/>
      <c r="I118" s="56">
        <f t="shared" si="4"/>
        <v>10.6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40</v>
      </c>
      <c r="B119" s="63">
        <f>192+28</f>
        <v>220</v>
      </c>
      <c r="C119" s="63">
        <v>3</v>
      </c>
      <c r="D119" s="63">
        <f>28+28</f>
        <v>56</v>
      </c>
      <c r="E119" s="92"/>
      <c r="F119" s="92"/>
      <c r="G119" s="92"/>
      <c r="H119" s="92"/>
      <c r="I119" s="56">
        <f t="shared" si="4"/>
        <v>9.6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3">
        <v>45</v>
      </c>
      <c r="B120" s="63">
        <v>205</v>
      </c>
      <c r="C120" s="63"/>
      <c r="D120" s="63"/>
      <c r="E120" s="92"/>
      <c r="F120" s="92"/>
      <c r="G120" s="92"/>
      <c r="H120" s="92"/>
      <c r="I120" s="56">
        <f t="shared" si="4"/>
        <v>8.1999999999999993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>
        <v>50</v>
      </c>
      <c r="B121" s="63">
        <f>218+22</f>
        <v>240</v>
      </c>
      <c r="C121" s="63">
        <v>4</v>
      </c>
      <c r="D121" s="63">
        <f>22+17</f>
        <v>39</v>
      </c>
      <c r="E121" s="92"/>
      <c r="F121" s="92"/>
      <c r="G121" s="92"/>
      <c r="H121" s="92"/>
      <c r="I121" s="56">
        <f t="shared" si="4"/>
        <v>7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>
        <v>55</v>
      </c>
      <c r="B122" s="63">
        <v>233</v>
      </c>
      <c r="C122" s="63"/>
      <c r="D122" s="63"/>
      <c r="E122" s="92"/>
      <c r="F122" s="92"/>
      <c r="G122" s="92"/>
      <c r="H122" s="92"/>
      <c r="I122" s="56">
        <f t="shared" si="4"/>
        <v>6.4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>
        <v>60</v>
      </c>
      <c r="B123" s="63">
        <f>245+13</f>
        <v>258</v>
      </c>
      <c r="C123" s="63">
        <v>5</v>
      </c>
      <c r="D123" s="63">
        <f>13+12</f>
        <v>25</v>
      </c>
      <c r="E123" s="92"/>
      <c r="F123" s="92"/>
      <c r="G123" s="92"/>
      <c r="H123" s="92"/>
      <c r="I123" s="56">
        <f t="shared" si="4"/>
        <v>5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>
        <v>65</v>
      </c>
      <c r="B124" s="63">
        <v>255</v>
      </c>
      <c r="C124" s="63"/>
      <c r="D124" s="63"/>
      <c r="E124" s="92"/>
      <c r="F124" s="92"/>
      <c r="G124" s="92"/>
      <c r="H124" s="92"/>
      <c r="I124" s="56">
        <f t="shared" si="4"/>
        <v>4.4000000000000004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>
        <v>70</v>
      </c>
      <c r="B125" s="63">
        <f>263+11</f>
        <v>274</v>
      </c>
      <c r="C125" s="63">
        <v>6</v>
      </c>
      <c r="D125" s="63">
        <f>11+10</f>
        <v>21</v>
      </c>
      <c r="E125" s="92"/>
      <c r="F125" s="92"/>
      <c r="G125" s="92"/>
      <c r="H125" s="92"/>
      <c r="I125" s="56">
        <f t="shared" si="4"/>
        <v>3.8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>
        <v>75</v>
      </c>
      <c r="B126" s="63">
        <v>270</v>
      </c>
      <c r="C126" s="63"/>
      <c r="D126" s="63"/>
      <c r="E126" s="291"/>
      <c r="F126" s="291"/>
      <c r="G126" s="291"/>
      <c r="H126" s="291"/>
      <c r="I126" s="56">
        <f t="shared" si="4"/>
        <v>3.4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>
        <v>80</v>
      </c>
      <c r="B127" s="63">
        <f>276+9</f>
        <v>285</v>
      </c>
      <c r="C127" s="63">
        <v>7</v>
      </c>
      <c r="D127" s="63">
        <f>B127</f>
        <v>285</v>
      </c>
      <c r="E127" s="291"/>
      <c r="F127" s="291"/>
      <c r="G127" s="291"/>
      <c r="H127" s="291"/>
      <c r="I127" s="56">
        <f t="shared" si="4"/>
        <v>3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4"/>
      <c r="F128" s="54"/>
      <c r="G128" s="54"/>
      <c r="H128" s="54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4"/>
      <c r="F129" s="54"/>
      <c r="G129" s="54"/>
      <c r="H129" s="54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4"/>
      <c r="F130" s="54"/>
      <c r="G130" s="54"/>
      <c r="H130" s="54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4"/>
      <c r="F131" s="54"/>
      <c r="G131" s="54"/>
      <c r="H131" s="54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4"/>
      <c r="F132" s="54"/>
      <c r="G132" s="54"/>
      <c r="H132" s="54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4"/>
      <c r="F133" s="54"/>
      <c r="G133" s="54"/>
      <c r="H133" s="54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Merisier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4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0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15</v>
      </c>
      <c r="B140" s="63">
        <v>40</v>
      </c>
      <c r="C140" s="53"/>
      <c r="D140" s="63"/>
      <c r="E140" s="66"/>
      <c r="F140" s="66"/>
      <c r="G140" s="66"/>
      <c r="H140" s="66"/>
      <c r="I140" s="60">
        <f>IFERROR(B140/A140,"")</f>
        <v>2.6666666666666665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20</v>
      </c>
      <c r="B141" s="63">
        <f>85+3</f>
        <v>88</v>
      </c>
      <c r="C141" s="53"/>
      <c r="D141" s="63"/>
      <c r="E141" s="66"/>
      <c r="F141" s="66"/>
      <c r="G141" s="66"/>
      <c r="H141" s="66"/>
      <c r="I141" s="60">
        <f t="shared" ref="I141:I159" si="5">IF(A141&lt;&gt;0,(B141-(B140-D140))/(A141-A140),"")</f>
        <v>9.6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25</v>
      </c>
      <c r="B142" s="63">
        <f>113+3+25</f>
        <v>141</v>
      </c>
      <c r="C142" s="53">
        <v>1</v>
      </c>
      <c r="D142" s="63">
        <f>3+25+27</f>
        <v>55</v>
      </c>
      <c r="E142" s="66"/>
      <c r="F142" s="66"/>
      <c r="G142" s="66"/>
      <c r="H142" s="66">
        <v>1</v>
      </c>
      <c r="I142" s="60">
        <f t="shared" si="5"/>
        <v>10.6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8">
        <v>31</v>
      </c>
      <c r="B143" s="58">
        <v>155</v>
      </c>
      <c r="C143" s="58">
        <v>2</v>
      </c>
      <c r="D143" s="58">
        <v>36</v>
      </c>
      <c r="E143" s="66"/>
      <c r="F143" s="66"/>
      <c r="G143" s="66"/>
      <c r="H143" s="66"/>
      <c r="I143" s="60">
        <f t="shared" si="5"/>
        <v>11.5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8">
        <v>37</v>
      </c>
      <c r="B144" s="58">
        <v>188</v>
      </c>
      <c r="C144" s="58">
        <v>3</v>
      </c>
      <c r="D144" s="58">
        <v>36</v>
      </c>
      <c r="E144" s="66"/>
      <c r="F144" s="66"/>
      <c r="G144" s="66"/>
      <c r="H144" s="66"/>
      <c r="I144" s="60">
        <f t="shared" si="5"/>
        <v>11.5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8">
        <v>44</v>
      </c>
      <c r="B145" s="58">
        <v>230</v>
      </c>
      <c r="C145" s="58">
        <v>4</v>
      </c>
      <c r="D145" s="58">
        <v>43</v>
      </c>
      <c r="E145" s="66"/>
      <c r="F145" s="66"/>
      <c r="G145" s="66"/>
      <c r="H145" s="66"/>
      <c r="I145" s="60">
        <f t="shared" si="5"/>
        <v>11.142857142857142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8">
        <v>52</v>
      </c>
      <c r="B146" s="58">
        <v>270</v>
      </c>
      <c r="C146" s="58">
        <v>5</v>
      </c>
      <c r="D146" s="58">
        <v>48</v>
      </c>
      <c r="E146" s="66"/>
      <c r="F146" s="66"/>
      <c r="G146" s="66"/>
      <c r="H146" s="66"/>
      <c r="I146" s="60">
        <f t="shared" si="5"/>
        <v>10.375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8">
        <v>60</v>
      </c>
      <c r="B147" s="58">
        <v>297</v>
      </c>
      <c r="C147" s="58">
        <v>6</v>
      </c>
      <c r="D147" s="58">
        <v>47</v>
      </c>
      <c r="E147" s="66"/>
      <c r="F147" s="66"/>
      <c r="G147" s="66"/>
      <c r="H147" s="66"/>
      <c r="I147" s="60">
        <f>IF(A147&lt;&gt;0,(B147-(B146-D146))/(A147-A146),"")</f>
        <v>9.375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8">
        <v>69</v>
      </c>
      <c r="B148" s="58">
        <v>328</v>
      </c>
      <c r="C148" s="58">
        <v>7</v>
      </c>
      <c r="D148" s="58">
        <v>328</v>
      </c>
      <c r="E148" s="66"/>
      <c r="F148" s="66"/>
      <c r="G148" s="66"/>
      <c r="H148" s="66"/>
      <c r="I148" s="60">
        <f t="shared" si="5"/>
        <v>8.6666666666666661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63"/>
      <c r="B149" s="63"/>
      <c r="C149" s="63"/>
      <c r="D149" s="63"/>
      <c r="E149" s="63"/>
      <c r="F149" s="92"/>
      <c r="G149" s="92"/>
      <c r="H149" s="92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63"/>
      <c r="B150" s="63"/>
      <c r="C150" s="63"/>
      <c r="D150" s="63"/>
      <c r="E150" s="63"/>
      <c r="F150" s="92"/>
      <c r="G150" s="92"/>
      <c r="H150" s="92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Erable plane</v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4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0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>
        <v>15</v>
      </c>
      <c r="B166" s="63">
        <v>37</v>
      </c>
      <c r="C166" s="63"/>
      <c r="D166" s="63"/>
      <c r="E166" s="54"/>
      <c r="F166" s="54"/>
      <c r="G166" s="54"/>
      <c r="H166" s="92"/>
      <c r="I166" s="52">
        <f>IFERROR(B166/A166,"")</f>
        <v>2.4666666666666668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>
        <v>20</v>
      </c>
      <c r="B167" s="63">
        <f>80+15</f>
        <v>95</v>
      </c>
      <c r="C167" s="63">
        <v>1</v>
      </c>
      <c r="D167" s="63">
        <f>15+28</f>
        <v>43</v>
      </c>
      <c r="E167" s="54"/>
      <c r="F167" s="54"/>
      <c r="G167" s="54"/>
      <c r="H167" s="92">
        <v>1</v>
      </c>
      <c r="I167" s="52">
        <f t="shared" ref="I167:I185" si="6">IF(A167&lt;&gt;0,(B167-(B166-D166))/(A167-A166),"")</f>
        <v>11.6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>
        <v>25</v>
      </c>
      <c r="B168" s="63">
        <v>115</v>
      </c>
      <c r="C168" s="63"/>
      <c r="D168" s="63"/>
      <c r="E168" s="92"/>
      <c r="F168" s="92"/>
      <c r="G168" s="92"/>
      <c r="H168" s="92"/>
      <c r="I168" s="52">
        <f t="shared" si="6"/>
        <v>12.6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>
        <v>30</v>
      </c>
      <c r="B169" s="63">
        <f>147+28</f>
        <v>175</v>
      </c>
      <c r="C169" s="63">
        <v>2</v>
      </c>
      <c r="D169" s="63">
        <f>28+28</f>
        <v>56</v>
      </c>
      <c r="E169" s="92"/>
      <c r="F169" s="92"/>
      <c r="G169" s="92"/>
      <c r="H169" s="92">
        <v>1</v>
      </c>
      <c r="I169" s="52">
        <f t="shared" si="6"/>
        <v>12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>
        <v>35</v>
      </c>
      <c r="B170" s="63">
        <v>172</v>
      </c>
      <c r="C170" s="63"/>
      <c r="D170" s="63"/>
      <c r="E170" s="92"/>
      <c r="F170" s="92"/>
      <c r="G170" s="92"/>
      <c r="H170" s="92"/>
      <c r="I170" s="52">
        <f t="shared" si="6"/>
        <v>10.6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>
        <v>40</v>
      </c>
      <c r="B171" s="63">
        <f>192+28</f>
        <v>220</v>
      </c>
      <c r="C171" s="63">
        <v>3</v>
      </c>
      <c r="D171" s="63">
        <f>28+28</f>
        <v>56</v>
      </c>
      <c r="E171" s="92"/>
      <c r="F171" s="92"/>
      <c r="G171" s="92"/>
      <c r="H171" s="92"/>
      <c r="I171" s="52">
        <f t="shared" si="6"/>
        <v>9.6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>
        <v>45</v>
      </c>
      <c r="B172" s="63">
        <v>205</v>
      </c>
      <c r="C172" s="63"/>
      <c r="D172" s="63"/>
      <c r="E172" s="92"/>
      <c r="F172" s="92"/>
      <c r="G172" s="92"/>
      <c r="H172" s="92"/>
      <c r="I172" s="52">
        <f t="shared" si="6"/>
        <v>8.1999999999999993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63">
        <v>50</v>
      </c>
      <c r="B173" s="63">
        <f>218+22</f>
        <v>240</v>
      </c>
      <c r="C173" s="63">
        <v>4</v>
      </c>
      <c r="D173" s="63">
        <f>22+17</f>
        <v>39</v>
      </c>
      <c r="E173" s="92"/>
      <c r="F173" s="92"/>
      <c r="G173" s="92"/>
      <c r="H173" s="92"/>
      <c r="I173" s="52">
        <f t="shared" si="6"/>
        <v>7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63">
        <v>55</v>
      </c>
      <c r="B174" s="63">
        <v>233</v>
      </c>
      <c r="C174" s="63"/>
      <c r="D174" s="63"/>
      <c r="E174" s="92"/>
      <c r="F174" s="92"/>
      <c r="G174" s="92"/>
      <c r="H174" s="92"/>
      <c r="I174" s="52">
        <f t="shared" si="6"/>
        <v>6.4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63">
        <v>60</v>
      </c>
      <c r="B175" s="63">
        <f>245+13</f>
        <v>258</v>
      </c>
      <c r="C175" s="63">
        <v>5</v>
      </c>
      <c r="D175" s="63">
        <f>13+12</f>
        <v>25</v>
      </c>
      <c r="E175" s="92"/>
      <c r="F175" s="92"/>
      <c r="G175" s="92"/>
      <c r="H175" s="92"/>
      <c r="I175" s="52">
        <f t="shared" si="6"/>
        <v>5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63">
        <v>65</v>
      </c>
      <c r="B176" s="63">
        <v>255</v>
      </c>
      <c r="C176" s="63"/>
      <c r="D176" s="63"/>
      <c r="E176" s="92"/>
      <c r="F176" s="92"/>
      <c r="G176" s="92"/>
      <c r="H176" s="92"/>
      <c r="I176" s="52">
        <f t="shared" si="6"/>
        <v>4.4000000000000004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63">
        <v>70</v>
      </c>
      <c r="B177" s="63">
        <f>263+11</f>
        <v>274</v>
      </c>
      <c r="C177" s="63">
        <v>6</v>
      </c>
      <c r="D177" s="63">
        <f>11+10</f>
        <v>21</v>
      </c>
      <c r="E177" s="92"/>
      <c r="F177" s="92"/>
      <c r="G177" s="92"/>
      <c r="H177" s="92"/>
      <c r="I177" s="52">
        <f t="shared" si="6"/>
        <v>3.8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63">
        <v>75</v>
      </c>
      <c r="B178" s="63">
        <v>270</v>
      </c>
      <c r="C178" s="63"/>
      <c r="D178" s="63"/>
      <c r="E178" s="291"/>
      <c r="F178" s="291"/>
      <c r="G178" s="291"/>
      <c r="H178" s="291"/>
      <c r="I178" s="52">
        <f t="shared" si="6"/>
        <v>3.4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63">
        <v>80</v>
      </c>
      <c r="B179" s="63">
        <f>276+9</f>
        <v>285</v>
      </c>
      <c r="C179" s="63">
        <v>7</v>
      </c>
      <c r="D179" s="63">
        <f>B179</f>
        <v>285</v>
      </c>
      <c r="E179" s="291"/>
      <c r="F179" s="291"/>
      <c r="G179" s="291"/>
      <c r="H179" s="291"/>
      <c r="I179" s="52">
        <f t="shared" si="6"/>
        <v>3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282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7"/>
      <c r="F181" s="57"/>
      <c r="G181" s="57"/>
      <c r="H181" s="57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7"/>
      <c r="F182" s="57"/>
      <c r="G182" s="57"/>
      <c r="H182" s="57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7"/>
      <c r="F183" s="57"/>
      <c r="G183" s="57"/>
      <c r="H183" s="57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7"/>
      <c r="F184" s="57"/>
      <c r="G184" s="57"/>
      <c r="H184" s="57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7"/>
      <c r="F185" s="57"/>
      <c r="G185" s="57"/>
      <c r="H185" s="57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>Charme</v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4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0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>
        <v>15</v>
      </c>
      <c r="B192" s="63">
        <f>57/1.56</f>
        <v>36.53846153846154</v>
      </c>
      <c r="C192" s="53"/>
      <c r="D192" s="63"/>
      <c r="E192" s="54"/>
      <c r="F192" s="54"/>
      <c r="G192" s="54"/>
      <c r="H192" s="54"/>
      <c r="I192" s="52">
        <f>IFERROR(B192/A192,"")</f>
        <v>2.4358974358974361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>
        <v>20</v>
      </c>
      <c r="B193" s="63">
        <f>(95+11)/1.56</f>
        <v>67.948717948717942</v>
      </c>
      <c r="C193" s="53">
        <v>1</v>
      </c>
      <c r="D193" s="63">
        <f>(11+15)/1.56</f>
        <v>16.666666666666668</v>
      </c>
      <c r="E193" s="54"/>
      <c r="F193" s="54"/>
      <c r="G193" s="54"/>
      <c r="H193" s="54">
        <v>1</v>
      </c>
      <c r="I193" s="52">
        <f t="shared" ref="I193:I211" si="7">IF(A193&lt;&gt;0,(B193-(B192-D192))/(A193-A192),"")</f>
        <v>6.2820512820512802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>
        <v>25</v>
      </c>
      <c r="B194" s="63">
        <f>131/1.56</f>
        <v>83.974358974358978</v>
      </c>
      <c r="C194" s="53"/>
      <c r="D194" s="63"/>
      <c r="E194" s="54"/>
      <c r="F194" s="54"/>
      <c r="G194" s="54"/>
      <c r="H194" s="54"/>
      <c r="I194" s="52">
        <f t="shared" si="7"/>
        <v>6.5384615384615419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>
        <v>30</v>
      </c>
      <c r="B195" s="63">
        <f>(163+19)/1.56</f>
        <v>116.66666666666666</v>
      </c>
      <c r="C195" s="53">
        <v>2</v>
      </c>
      <c r="D195" s="63">
        <f>(19+21)/1.56</f>
        <v>25.641025641025639</v>
      </c>
      <c r="E195" s="54"/>
      <c r="F195" s="54"/>
      <c r="G195" s="54"/>
      <c r="H195" s="54">
        <v>1</v>
      </c>
      <c r="I195" s="52">
        <f t="shared" si="7"/>
        <v>6.5384615384615357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>
        <v>35</v>
      </c>
      <c r="B196" s="63">
        <f>192/1.56</f>
        <v>123.07692307692307</v>
      </c>
      <c r="C196" s="53"/>
      <c r="D196" s="63"/>
      <c r="E196" s="54"/>
      <c r="F196" s="54"/>
      <c r="G196" s="54"/>
      <c r="H196" s="54"/>
      <c r="I196" s="52">
        <f t="shared" si="7"/>
        <v>6.4102564102564088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>
        <v>40</v>
      </c>
      <c r="B197" s="63">
        <f>(216+22)/1.56</f>
        <v>152.56410256410257</v>
      </c>
      <c r="C197" s="53">
        <v>3</v>
      </c>
      <c r="D197" s="63">
        <f>(22+23)/1.56</f>
        <v>28.846153846153847</v>
      </c>
      <c r="E197" s="54"/>
      <c r="F197" s="54"/>
      <c r="G197" s="54"/>
      <c r="H197" s="54"/>
      <c r="I197" s="52">
        <f t="shared" si="7"/>
        <v>5.8974358974359005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63">
        <v>45</v>
      </c>
      <c r="B198" s="63">
        <f>238/1.56</f>
        <v>152.56410256410257</v>
      </c>
      <c r="C198" s="63"/>
      <c r="D198" s="63"/>
      <c r="E198" s="92"/>
      <c r="F198" s="92"/>
      <c r="G198" s="92"/>
      <c r="H198" s="92"/>
      <c r="I198" s="52">
        <f t="shared" si="7"/>
        <v>5.7692307692307683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63">
        <v>50</v>
      </c>
      <c r="B199" s="63">
        <f>(257+24)/1.56</f>
        <v>180.12820512820511</v>
      </c>
      <c r="C199" s="63">
        <v>4</v>
      </c>
      <c r="D199" s="63">
        <f>(24+24)/1.56</f>
        <v>30.769230769230766</v>
      </c>
      <c r="E199" s="92"/>
      <c r="F199" s="92"/>
      <c r="G199" s="92"/>
      <c r="H199" s="92"/>
      <c r="I199" s="52">
        <f t="shared" si="7"/>
        <v>5.5128205128205083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63">
        <v>55</v>
      </c>
      <c r="B200" s="63">
        <f>274/1.56</f>
        <v>175.64102564102564</v>
      </c>
      <c r="C200" s="63"/>
      <c r="D200" s="63"/>
      <c r="E200" s="92"/>
      <c r="F200" s="92"/>
      <c r="G200" s="92"/>
      <c r="H200" s="92"/>
      <c r="I200" s="52">
        <f t="shared" si="7"/>
        <v>5.2564102564102599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63">
        <v>60</v>
      </c>
      <c r="B201" s="63">
        <f>(289+23)/1.56</f>
        <v>200</v>
      </c>
      <c r="C201" s="63">
        <v>5</v>
      </c>
      <c r="D201" s="63">
        <f>(23+23)/1.56</f>
        <v>29.487179487179485</v>
      </c>
      <c r="E201" s="92"/>
      <c r="F201" s="92"/>
      <c r="G201" s="92"/>
      <c r="H201" s="92"/>
      <c r="I201" s="52">
        <f t="shared" si="7"/>
        <v>4.8717948717948731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63">
        <v>65</v>
      </c>
      <c r="B202" s="63">
        <f>302/1.56</f>
        <v>193.58974358974359</v>
      </c>
      <c r="C202" s="63"/>
      <c r="D202" s="63"/>
      <c r="E202" s="92"/>
      <c r="F202" s="92"/>
      <c r="G202" s="92"/>
      <c r="H202" s="92"/>
      <c r="I202" s="52">
        <f t="shared" si="7"/>
        <v>4.6153846153846132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63">
        <v>70</v>
      </c>
      <c r="B203" s="63">
        <f>(313+23)/1.56</f>
        <v>215.38461538461539</v>
      </c>
      <c r="C203" s="63">
        <v>6</v>
      </c>
      <c r="D203" s="63">
        <f>(23+22)/1.56</f>
        <v>28.846153846153847</v>
      </c>
      <c r="E203" s="92"/>
      <c r="F203" s="92"/>
      <c r="G203" s="92"/>
      <c r="H203" s="92"/>
      <c r="I203" s="52">
        <f t="shared" si="7"/>
        <v>4.3589743589743595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63">
        <v>75</v>
      </c>
      <c r="B204" s="63">
        <f>324/1.56</f>
        <v>207.69230769230768</v>
      </c>
      <c r="C204" s="63"/>
      <c r="D204" s="63"/>
      <c r="E204" s="291"/>
      <c r="F204" s="291"/>
      <c r="G204" s="291"/>
      <c r="H204" s="291"/>
      <c r="I204" s="52">
        <f t="shared" si="7"/>
        <v>4.2307692307692264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63">
        <v>80</v>
      </c>
      <c r="B205" s="63">
        <f>(333+22)/1.56</f>
        <v>227.56410256410257</v>
      </c>
      <c r="C205" s="63">
        <v>7</v>
      </c>
      <c r="D205" s="63">
        <f>(22+21)/1.56</f>
        <v>27.564102564102562</v>
      </c>
      <c r="E205" s="291"/>
      <c r="F205" s="291"/>
      <c r="G205" s="291"/>
      <c r="H205" s="291"/>
      <c r="I205" s="52">
        <f t="shared" si="7"/>
        <v>3.974358974358978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>
        <v>85</v>
      </c>
      <c r="B206" s="53">
        <v>219.23076923076923</v>
      </c>
      <c r="C206" s="53"/>
      <c r="D206" s="53"/>
      <c r="E206" s="57"/>
      <c r="F206" s="57"/>
      <c r="G206" s="57"/>
      <c r="H206" s="57"/>
      <c r="I206" s="52">
        <f t="shared" si="7"/>
        <v>3.8461538461538454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>
        <v>90</v>
      </c>
      <c r="B207" s="53">
        <v>237.17948717948718</v>
      </c>
      <c r="C207" s="53">
        <v>8</v>
      </c>
      <c r="D207" s="53">
        <v>25.641025641025639</v>
      </c>
      <c r="E207" s="57"/>
      <c r="F207" s="57"/>
      <c r="G207" s="57"/>
      <c r="H207" s="57"/>
      <c r="I207" s="52">
        <f t="shared" si="7"/>
        <v>3.5897435897435912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>
        <v>95</v>
      </c>
      <c r="B208" s="53">
        <v>229.48717948717947</v>
      </c>
      <c r="C208" s="53"/>
      <c r="D208" s="53"/>
      <c r="E208" s="57"/>
      <c r="F208" s="57"/>
      <c r="G208" s="57"/>
      <c r="H208" s="57"/>
      <c r="I208" s="52">
        <f t="shared" si="7"/>
        <v>3.5897435897435854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>
        <v>100</v>
      </c>
      <c r="B209" s="53">
        <v>246.15384615384613</v>
      </c>
      <c r="C209" s="53">
        <v>9</v>
      </c>
      <c r="D209" s="53">
        <v>23.717948717948715</v>
      </c>
      <c r="E209" s="57"/>
      <c r="F209" s="57"/>
      <c r="G209" s="57"/>
      <c r="H209" s="57"/>
      <c r="I209" s="52">
        <f t="shared" si="7"/>
        <v>3.3333333333333313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>
        <v>110</v>
      </c>
      <c r="B210" s="53">
        <v>253.2051282051282</v>
      </c>
      <c r="C210" s="53"/>
      <c r="D210" s="53">
        <v>22.435897435897434</v>
      </c>
      <c r="E210" s="57"/>
      <c r="F210" s="57"/>
      <c r="G210" s="57"/>
      <c r="H210" s="57"/>
      <c r="I210" s="52">
        <f t="shared" si="7"/>
        <v>3.0769230769230802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>
        <v>120</v>
      </c>
      <c r="B211" s="53">
        <v>259.61538461538458</v>
      </c>
      <c r="C211" s="53">
        <v>10</v>
      </c>
      <c r="D211" s="53">
        <v>259.61538461538458</v>
      </c>
      <c r="E211" s="57"/>
      <c r="F211" s="57"/>
      <c r="G211" s="57"/>
      <c r="H211" s="57"/>
      <c r="I211" s="52">
        <f t="shared" si="7"/>
        <v>2.884615384615381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>Cèdre de l'Atlas</v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4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0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>
        <v>30</v>
      </c>
      <c r="B218" s="63">
        <f>134.26/1.3</f>
        <v>103.27692307692307</v>
      </c>
      <c r="C218" s="63"/>
      <c r="D218" s="63"/>
      <c r="E218" s="54"/>
      <c r="F218" s="54"/>
      <c r="G218" s="54"/>
      <c r="H218" s="54"/>
      <c r="I218" s="56">
        <f>IFERROR(B218/A218,"")</f>
        <v>3.4425641025641025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>
        <v>35</v>
      </c>
      <c r="B219" s="63">
        <f>192.26/1.3</f>
        <v>147.89230769230767</v>
      </c>
      <c r="C219" s="63"/>
      <c r="D219" s="63"/>
      <c r="E219" s="54"/>
      <c r="F219" s="54"/>
      <c r="G219" s="54"/>
      <c r="H219" s="54"/>
      <c r="I219" s="56">
        <f t="shared" ref="I219:I237" si="8">IF(A219&lt;&gt;0,(B219-(B218-D218))/(A219-A218),"")</f>
        <v>8.9230769230769198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>
        <v>40</v>
      </c>
      <c r="B220" s="63">
        <f>257.14/1.3</f>
        <v>197.79999999999998</v>
      </c>
      <c r="C220" s="63"/>
      <c r="D220" s="63"/>
      <c r="E220" s="54"/>
      <c r="F220" s="54"/>
      <c r="G220" s="54"/>
      <c r="H220" s="54"/>
      <c r="I220" s="56">
        <f t="shared" si="8"/>
        <v>9.981538461538463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3">
        <v>45</v>
      </c>
      <c r="B221" s="63">
        <f>327.79/1.3</f>
        <v>252.14615384615385</v>
      </c>
      <c r="C221" s="63"/>
      <c r="D221" s="63"/>
      <c r="E221" s="54"/>
      <c r="F221" s="54"/>
      <c r="G221" s="54"/>
      <c r="H221" s="54"/>
      <c r="I221" s="56">
        <f t="shared" si="8"/>
        <v>10.869230769230773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3">
        <v>51</v>
      </c>
      <c r="B222" s="63">
        <f>418.39/1.3</f>
        <v>321.8384615384615</v>
      </c>
      <c r="C222" s="63">
        <v>1</v>
      </c>
      <c r="D222" s="63">
        <f>130.4/1.3</f>
        <v>100.30769230769231</v>
      </c>
      <c r="E222" s="54"/>
      <c r="F222" s="54"/>
      <c r="G222" s="54"/>
      <c r="H222" s="54"/>
      <c r="I222" s="56">
        <f t="shared" si="8"/>
        <v>11.615384615384608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3">
        <v>57</v>
      </c>
      <c r="B223" s="63">
        <f>370.22/1.3</f>
        <v>284.78461538461539</v>
      </c>
      <c r="C223" s="63"/>
      <c r="D223" s="63"/>
      <c r="E223" s="54"/>
      <c r="F223" s="54"/>
      <c r="G223" s="54"/>
      <c r="H223" s="54"/>
      <c r="I223" s="56">
        <f t="shared" si="8"/>
        <v>10.542307692307702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3">
        <v>63</v>
      </c>
      <c r="B224" s="63">
        <f>455.9/1.3</f>
        <v>350.69230769230768</v>
      </c>
      <c r="C224" s="63">
        <v>2</v>
      </c>
      <c r="D224" s="63">
        <f>140.51/1.3</f>
        <v>108.08461538461538</v>
      </c>
      <c r="E224" s="54"/>
      <c r="F224" s="54"/>
      <c r="G224" s="54"/>
      <c r="H224" s="54"/>
      <c r="I224" s="56">
        <f t="shared" si="8"/>
        <v>10.984615384615381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282">
        <v>69</v>
      </c>
      <c r="B225" s="63">
        <f>390.97/1.3</f>
        <v>300.74615384615385</v>
      </c>
      <c r="C225" s="63"/>
      <c r="D225" s="63"/>
      <c r="E225" s="54"/>
      <c r="F225" s="54"/>
      <c r="G225" s="54"/>
      <c r="H225" s="54"/>
      <c r="I225" s="56">
        <f t="shared" si="8"/>
        <v>9.6897435897435908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282">
        <v>75</v>
      </c>
      <c r="B226" s="63">
        <f>468.62/1.3</f>
        <v>360.47692307692307</v>
      </c>
      <c r="C226" s="63">
        <v>3</v>
      </c>
      <c r="D226" s="63">
        <f>110.97/1.3</f>
        <v>85.361538461538458</v>
      </c>
      <c r="E226" s="54"/>
      <c r="F226" s="54"/>
      <c r="G226" s="54"/>
      <c r="H226" s="54"/>
      <c r="I226" s="56">
        <f t="shared" si="8"/>
        <v>9.9551282051282044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282">
        <v>81</v>
      </c>
      <c r="B227" s="63">
        <f>427.32/1.3</f>
        <v>328.7076923076923</v>
      </c>
      <c r="C227" s="63"/>
      <c r="D227" s="63"/>
      <c r="E227" s="54"/>
      <c r="F227" s="54"/>
      <c r="G227" s="54"/>
      <c r="H227" s="54"/>
      <c r="I227" s="56">
        <f t="shared" si="8"/>
        <v>8.9320512820512761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282">
        <v>87</v>
      </c>
      <c r="B228" s="63">
        <f>498.08/1.3</f>
        <v>383.13846153846151</v>
      </c>
      <c r="C228" s="63">
        <v>4</v>
      </c>
      <c r="D228" s="63">
        <f>107.82/1.3</f>
        <v>82.938461538461524</v>
      </c>
      <c r="E228" s="54"/>
      <c r="F228" s="54"/>
      <c r="G228" s="54"/>
      <c r="H228" s="54"/>
      <c r="I228" s="56">
        <f t="shared" si="8"/>
        <v>9.0717948717948698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282">
        <v>93</v>
      </c>
      <c r="B229" s="63">
        <f>453.6/1.3</f>
        <v>348.92307692307691</v>
      </c>
      <c r="C229" s="63"/>
      <c r="D229" s="63"/>
      <c r="E229" s="54"/>
      <c r="F229" s="54"/>
      <c r="G229" s="54"/>
      <c r="H229" s="54"/>
      <c r="I229" s="56">
        <f t="shared" si="8"/>
        <v>8.1205128205128201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282">
        <v>99</v>
      </c>
      <c r="B230" s="63">
        <f>517.23/1.3</f>
        <v>397.8692307692308</v>
      </c>
      <c r="C230" s="63">
        <v>5</v>
      </c>
      <c r="D230" s="63">
        <f>257.82/1.3</f>
        <v>198.32307692307691</v>
      </c>
      <c r="E230" s="54"/>
      <c r="F230" s="54"/>
      <c r="G230" s="54"/>
      <c r="H230" s="54"/>
      <c r="I230" s="56">
        <f t="shared" si="8"/>
        <v>8.1576923076923151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282">
        <v>104</v>
      </c>
      <c r="B231" s="63">
        <f>297.43/1.3</f>
        <v>228.7923076923077</v>
      </c>
      <c r="C231" s="63"/>
      <c r="D231" s="63"/>
      <c r="E231" s="54"/>
      <c r="F231" s="54"/>
      <c r="G231" s="54"/>
      <c r="H231" s="54"/>
      <c r="I231" s="56">
        <f t="shared" si="8"/>
        <v>5.849230769230763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282">
        <v>109</v>
      </c>
      <c r="B232" s="53">
        <v>256.09230769230771</v>
      </c>
      <c r="C232" s="53">
        <v>6</v>
      </c>
      <c r="D232" s="53">
        <v>256.09230769230771</v>
      </c>
      <c r="E232" s="54"/>
      <c r="F232" s="54"/>
      <c r="G232" s="54"/>
      <c r="H232" s="54"/>
      <c r="I232" s="56">
        <f t="shared" si="8"/>
        <v>5.4600000000000026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>Alisier torminal</v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4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0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>
        <v>20</v>
      </c>
      <c r="B244" s="63">
        <v>42</v>
      </c>
      <c r="C244" s="63"/>
      <c r="D244" s="63"/>
      <c r="E244" s="54"/>
      <c r="F244" s="54"/>
      <c r="G244" s="54"/>
      <c r="H244" s="54"/>
      <c r="I244" s="56">
        <f>IFERROR(B244/A244,"")</f>
        <v>2.1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>
        <v>25</v>
      </c>
      <c r="B245" s="63">
        <f>62+8</f>
        <v>70</v>
      </c>
      <c r="C245" s="63"/>
      <c r="D245" s="63"/>
      <c r="E245" s="54"/>
      <c r="F245" s="54"/>
      <c r="G245" s="54"/>
      <c r="H245" s="54"/>
      <c r="I245" s="56">
        <f>IF(A245&lt;&gt;0,(B245-(B244-D244))/(A245-A244),"")</f>
        <v>5.6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>
        <v>30</v>
      </c>
      <c r="B246" s="63">
        <f>76+8+21</f>
        <v>105</v>
      </c>
      <c r="C246" s="63">
        <v>1</v>
      </c>
      <c r="D246" s="63">
        <f>8+21</f>
        <v>29</v>
      </c>
      <c r="E246" s="54"/>
      <c r="F246" s="54"/>
      <c r="G246" s="54"/>
      <c r="H246" s="54">
        <v>1</v>
      </c>
      <c r="I246" s="56">
        <f>IF(A246&lt;&gt;0,(B246-(B245-D245))/(A246-A245),"")</f>
        <v>7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>
        <v>35</v>
      </c>
      <c r="B247" s="63">
        <f>95+21</f>
        <v>116</v>
      </c>
      <c r="C247" s="63"/>
      <c r="D247" s="63"/>
      <c r="E247" s="54"/>
      <c r="F247" s="54"/>
      <c r="G247" s="54"/>
      <c r="H247" s="54"/>
      <c r="I247" s="56">
        <f t="shared" ref="I247:I263" si="9">IF(A247&lt;&gt;0,(B247-(B246-D246))/(A247-A246),"")</f>
        <v>8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>
        <v>40</v>
      </c>
      <c r="B248" s="63">
        <f>116+21+21</f>
        <v>158</v>
      </c>
      <c r="C248" s="63">
        <v>2</v>
      </c>
      <c r="D248" s="63">
        <f>21+21</f>
        <v>42</v>
      </c>
      <c r="E248" s="54"/>
      <c r="F248" s="54"/>
      <c r="G248" s="54"/>
      <c r="H248" s="54"/>
      <c r="I248" s="56">
        <f t="shared" si="9"/>
        <v>8.4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>
        <v>45</v>
      </c>
      <c r="B249" s="63">
        <f>137+21</f>
        <v>158</v>
      </c>
      <c r="C249" s="63"/>
      <c r="D249" s="63"/>
      <c r="E249" s="54"/>
      <c r="F249" s="54"/>
      <c r="G249" s="54"/>
      <c r="H249" s="54"/>
      <c r="I249" s="56">
        <f t="shared" si="9"/>
        <v>8.4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>
        <v>50</v>
      </c>
      <c r="B250" s="63">
        <f>157+21+21</f>
        <v>199</v>
      </c>
      <c r="C250" s="63">
        <v>3</v>
      </c>
      <c r="D250" s="63">
        <f>21+21</f>
        <v>42</v>
      </c>
      <c r="E250" s="54"/>
      <c r="F250" s="54"/>
      <c r="G250" s="54"/>
      <c r="H250" s="54"/>
      <c r="I250" s="56">
        <f t="shared" si="9"/>
        <v>8.1999999999999993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3">
        <v>55</v>
      </c>
      <c r="B251" s="63">
        <f>176+21</f>
        <v>197</v>
      </c>
      <c r="C251" s="63"/>
      <c r="D251" s="63"/>
      <c r="E251" s="54"/>
      <c r="F251" s="54"/>
      <c r="G251" s="54"/>
      <c r="H251" s="54"/>
      <c r="I251" s="56">
        <f t="shared" si="9"/>
        <v>8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3">
        <v>60</v>
      </c>
      <c r="B252" s="53">
        <v>235</v>
      </c>
      <c r="C252" s="53">
        <v>4</v>
      </c>
      <c r="D252" s="53">
        <v>42</v>
      </c>
      <c r="E252" s="54"/>
      <c r="F252" s="54"/>
      <c r="G252" s="54"/>
      <c r="H252" s="54"/>
      <c r="I252" s="56">
        <f t="shared" si="9"/>
        <v>7.6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3">
        <v>65</v>
      </c>
      <c r="B253" s="53">
        <v>229</v>
      </c>
      <c r="C253" s="53"/>
      <c r="D253" s="53"/>
      <c r="E253" s="54"/>
      <c r="F253" s="54"/>
      <c r="G253" s="54"/>
      <c r="H253" s="54"/>
      <c r="I253" s="56">
        <f t="shared" si="9"/>
        <v>7.2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3">
        <v>70</v>
      </c>
      <c r="B254" s="53">
        <v>263</v>
      </c>
      <c r="C254" s="53">
        <v>5</v>
      </c>
      <c r="D254" s="53">
        <v>42</v>
      </c>
      <c r="E254" s="54"/>
      <c r="F254" s="54"/>
      <c r="G254" s="54"/>
      <c r="H254" s="54"/>
      <c r="I254" s="56">
        <f t="shared" si="9"/>
        <v>6.8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3">
        <v>75</v>
      </c>
      <c r="B255" s="53">
        <v>252</v>
      </c>
      <c r="C255" s="53"/>
      <c r="D255" s="53"/>
      <c r="E255" s="54"/>
      <c r="F255" s="54"/>
      <c r="G255" s="54"/>
      <c r="H255" s="54"/>
      <c r="I255" s="56">
        <f t="shared" si="9"/>
        <v>6.2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3">
        <v>80</v>
      </c>
      <c r="B256" s="53">
        <v>282</v>
      </c>
      <c r="C256" s="53">
        <v>6</v>
      </c>
      <c r="D256" s="53">
        <v>42</v>
      </c>
      <c r="E256" s="54"/>
      <c r="F256" s="54"/>
      <c r="G256" s="54"/>
      <c r="H256" s="54"/>
      <c r="I256" s="56">
        <f t="shared" si="9"/>
        <v>6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53">
        <v>90</v>
      </c>
      <c r="B257" s="53">
        <v>296</v>
      </c>
      <c r="C257" s="53">
        <v>7</v>
      </c>
      <c r="D257" s="53">
        <v>42</v>
      </c>
      <c r="E257" s="54"/>
      <c r="F257" s="54"/>
      <c r="G257" s="54"/>
      <c r="H257" s="54"/>
      <c r="I257" s="56">
        <f t="shared" si="9"/>
        <v>5.6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>
        <v>100</v>
      </c>
      <c r="B258" s="53">
        <v>303</v>
      </c>
      <c r="C258" s="53">
        <v>8</v>
      </c>
      <c r="D258" s="53">
        <v>42</v>
      </c>
      <c r="E258" s="54"/>
      <c r="F258" s="54"/>
      <c r="G258" s="54"/>
      <c r="H258" s="54"/>
      <c r="I258" s="56">
        <f t="shared" si="9"/>
        <v>4.9000000000000004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>
        <v>110</v>
      </c>
      <c r="B259" s="53">
        <v>305</v>
      </c>
      <c r="C259" s="53">
        <v>9</v>
      </c>
      <c r="D259" s="53">
        <v>39</v>
      </c>
      <c r="E259" s="54"/>
      <c r="F259" s="54"/>
      <c r="G259" s="54"/>
      <c r="H259" s="54"/>
      <c r="I259" s="56">
        <f t="shared" si="9"/>
        <v>4.4000000000000004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>
        <v>120</v>
      </c>
      <c r="B260" s="53">
        <v>303</v>
      </c>
      <c r="C260" s="53">
        <v>10</v>
      </c>
      <c r="D260" s="53">
        <v>35</v>
      </c>
      <c r="E260" s="54"/>
      <c r="F260" s="54"/>
      <c r="G260" s="54"/>
      <c r="H260" s="54"/>
      <c r="I260" s="56">
        <f t="shared" si="9"/>
        <v>3.7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>
        <v>130</v>
      </c>
      <c r="B261" s="53">
        <v>300</v>
      </c>
      <c r="C261" s="53">
        <v>11</v>
      </c>
      <c r="D261" s="53">
        <v>31</v>
      </c>
      <c r="E261" s="54"/>
      <c r="F261" s="54"/>
      <c r="G261" s="54"/>
      <c r="H261" s="54"/>
      <c r="I261" s="56">
        <f t="shared" si="9"/>
        <v>3.2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>
        <v>140</v>
      </c>
      <c r="B262" s="53">
        <v>296</v>
      </c>
      <c r="C262" s="53">
        <v>12</v>
      </c>
      <c r="D262" s="53">
        <v>27</v>
      </c>
      <c r="E262" s="54"/>
      <c r="F262" s="54"/>
      <c r="G262" s="54"/>
      <c r="H262" s="54"/>
      <c r="I262" s="56">
        <f t="shared" si="9"/>
        <v>2.7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>
        <v>150</v>
      </c>
      <c r="B263" s="53">
        <v>293</v>
      </c>
      <c r="C263" s="53">
        <v>13</v>
      </c>
      <c r="D263" s="53">
        <v>293</v>
      </c>
      <c r="E263" s="54"/>
      <c r="F263" s="54"/>
      <c r="G263" s="54"/>
      <c r="H263" s="54"/>
      <c r="I263" s="56">
        <f t="shared" si="9"/>
        <v>2.4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>Tilleul</v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4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0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3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>
        <v>15</v>
      </c>
      <c r="B270" s="63">
        <f>78/1.56</f>
        <v>50</v>
      </c>
      <c r="C270" s="63"/>
      <c r="D270" s="63"/>
      <c r="E270" s="54"/>
      <c r="F270" s="54"/>
      <c r="G270" s="54"/>
      <c r="H270" s="66"/>
      <c r="I270" s="56">
        <f>IFERROR(B270/A270,"")</f>
        <v>3.3333333333333335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>
        <v>20</v>
      </c>
      <c r="B271" s="63">
        <f>(126+16)/1.56</f>
        <v>91.025641025641022</v>
      </c>
      <c r="C271" s="63">
        <v>1</v>
      </c>
      <c r="D271" s="63">
        <f>(16+22)/1.56</f>
        <v>24.358974358974358</v>
      </c>
      <c r="E271" s="66"/>
      <c r="F271" s="66"/>
      <c r="G271" s="66"/>
      <c r="H271" s="66">
        <v>1</v>
      </c>
      <c r="I271" s="56">
        <f>IF(A271&lt;&gt;0,(B271-(B270-D270))/(A271-A270),"")</f>
        <v>8.2051282051282044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>
        <v>25</v>
      </c>
      <c r="B272" s="63">
        <f>170/1.56</f>
        <v>108.97435897435896</v>
      </c>
      <c r="C272" s="63"/>
      <c r="D272" s="63"/>
      <c r="E272" s="66"/>
      <c r="F272" s="66"/>
      <c r="G272" s="66"/>
      <c r="H272" s="66"/>
      <c r="I272" s="56">
        <f t="shared" ref="I272:I289" si="10">IF(A272&lt;&gt;0,(B272-(B271-D271))/(A272-A271),"")</f>
        <v>8.4615384615384617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>
        <v>30</v>
      </c>
      <c r="B273" s="63">
        <f>(208+25)/1.56</f>
        <v>149.35897435897436</v>
      </c>
      <c r="C273" s="63">
        <v>2</v>
      </c>
      <c r="D273" s="63">
        <f>(25+26)/1.56</f>
        <v>32.692307692307693</v>
      </c>
      <c r="E273" s="66"/>
      <c r="F273" s="66"/>
      <c r="G273" s="66"/>
      <c r="H273" s="66">
        <v>1</v>
      </c>
      <c r="I273" s="56">
        <f t="shared" si="10"/>
        <v>8.0769230769230802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>
        <v>35</v>
      </c>
      <c r="B274" s="63">
        <f>242/1.56</f>
        <v>155.12820512820511</v>
      </c>
      <c r="C274" s="63"/>
      <c r="D274" s="63"/>
      <c r="E274" s="66"/>
      <c r="F274" s="66"/>
      <c r="G274" s="66"/>
      <c r="H274" s="66"/>
      <c r="I274" s="56">
        <f t="shared" si="10"/>
        <v>7.6923076923076881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>
        <v>40</v>
      </c>
      <c r="B275" s="63">
        <f>(271+27)/1.56</f>
        <v>191.02564102564102</v>
      </c>
      <c r="C275" s="63">
        <v>3</v>
      </c>
      <c r="D275" s="63">
        <f>(27+27)/1.56</f>
        <v>34.615384615384613</v>
      </c>
      <c r="E275" s="66"/>
      <c r="F275" s="66"/>
      <c r="G275" s="66"/>
      <c r="H275" s="66"/>
      <c r="I275" s="56">
        <f t="shared" si="10"/>
        <v>7.1794871794871824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>
        <v>45</v>
      </c>
      <c r="B276" s="63">
        <f>297/1.56</f>
        <v>190.38461538461539</v>
      </c>
      <c r="C276" s="63"/>
      <c r="D276" s="63"/>
      <c r="E276" s="66"/>
      <c r="F276" s="66"/>
      <c r="G276" s="66"/>
      <c r="H276" s="66"/>
      <c r="I276" s="56">
        <f t="shared" si="10"/>
        <v>6.7948717948717956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>
        <v>50</v>
      </c>
      <c r="B277" s="58">
        <v>221.7948717948718</v>
      </c>
      <c r="C277" s="58">
        <v>4</v>
      </c>
      <c r="D277" s="58">
        <v>32.692307692307693</v>
      </c>
      <c r="E277" s="66"/>
      <c r="F277" s="66"/>
      <c r="G277" s="66"/>
      <c r="H277" s="66"/>
      <c r="I277" s="56">
        <f t="shared" si="10"/>
        <v>6.2820512820512819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>
        <v>55</v>
      </c>
      <c r="B278" s="58">
        <v>217.94871794871793</v>
      </c>
      <c r="C278" s="58"/>
      <c r="D278" s="58"/>
      <c r="E278" s="66"/>
      <c r="F278" s="66"/>
      <c r="G278" s="66"/>
      <c r="H278" s="66"/>
      <c r="I278" s="56">
        <f t="shared" si="10"/>
        <v>5.7692307692307683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>
        <v>60</v>
      </c>
      <c r="B279" s="58">
        <v>244.87179487179486</v>
      </c>
      <c r="C279" s="58">
        <v>5</v>
      </c>
      <c r="D279" s="58">
        <v>30.128205128205128</v>
      </c>
      <c r="E279" s="66"/>
      <c r="F279" s="66"/>
      <c r="G279" s="66"/>
      <c r="H279" s="66"/>
      <c r="I279" s="56">
        <f t="shared" si="10"/>
        <v>5.3846153846153868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>
        <v>65</v>
      </c>
      <c r="B280" s="58">
        <v>240.38461538461539</v>
      </c>
      <c r="C280" s="58"/>
      <c r="D280" s="58"/>
      <c r="E280" s="66"/>
      <c r="F280" s="66"/>
      <c r="G280" s="66"/>
      <c r="H280" s="66"/>
      <c r="I280" s="56">
        <f t="shared" si="10"/>
        <v>5.1282051282051331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>
        <v>70</v>
      </c>
      <c r="B281" s="58">
        <v>265.38461538461536</v>
      </c>
      <c r="C281" s="58">
        <v>6</v>
      </c>
      <c r="D281" s="58">
        <v>27.564102564102562</v>
      </c>
      <c r="E281" s="66"/>
      <c r="F281" s="66"/>
      <c r="G281" s="66"/>
      <c r="H281" s="66"/>
      <c r="I281" s="56">
        <f t="shared" si="10"/>
        <v>4.9999999999999947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>
        <v>75</v>
      </c>
      <c r="B282" s="58">
        <v>260.89743589743591</v>
      </c>
      <c r="C282" s="58"/>
      <c r="D282" s="58"/>
      <c r="E282" s="67"/>
      <c r="F282" s="67"/>
      <c r="G282" s="67"/>
      <c r="H282" s="67"/>
      <c r="I282" s="56">
        <f t="shared" si="10"/>
        <v>4.6153846153846247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3">
        <v>80</v>
      </c>
      <c r="B283" s="63">
        <f>(419+21)/1.56</f>
        <v>282.05128205128204</v>
      </c>
      <c r="C283" s="93">
        <v>7</v>
      </c>
      <c r="D283" s="63">
        <f>(21+20)/1.56</f>
        <v>26.282051282051281</v>
      </c>
      <c r="E283" s="57"/>
      <c r="F283" s="57"/>
      <c r="G283" s="57"/>
      <c r="H283" s="57"/>
      <c r="I283" s="56">
        <f t="shared" si="10"/>
        <v>4.2307692307692264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>
        <v>85</v>
      </c>
      <c r="B284" s="53">
        <v>276.28205128205127</v>
      </c>
      <c r="C284" s="53"/>
      <c r="D284" s="53"/>
      <c r="E284" s="57"/>
      <c r="F284" s="57"/>
      <c r="G284" s="57"/>
      <c r="H284" s="57"/>
      <c r="I284" s="56">
        <f t="shared" si="10"/>
        <v>4.1025641025640995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>
        <v>90</v>
      </c>
      <c r="B285" s="53">
        <v>295.5128205128205</v>
      </c>
      <c r="C285" s="53">
        <v>8</v>
      </c>
      <c r="D285" s="53">
        <v>24.358974358974358</v>
      </c>
      <c r="E285" s="57"/>
      <c r="F285" s="57"/>
      <c r="G285" s="57"/>
      <c r="H285" s="57"/>
      <c r="I285" s="56">
        <f t="shared" si="10"/>
        <v>3.8461538461538454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>
        <v>95</v>
      </c>
      <c r="B286" s="53">
        <v>289.74358974358972</v>
      </c>
      <c r="C286" s="53"/>
      <c r="D286" s="53"/>
      <c r="E286" s="57"/>
      <c r="F286" s="57"/>
      <c r="G286" s="57"/>
      <c r="H286" s="57"/>
      <c r="I286" s="56">
        <f t="shared" si="10"/>
        <v>3.7179487179487181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>
        <v>100</v>
      </c>
      <c r="B287" s="53">
        <v>307.69230769230768</v>
      </c>
      <c r="C287" s="53">
        <v>9</v>
      </c>
      <c r="D287" s="53">
        <v>22.435897435897434</v>
      </c>
      <c r="E287" s="57"/>
      <c r="F287" s="57"/>
      <c r="G287" s="57"/>
      <c r="H287" s="57"/>
      <c r="I287" s="56">
        <f t="shared" si="10"/>
        <v>3.5897435897435912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>
        <v>105</v>
      </c>
      <c r="B288" s="53">
        <v>301.28205128205127</v>
      </c>
      <c r="C288" s="53"/>
      <c r="D288" s="53"/>
      <c r="E288" s="57"/>
      <c r="F288" s="57"/>
      <c r="G288" s="57"/>
      <c r="H288" s="57"/>
      <c r="I288" s="56">
        <f t="shared" si="10"/>
        <v>3.2051282051282102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>
        <v>110</v>
      </c>
      <c r="B289" s="53">
        <v>317.94871794871796</v>
      </c>
      <c r="C289" s="53">
        <v>10</v>
      </c>
      <c r="D289" s="53">
        <v>317.94871794871796</v>
      </c>
      <c r="E289" s="57"/>
      <c r="F289" s="57"/>
      <c r="G289" s="57"/>
      <c r="H289" s="57"/>
      <c r="I289" s="56">
        <f t="shared" si="10"/>
        <v>3.333333333333337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9" sqref="B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5"/>
      <c r="K1" s="10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6" t="s">
        <v>296</v>
      </c>
      <c r="C5" s="106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7"/>
      <c r="B7" s="29" t="s">
        <v>295</v>
      </c>
      <c r="C7" s="108" t="s">
        <v>214</v>
      </c>
      <c r="D7" s="234"/>
      <c r="E7" s="109"/>
      <c r="F7" s="29" t="s">
        <v>295</v>
      </c>
      <c r="G7" s="108" t="s">
        <v>215</v>
      </c>
      <c r="H7" s="235"/>
      <c r="I7" s="235"/>
      <c r="J7" s="235"/>
      <c r="K7" s="235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</row>
    <row r="8" spans="1:38" ht="17.25" customHeight="1" x14ac:dyDescent="0.25">
      <c r="A8" s="113">
        <v>1</v>
      </c>
      <c r="B8" s="64">
        <v>1</v>
      </c>
      <c r="C8" s="52" t="s">
        <v>177</v>
      </c>
      <c r="D8" s="25"/>
      <c r="E8" s="113">
        <v>4</v>
      </c>
      <c r="F8" s="64">
        <v>0</v>
      </c>
      <c r="G8" s="110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3">
        <v>2</v>
      </c>
      <c r="B9" s="64">
        <v>0</v>
      </c>
      <c r="C9" s="116" t="s">
        <v>216</v>
      </c>
      <c r="D9" s="25"/>
      <c r="E9" s="113">
        <v>5</v>
      </c>
      <c r="F9" s="64">
        <v>0</v>
      </c>
      <c r="G9" s="111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3">
        <v>3</v>
      </c>
      <c r="B10" s="64">
        <v>0</v>
      </c>
      <c r="C10" s="117" t="s">
        <v>217</v>
      </c>
      <c r="D10" s="25"/>
      <c r="E10" s="5"/>
      <c r="F10" s="114">
        <f>SUM(F7:F9)</f>
        <v>0</v>
      </c>
      <c r="G10" s="112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4">
        <v>0</v>
      </c>
      <c r="C11" s="112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5"/>
      <c r="B13" s="115"/>
      <c r="C13" s="106" t="s">
        <v>273</v>
      </c>
      <c r="D13" s="235"/>
      <c r="E13" s="107"/>
      <c r="F13" s="115"/>
      <c r="G13" s="106" t="s">
        <v>301</v>
      </c>
      <c r="H13" s="235"/>
      <c r="I13" s="235"/>
      <c r="J13" s="235"/>
      <c r="K13" s="235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</row>
    <row r="14" spans="1:38" s="4" customFormat="1" ht="21" customHeight="1" x14ac:dyDescent="0.25">
      <c r="A14" s="235"/>
      <c r="B14" s="115"/>
      <c r="C14" s="106" t="s">
        <v>309</v>
      </c>
      <c r="D14" s="235"/>
      <c r="E14" s="107"/>
      <c r="F14" s="115"/>
      <c r="G14" s="106" t="s">
        <v>294</v>
      </c>
      <c r="H14" s="235"/>
      <c r="I14" s="235"/>
      <c r="J14" s="235"/>
      <c r="K14" s="235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8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8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8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4">
        <f>SUM(B16:B18)</f>
        <v>1</v>
      </c>
      <c r="C19" s="112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8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8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0" bestFit="1" customWidth="1"/>
    <col min="2" max="4" width="11.42578125" style="70"/>
    <col min="5" max="5" width="9.5703125" style="70" customWidth="1"/>
    <col min="6" max="7" width="11.42578125" style="70"/>
    <col min="8" max="8" width="10.7109375" style="70" customWidth="1"/>
    <col min="9" max="9" width="9.42578125" style="70" customWidth="1"/>
    <col min="10" max="11" width="10.5703125" style="70" bestFit="1" customWidth="1"/>
    <col min="12" max="12" width="14" style="70" bestFit="1" customWidth="1"/>
    <col min="13" max="13" width="14" style="70" customWidth="1"/>
    <col min="14" max="23" width="11.42578125" style="70"/>
    <col min="24" max="24" width="11.7109375" style="70" bestFit="1" customWidth="1"/>
    <col min="25" max="25" width="14.5703125" style="70" bestFit="1" customWidth="1"/>
    <col min="26" max="26" width="12.42578125" style="70" bestFit="1" customWidth="1"/>
    <col min="27" max="27" width="9.7109375" style="70" bestFit="1" customWidth="1"/>
    <col min="28" max="28" width="11" style="70" bestFit="1" customWidth="1"/>
    <col min="29" max="29" width="9.42578125" style="70" bestFit="1" customWidth="1"/>
    <col min="30" max="31" width="9.42578125" style="70" customWidth="1"/>
    <col min="32" max="32" width="11.42578125" style="70"/>
    <col min="33" max="34" width="14" style="70" bestFit="1" customWidth="1"/>
    <col min="35" max="35" width="10.5703125" style="70" bestFit="1" customWidth="1"/>
    <col min="36" max="36" width="9.42578125" style="70" bestFit="1" customWidth="1"/>
    <col min="37" max="38" width="10.5703125" style="70" bestFit="1" customWidth="1"/>
    <col min="39" max="41" width="10.5703125" style="70" customWidth="1"/>
    <col min="42" max="42" width="9" style="70" bestFit="1" customWidth="1"/>
    <col min="43" max="43" width="10.5703125" style="70" bestFit="1" customWidth="1"/>
    <col min="44" max="44" width="9.28515625" style="70" bestFit="1" customWidth="1"/>
    <col min="45" max="45" width="11.7109375" style="70" bestFit="1" customWidth="1"/>
    <col min="46" max="46" width="8.42578125" style="70" bestFit="1" customWidth="1"/>
    <col min="47" max="47" width="9.42578125" style="70" bestFit="1" customWidth="1"/>
    <col min="48" max="48" width="9.7109375" style="70" bestFit="1" customWidth="1"/>
    <col min="49" max="49" width="11" style="70" bestFit="1" customWidth="1"/>
    <col min="50" max="50" width="9.42578125" style="70" bestFit="1" customWidth="1"/>
    <col min="51" max="52" width="9.42578125" style="70" customWidth="1"/>
    <col min="53" max="53" width="10.5703125" style="70" bestFit="1" customWidth="1"/>
    <col min="54" max="54" width="14.28515625" style="70" customWidth="1"/>
    <col min="55" max="55" width="14" style="70" customWidth="1"/>
    <col min="56" max="56" width="10.5703125" style="70" bestFit="1" customWidth="1"/>
    <col min="57" max="57" width="9.42578125" style="70" bestFit="1" customWidth="1"/>
    <col min="58" max="59" width="10.5703125" style="70" bestFit="1" customWidth="1"/>
    <col min="60" max="62" width="10.5703125" style="70" customWidth="1"/>
    <col min="63" max="63" width="9" style="70" bestFit="1" customWidth="1"/>
    <col min="64" max="64" width="10.5703125" style="70" bestFit="1" customWidth="1"/>
    <col min="65" max="65" width="9.28515625" style="70" bestFit="1" customWidth="1"/>
    <col min="66" max="66" width="11.7109375" style="70" bestFit="1" customWidth="1"/>
    <col min="67" max="67" width="8.42578125" style="70" bestFit="1" customWidth="1"/>
    <col min="68" max="68" width="9.42578125" style="70" bestFit="1" customWidth="1"/>
    <col min="69" max="69" width="9.7109375" style="70" bestFit="1" customWidth="1"/>
    <col min="70" max="70" width="11" style="70" bestFit="1" customWidth="1"/>
    <col min="71" max="71" width="9.42578125" style="70" bestFit="1" customWidth="1"/>
    <col min="72" max="73" width="9.42578125" style="70" customWidth="1"/>
    <col min="74" max="74" width="10.5703125" style="70" bestFit="1" customWidth="1"/>
    <col min="75" max="75" width="14" style="70" bestFit="1" customWidth="1"/>
    <col min="76" max="76" width="13.85546875" style="70" customWidth="1"/>
    <col min="77" max="77" width="10.5703125" style="70" bestFit="1" customWidth="1"/>
    <col min="78" max="78" width="9.42578125" style="70" bestFit="1" customWidth="1"/>
    <col min="79" max="80" width="10.5703125" style="70" bestFit="1" customWidth="1"/>
    <col min="81" max="83" width="10.5703125" style="70" customWidth="1"/>
    <col min="84" max="84" width="11.42578125" style="70"/>
    <col min="85" max="85" width="10.5703125" style="70" bestFit="1" customWidth="1"/>
    <col min="86" max="86" width="9.28515625" style="70" bestFit="1" customWidth="1"/>
    <col min="87" max="87" width="11.7109375" style="70" bestFit="1" customWidth="1"/>
    <col min="88" max="88" width="8.42578125" style="70" bestFit="1" customWidth="1"/>
    <col min="89" max="89" width="9.42578125" style="70" bestFit="1" customWidth="1"/>
    <col min="90" max="90" width="9.7109375" style="70" bestFit="1" customWidth="1"/>
    <col min="91" max="91" width="11" style="70" bestFit="1" customWidth="1"/>
    <col min="92" max="92" width="9.42578125" style="70" bestFit="1" customWidth="1"/>
    <col min="93" max="94" width="9.42578125" style="70" customWidth="1"/>
    <col min="95" max="95" width="11.42578125" style="70"/>
    <col min="96" max="97" width="14" style="70" customWidth="1"/>
    <col min="98" max="98" width="10.5703125" style="70" bestFit="1" customWidth="1"/>
    <col min="99" max="99" width="9.42578125" style="70" bestFit="1" customWidth="1"/>
    <col min="100" max="101" width="10.5703125" style="70" bestFit="1" customWidth="1"/>
    <col min="102" max="104" width="10.5703125" style="70" customWidth="1"/>
    <col min="105" max="105" width="9" style="70" bestFit="1" customWidth="1"/>
    <col min="106" max="106" width="10.5703125" style="70" bestFit="1" customWidth="1"/>
    <col min="107" max="107" width="9.28515625" style="70" bestFit="1" customWidth="1"/>
    <col min="108" max="108" width="11.7109375" style="70" bestFit="1" customWidth="1"/>
    <col min="109" max="109" width="8.42578125" style="70" bestFit="1" customWidth="1"/>
    <col min="110" max="110" width="9.42578125" style="70" bestFit="1" customWidth="1"/>
    <col min="111" max="111" width="9.7109375" style="70" bestFit="1" customWidth="1"/>
    <col min="112" max="112" width="11" style="70" bestFit="1" customWidth="1"/>
    <col min="113" max="113" width="9.42578125" style="70" bestFit="1" customWidth="1"/>
    <col min="114" max="115" width="9.42578125" style="70" customWidth="1"/>
    <col min="116" max="116" width="10.5703125" style="70" bestFit="1" customWidth="1"/>
    <col min="117" max="117" width="14.28515625" style="70" customWidth="1"/>
    <col min="118" max="118" width="14" style="70" bestFit="1" customWidth="1"/>
    <col min="119" max="119" width="10.5703125" style="70" bestFit="1" customWidth="1"/>
    <col min="120" max="120" width="9.42578125" style="70" bestFit="1" customWidth="1"/>
    <col min="121" max="122" width="10.5703125" style="70" bestFit="1" customWidth="1"/>
    <col min="123" max="125" width="10.5703125" style="70" customWidth="1"/>
    <col min="126" max="126" width="9" style="70" bestFit="1" customWidth="1"/>
    <col min="127" max="127" width="10.5703125" style="70" bestFit="1" customWidth="1"/>
    <col min="128" max="128" width="9.28515625" style="70" bestFit="1" customWidth="1"/>
    <col min="129" max="129" width="11.7109375" style="70" bestFit="1" customWidth="1"/>
    <col min="130" max="130" width="8.42578125" style="70" bestFit="1" customWidth="1"/>
    <col min="131" max="131" width="9.42578125" style="70" bestFit="1" customWidth="1"/>
    <col min="132" max="132" width="9.7109375" style="70" bestFit="1" customWidth="1"/>
    <col min="133" max="133" width="11" style="70" bestFit="1" customWidth="1"/>
    <col min="134" max="134" width="9.42578125" style="70" bestFit="1" customWidth="1"/>
    <col min="135" max="136" width="9.42578125" style="70" customWidth="1"/>
    <col min="137" max="137" width="10.5703125" style="70" bestFit="1" customWidth="1"/>
    <col min="138" max="139" width="14" style="70" customWidth="1"/>
    <col min="140" max="140" width="10.5703125" style="70" bestFit="1" customWidth="1"/>
    <col min="141" max="141" width="9.42578125" style="70" bestFit="1" customWidth="1"/>
    <col min="142" max="143" width="10.5703125" style="70" bestFit="1" customWidth="1"/>
    <col min="144" max="146" width="10.5703125" style="70" customWidth="1"/>
    <col min="147" max="147" width="9" style="70" bestFit="1" customWidth="1"/>
    <col min="148" max="148" width="10.5703125" style="70" bestFit="1" customWidth="1"/>
    <col min="149" max="149" width="9.28515625" style="70" bestFit="1" customWidth="1"/>
    <col min="150" max="150" width="11.7109375" style="70" bestFit="1" customWidth="1"/>
    <col min="151" max="151" width="8.42578125" style="70" bestFit="1" customWidth="1"/>
    <col min="152" max="152" width="9.42578125" style="70" bestFit="1" customWidth="1"/>
    <col min="153" max="153" width="9.7109375" style="70" bestFit="1" customWidth="1"/>
    <col min="154" max="154" width="11" style="70" bestFit="1" customWidth="1"/>
    <col min="155" max="155" width="9.42578125" style="70" bestFit="1" customWidth="1"/>
    <col min="156" max="157" width="9.42578125" style="70" customWidth="1"/>
    <col min="158" max="158" width="11.42578125" style="70"/>
    <col min="159" max="160" width="14" style="70" bestFit="1" customWidth="1"/>
    <col min="161" max="161" width="10.5703125" style="70" bestFit="1" customWidth="1"/>
    <col min="162" max="162" width="9.42578125" style="70" bestFit="1" customWidth="1"/>
    <col min="163" max="164" width="10.5703125" style="70" bestFit="1" customWidth="1"/>
    <col min="165" max="167" width="10.5703125" style="70" customWidth="1"/>
    <col min="168" max="168" width="9" style="70" bestFit="1" customWidth="1"/>
    <col min="169" max="169" width="10.5703125" style="70" bestFit="1" customWidth="1"/>
    <col min="170" max="170" width="9.28515625" style="70" bestFit="1" customWidth="1"/>
    <col min="171" max="171" width="11.7109375" style="70" bestFit="1" customWidth="1"/>
    <col min="172" max="172" width="8.140625" style="70" bestFit="1" customWidth="1"/>
    <col min="173" max="173" width="9.42578125" style="70" bestFit="1" customWidth="1"/>
    <col min="174" max="174" width="9.7109375" style="70" bestFit="1" customWidth="1"/>
    <col min="175" max="175" width="11" style="70" bestFit="1" customWidth="1"/>
    <col min="176" max="176" width="9.42578125" style="70" bestFit="1" customWidth="1"/>
    <col min="177" max="178" width="9.42578125" style="70" customWidth="1"/>
    <col min="179" max="179" width="10.5703125" style="70" bestFit="1" customWidth="1"/>
    <col min="180" max="181" width="14" style="70" bestFit="1" customWidth="1"/>
    <col min="182" max="182" width="10.5703125" style="70" bestFit="1" customWidth="1"/>
    <col min="183" max="183" width="9.42578125" style="70" bestFit="1" customWidth="1"/>
    <col min="184" max="185" width="10.5703125" style="70" bestFit="1" customWidth="1"/>
    <col min="186" max="188" width="10.5703125" style="70" customWidth="1"/>
    <col min="189" max="189" width="9" style="70" bestFit="1" customWidth="1"/>
    <col min="190" max="190" width="10.5703125" style="70" bestFit="1" customWidth="1"/>
    <col min="191" max="191" width="9.28515625" style="70" bestFit="1" customWidth="1"/>
    <col min="192" max="192" width="11.42578125" style="70"/>
    <col min="193" max="193" width="8.42578125" style="70" bestFit="1" customWidth="1"/>
    <col min="194" max="194" width="9.42578125" style="70" bestFit="1" customWidth="1"/>
    <col min="195" max="195" width="9.7109375" style="70" bestFit="1" customWidth="1"/>
    <col min="196" max="196" width="11" style="70" bestFit="1" customWidth="1"/>
    <col min="197" max="197" width="9.42578125" style="70" bestFit="1" customWidth="1"/>
    <col min="198" max="199" width="9.42578125" style="70" customWidth="1"/>
    <col min="200" max="200" width="10.5703125" style="70" bestFit="1" customWidth="1"/>
    <col min="201" max="201" width="14" style="70" customWidth="1"/>
    <col min="202" max="202" width="14.28515625" style="70" customWidth="1"/>
    <col min="203" max="203" width="10.5703125" style="70" bestFit="1" customWidth="1"/>
    <col min="204" max="204" width="9.42578125" style="70" bestFit="1" customWidth="1"/>
    <col min="205" max="206" width="10.5703125" style="70" bestFit="1" customWidth="1"/>
    <col min="207" max="209" width="10.5703125" style="70" customWidth="1"/>
    <col min="210" max="210" width="9" style="70" bestFit="1" customWidth="1"/>
    <col min="211" max="211" width="10.5703125" style="70" bestFit="1" customWidth="1"/>
    <col min="212" max="212" width="9.28515625" style="70" bestFit="1" customWidth="1"/>
    <col min="213" max="213" width="11.7109375" style="70" bestFit="1" customWidth="1"/>
    <col min="214" max="214" width="8.42578125" style="70" bestFit="1" customWidth="1"/>
    <col min="215" max="215" width="9.42578125" style="70" bestFit="1" customWidth="1"/>
    <col min="216" max="216" width="9.7109375" style="70" bestFit="1" customWidth="1"/>
    <col min="217" max="217" width="11" style="70" bestFit="1" customWidth="1"/>
    <col min="218" max="218" width="9.42578125" style="70" bestFit="1" customWidth="1"/>
    <col min="219" max="16384" width="11.42578125" style="70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Douglas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laricio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Chêne sessile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Châtaignier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Merisier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>Erable plane</v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>Charme</v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>Cèdre de l'Atlas</v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>Alisier torminal</v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>Tilleul</v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4" t="s">
        <v>178</v>
      </c>
      <c r="B2" s="75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8" t="s">
        <v>299</v>
      </c>
      <c r="I2" s="71" t="s">
        <v>298</v>
      </c>
      <c r="J2" s="72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2" t="s">
        <v>298</v>
      </c>
      <c r="AE2" s="72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1" t="s">
        <v>298</v>
      </c>
      <c r="AZ2" s="72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1" t="s">
        <v>298</v>
      </c>
      <c r="BU2" s="72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1" t="s">
        <v>298</v>
      </c>
      <c r="CP2" s="72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1" t="s">
        <v>298</v>
      </c>
      <c r="DK2" s="72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1" t="s">
        <v>298</v>
      </c>
      <c r="EF2" s="72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1" t="s">
        <v>298</v>
      </c>
      <c r="FA2" s="72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1" t="s">
        <v>298</v>
      </c>
      <c r="FV2" s="72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1" t="s">
        <v>298</v>
      </c>
      <c r="GQ2" s="72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6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9">
        <f>(B3+E3+F3)*44/12+(C3+D3)*0.475*44/12</f>
        <v>256.66666666666669</v>
      </c>
      <c r="I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323.98185264074681</v>
      </c>
      <c r="T3" s="62">
        <f>IF('Données projet'!E9&gt;30,$R$33-$H$33,LOOKUP('Données projet'!$E$9,$A$3:$A$203,R3:R203)-LOOKUP('Données projet'!$E$9,$A$3:$A$203,$H$3:$H$203))</f>
        <v>301.22207291854005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289.12367833861299</v>
      </c>
      <c r="AO3" s="62">
        <f>IF('Données projet'!E10&gt;30,$AM$33-$H$33,LOOKUP('Données projet'!$E$10,$A$3:$A$203,AM3:AM203)-LOOKUP('Données projet'!$E$10,$A$3:$A$203,$H$3:$H$203))</f>
        <v>229.06617320689003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428.8489304403459</v>
      </c>
      <c r="BJ3" s="62">
        <f>IF('Données projet'!E11&gt;30,$BH$33-$H$33,LOOKUP('Données projet'!$E$11,$A$3:$A$203,BH3:BH203)-LOOKUP('Données projet'!$E$11,$A$3:$A$203,$H$3:$H$203))</f>
        <v>247.01165577562966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290.85271051443431</v>
      </c>
      <c r="CE3" s="62">
        <f>IF('Données projet'!E12&gt;30,$CC$33-$H$33,LOOKUP('Données projet'!$E$12,$A$3:$A$203,CC3:CC203)-LOOKUP('Données projet'!$E$12,$A$3:$A$203,$H$3:$H$203))</f>
        <v>318.66958823451142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292.57482726862594</v>
      </c>
      <c r="CZ3" s="62">
        <f>IF('Données projet'!E13&gt;30,$CX$33-$H$33,LOOKUP('Données projet'!$E$13,$A$3:$A$203,CX3:CX203)-LOOKUP('Données projet'!$E$13,$A$3:$A$203,$H$3:$H$203))</f>
        <v>283.48738729114024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256.66666666666669</v>
      </c>
      <c r="DT3" s="62">
        <f ca="1">AVERAGE(OFFSET($DS$3,0,0,'Données projet'!$E$14+1,1))-AVERAGE(OFFSET($H$3,0,0,'Données projet'!$E$14+1,1))</f>
        <v>312.53381881960331</v>
      </c>
      <c r="DU3" s="62">
        <f>IF('Données projet'!E14&gt;30,$DS$33-$H$33,LOOKUP('Données projet'!$E$14,$A$3:$A$203,DS3:DS203)-LOOKUP('Données projet'!$E$14,$A$3:$A$203,$H$3:$H$203))</f>
        <v>342.06887933351783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256.66666666666669</v>
      </c>
      <c r="EO3" s="62">
        <f ca="1">AVERAGE(OFFSET($EN$3,0,0,'Données projet'!$E$15+1,1))-AVERAGE(OFFSET($H$3,0,0,'Données projet'!$E$15+1,1))</f>
        <v>363.37916970915211</v>
      </c>
      <c r="EP3" s="62">
        <f>IF('Données projet'!E15&gt;30,$EN$33-$H$33,LOOKUP('Données projet'!$E$15,$A$3:$A$203,EN3:EN203)-LOOKUP('Données projet'!$E$15,$A$3:$A$203,$H$3:$H$203))</f>
        <v>281.52963027844595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256.66666666666669</v>
      </c>
      <c r="FJ3" s="62">
        <f ca="1">AVERAGE(OFFSET($FI$3,0,0,'Données projet'!$E$16+1,1))-AVERAGE(OFFSET($H$3,0,0,'Données projet'!$E$16+1,1))</f>
        <v>245.47494516762282</v>
      </c>
      <c r="FK3" s="62">
        <f>IF('Données projet'!E16&gt;30,$FI$33-$H$33,LOOKUP('Données projet'!$E$16,$A$3:$A$203,FI3:FI203)-LOOKUP('Données projet'!$E$16,$A$3:$A$203,$H$3:$H$203))</f>
        <v>145.54897745089966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256.66666666666669</v>
      </c>
      <c r="GE3" s="62">
        <f ca="1">AVERAGE(OFFSET($GD$3,0,0,'Données projet'!$E$17+1,1))-AVERAGE(OFFSET($H$3,0,0,'Données projet'!$E$17+1,1))</f>
        <v>455.50822833641354</v>
      </c>
      <c r="GF3" s="62">
        <f>IF('Données projet'!E17&gt;30,$GD$33-$H$33,LOOKUP('Données projet'!$E$17,$A$3:$A$203,GD3:GD203)-LOOKUP('Données projet'!$E$17,$A$3:$A$203,$H$3:$H$203))</f>
        <v>261.14722581688039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2">
        <f>GX3+(GP3+GQ3)*44/12</f>
        <v>256.66666666666669</v>
      </c>
      <c r="GZ3" s="62">
        <f ca="1">AVERAGE(OFFSET($GY$3,0,0,'Données projet'!$E$18+1,1))-AVERAGE(OFFSET($H$3,0,0,'Données projet'!$E$18+1,1))</f>
        <v>312.06797204903796</v>
      </c>
      <c r="HA3" s="62">
        <f>IF('Données projet'!E18&gt;30,$GY$33-$H$33,LOOKUP('Données projet'!$E$18,$A$3:$A$203,GY3:GY203)-LOOKUP('Données projet'!$E$18,$A$3:$A$203,$H$3:$H$203))</f>
        <v>258.20189001775151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6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9">
        <f t="shared" ref="H4:H67" si="1">(B4+E4+F4)*44/12+(C4+D4)*0.475*44/12</f>
        <v>256.66666666666669</v>
      </c>
      <c r="I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7.7987854251012134</v>
      </c>
      <c r="N4" s="14">
        <f>IF('Données projet'!$A$36&gt;35,N3+M4-V3,IF(A4&lt;'Données projet'!$A$36,$K$205^A4,IF(A4='Données projet'!$A$36,'Données projet'!$B$36,N3+M4-V3)))</f>
        <v>1.3009230512021859</v>
      </c>
      <c r="O4" s="14">
        <f>N4*VLOOKUP('Données projet'!$B$9,Paramètres!$A$1:$I$89,3,0)*VLOOKUP('Données projet'!$B$9,Paramètres!$A$1:$I$89,5,0)</f>
        <v>0.72721598562202194</v>
      </c>
      <c r="P4" s="14">
        <f>EXP(-1.0587+0.8836*LN(O4)+0.284)</f>
        <v>0.3477906162348457</v>
      </c>
      <c r="Q4" s="22">
        <f t="shared" ref="Q4:Q34" si="2">(O4+P4)*0.475*44/12</f>
        <v>1.8723031649007107</v>
      </c>
      <c r="R4" s="62">
        <f t="shared" si="0"/>
        <v>259.76119205378956</v>
      </c>
      <c r="S4" s="62">
        <f ca="1">AVERAGE(OFFSET($R$3,0,0,'Données projet'!$E$9+1,1))-AVERAGE(OFFSET($H$3,0,0,'Données projet'!$E$9+1,1))</f>
        <v>323.98185264074681</v>
      </c>
      <c r="T4" s="62">
        <f>$T$3</f>
        <v>301.22207291854005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2.3805128205128203</v>
      </c>
      <c r="AI4" s="14">
        <f>IF('Données projet'!$A$62&gt;35,AI3+AH4-AQ3,IF(A4&lt;'Données projet'!$A$62,$AF$205^A4,IF(A4='Données projet'!$A$62,'Données projet'!$B$62,AI3+AH4-AQ3)))</f>
        <v>1.2691631451226497</v>
      </c>
      <c r="AJ4" s="14">
        <f>AI4*VLOOKUP('Données projet'!$B$10,Paramètres!$A$1:$I$89,3,0)*VLOOKUP('Données projet'!$B$10,Paramètres!$A$1:$I$89,5,0)</f>
        <v>0.75895956078334459</v>
      </c>
      <c r="AK4" s="14">
        <f>EXP(-1.0587+0.8836*LN(AJ4)+0.284)</f>
        <v>0.36117131619841292</v>
      </c>
      <c r="AL4" s="22">
        <f t="shared" ref="AL4:AL67" si="4">(AJ4+AK4)*0.475*44/12</f>
        <v>1.9508946107432275</v>
      </c>
      <c r="AM4" s="62">
        <f t="shared" ref="AM4:AM67" si="5">AL4+(AD4+AE4)*44/12</f>
        <v>259.83978349963206</v>
      </c>
      <c r="AN4" s="62">
        <f ca="1">AVERAGE(OFFSET($AM$3,0,0,'Données projet'!$E$10+1,1))-AVERAGE(OFFSET($H$3,0,0,'Données projet'!$E$10+1,1))</f>
        <v>289.12367833861299</v>
      </c>
      <c r="AO4" s="62">
        <f>$AO$3</f>
        <v>229.06617320689003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2.1</v>
      </c>
      <c r="BD4" s="13">
        <f>IF('Données projet'!$A$88&gt;35,BD3+BC4-BL3,IF(A4&lt;'Données projet'!$A$88,$BA$205^A4,IF(A4='Données projet'!$A$88,'Données projet'!$B$88,BD3+BC4-BL3)))</f>
        <v>1.2054868146447177</v>
      </c>
      <c r="BE4" s="14">
        <f>BD4*VLOOKUP('Données projet'!$B$11,Paramètres!$A$1:$I$89,3,0)*VLOOKUP('Données projet'!$B$11,Paramètres!$A$1:$I$89,5,0)</f>
        <v>1.0907244698905405</v>
      </c>
      <c r="BF4" s="14">
        <f>EXP(-1.0587+0.8836*LN(BE4)+0.284)</f>
        <v>0.49759623852608204</v>
      </c>
      <c r="BG4" s="22">
        <f t="shared" ref="BG4:BG67" si="7">(BE4+BF4)*0.475*44/12</f>
        <v>2.7663252338256172</v>
      </c>
      <c r="BH4" s="62">
        <f t="shared" ref="BH4:BH67" si="8">BG4+(AY4+AZ4)*44/12</f>
        <v>260.65521412271448</v>
      </c>
      <c r="BI4" s="62">
        <f ca="1">AVERAGE(OFFSET($BH$3,0,0,'Données projet'!$E$11+1,1))-AVERAGE(OFFSET($H$3,0,0,'Données projet'!$E$11+1,1))</f>
        <v>428.8489304403459</v>
      </c>
      <c r="BJ4" s="62">
        <f>$BJ$3</f>
        <v>247.01165577562966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2.4666666666666668</v>
      </c>
      <c r="BY4" s="13">
        <f>IF('Données projet'!$A$114&gt;35,BY3+BX4-CG3,IF(A4&lt;'Données projet'!$A$114,$BV$205^A4,IF(A4='Données projet'!$A$114,'Données projet'!$B$114,BY3+BX4-CG3)))</f>
        <v>1.2721747796233518</v>
      </c>
      <c r="BZ4" s="14">
        <f>BY4*VLOOKUP('Données projet'!$B$12,Paramètres!$A$1:$I$89,3,0)*VLOOKUP('Données projet'!$B$12,Paramètres!$A$1:$I$89,5,0)</f>
        <v>0.9327585484198414</v>
      </c>
      <c r="CA4" s="14">
        <f>EXP(-1.0587+0.8836*LN(BZ4)+0.284)</f>
        <v>0.43335135961225768</v>
      </c>
      <c r="CB4" s="22">
        <f t="shared" ref="CB4:CB67" si="10">(BZ4+CA4)*0.475*44/12</f>
        <v>2.3793080898225729</v>
      </c>
      <c r="CC4" s="62">
        <f t="shared" ref="CC4:CC67" si="11">CB4+(BT4+BU4)*44/12</f>
        <v>260.26819697871144</v>
      </c>
      <c r="CD4" s="62">
        <f ca="1">AVERAGE(OFFSET($CC$3,0,0,'Données projet'!$E$12+1,1))-AVERAGE(OFFSET($H$3,0,0,'Données projet'!$E$12+1,1))</f>
        <v>290.85271051443431</v>
      </c>
      <c r="CE4" s="62">
        <f>$CE$3</f>
        <v>318.66958823451142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2.6666666666666665</v>
      </c>
      <c r="CT4" s="13">
        <f>IF('Données projet'!$A$140&gt;35,CT3+CS4-DB3,IF(A4&lt;'Données projet'!$A$140,$CQ$205^A4,IF(A4='Données projet'!$A$140,'Données projet'!$B$140,CT3+CS4-DB3)))</f>
        <v>1.2788040393997409</v>
      </c>
      <c r="CU4" s="18">
        <f>CT4*VLOOKUP('Données projet'!$B$13,Paramètres!$A$1:$I$89,3,0)*VLOOKUP('Données projet'!$B$13,Paramètres!$A$1:$I$89,5,0)</f>
        <v>0.99746715073179792</v>
      </c>
      <c r="CV4" s="14">
        <f>EXP(-1.0587+0.8836*LN(CU4)+0.284)</f>
        <v>0.45981048445793882</v>
      </c>
      <c r="CW4" s="22">
        <f t="shared" ref="CW4:CW67" si="13">(CU4+CV4)*0.475*44/12</f>
        <v>2.5380918812887914</v>
      </c>
      <c r="CX4" s="62">
        <f t="shared" ref="CX4:CX67" si="14">CW4+(CO4+CP4)*44/12</f>
        <v>260.42698077017764</v>
      </c>
      <c r="CY4" s="62">
        <f ca="1">AVERAGE(OFFSET($CX$3,0,0,'Données projet'!$E$13+1,1))-AVERAGE(OFFSET($H$3,0,0,'Données projet'!$E$13+1,1))</f>
        <v>292.57482726862594</v>
      </c>
      <c r="CZ4" s="62">
        <f>$CZ$3</f>
        <v>283.48738729114024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2.4666666666666668</v>
      </c>
      <c r="DO4" s="13">
        <f>IF('Données projet'!$A$166&gt;35,DO3+DN4-DW3,IF(A4&lt;'Données projet'!$A$166,$DL$205^A4,IF(A4='Données projet'!$A$166,'Données projet'!$B$166,DO3+DN4-DW3)))</f>
        <v>1.2721747796233518</v>
      </c>
      <c r="DP4" s="18">
        <f>DO4*VLOOKUP('Données projet'!$B$14,Paramètres!$A$1:$I$89,3,0)*VLOOKUP('Données projet'!$B$14,Paramètres!$A$1:$I$89,5,0)</f>
        <v>1.0121422546683387</v>
      </c>
      <c r="DQ4" s="14">
        <f>EXP(-1.0587+0.8836*LN(DP4)+0.284)</f>
        <v>0.46578286063395047</v>
      </c>
      <c r="DR4" s="22">
        <f t="shared" ref="DR4:DR67" si="16">(DP4+DQ4)*0.475*44/12</f>
        <v>2.574052909151487</v>
      </c>
      <c r="DS4" s="62">
        <f t="shared" ref="DS4:DS67" si="17">DR4+(DJ4+DK4)*44/12</f>
        <v>260.46294179804033</v>
      </c>
      <c r="DT4" s="62">
        <f ca="1">AVERAGE(OFFSET($DS$3,0,0,'Données projet'!$E$14+1,1))-AVERAGE(OFFSET($H$3,0,0,'Données projet'!$E$14+1,1))</f>
        <v>312.53381881960331</v>
      </c>
      <c r="DU4" s="62">
        <f>$DU$3</f>
        <v>342.06887933351783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2.4358974358974361</v>
      </c>
      <c r="EJ4" s="13">
        <f>IF('Données projet'!$A$192&gt;35,EJ3+EI4-ER3,IF(A4&lt;'Données projet'!$A$192,$EG$205^A4,IF(A4='Données projet'!$A$192,'Données projet'!$B$192,EJ3+EI4-ER3)))</f>
        <v>1.2711106295585217</v>
      </c>
      <c r="EK4" s="18">
        <f>EJ4*VLOOKUP('Données projet'!$B$15,Paramètres!$A$1:$I$89,3,0)*VLOOKUP('Données projet'!$B$15,Paramètres!$A$1:$I$89,5,0)</f>
        <v>1.2095888750878894</v>
      </c>
      <c r="EL4" s="14">
        <f>EXP(-1.0587+0.8836*LN(EK4)+0.284)</f>
        <v>0.5452187850680178</v>
      </c>
      <c r="EM4" s="22">
        <f t="shared" ref="EM4:EM67" si="19">(EK4+EL4)*0.475*44/12</f>
        <v>3.0562900081048716</v>
      </c>
      <c r="EN4" s="62">
        <f t="shared" ref="EN4:EN67" si="20">EM4+(EE4+EF4)*44/12</f>
        <v>260.94517889699375</v>
      </c>
      <c r="EO4" s="62">
        <f ca="1">AVERAGE(OFFSET($EN$3,0,0,'Données projet'!$E$15+1,1))-AVERAGE(OFFSET($H$3,0,0,'Données projet'!$E$15+1,1))</f>
        <v>363.37916970915211</v>
      </c>
      <c r="EP4" s="62">
        <f>$EP$3</f>
        <v>281.52963027844595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3.4425641025641025</v>
      </c>
      <c r="FE4" s="13">
        <f>IF('Données projet'!$A$218&gt;35,FE3+FD4-FM3,IF(A4&lt;'Données projet'!$A$218,$FB$205^A4,IF(A4='Données projet'!$A$218,'Données projet'!$B$218,FE3+FD4-FM3)))</f>
        <v>1.1671681906248585</v>
      </c>
      <c r="FF4" s="18">
        <f>FE4*VLOOKUP('Données projet'!$B$16,Paramètres!$A$1:$I$89,3,0)*VLOOKUP('Données projet'!$B$16,Paramètres!$A$1:$I$89,5,0)</f>
        <v>0.54623471321243378</v>
      </c>
      <c r="FG4" s="14">
        <f>EXP(-1.0587+0.8836*LN(FF4)+0.284)</f>
        <v>0.27008496636632595</v>
      </c>
      <c r="FH4" s="22">
        <f t="shared" ref="FH4:FH67" si="22">(FF4+FG4)*0.475*44/12</f>
        <v>1.4217567752663396</v>
      </c>
      <c r="FI4" s="62">
        <f t="shared" ref="FI4:FI67" si="23">FH4+(EZ4+FA4)*44/12</f>
        <v>259.31064566415517</v>
      </c>
      <c r="FJ4" s="62">
        <f ca="1">AVERAGE(OFFSET($FI$3,0,0,'Données projet'!$E$16+1,1))-AVERAGE(OFFSET($H$3,0,0,'Données projet'!$E$16+1,1))</f>
        <v>245.47494516762282</v>
      </c>
      <c r="FK4" s="62">
        <f>$FK$3</f>
        <v>145.54897745089966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2.1</v>
      </c>
      <c r="FZ4" s="13">
        <f>IF('Données projet'!$A$244&gt;35,FZ3+FY4-GH3,IF(A4&lt;'Données projet'!$A$244,$FW$205^A4,IF(A4='Données projet'!$A$244,'Données projet'!$B$244,FZ3+FY4-GH3)))</f>
        <v>1.2054868146447177</v>
      </c>
      <c r="GA4" s="18">
        <f>FZ4*VLOOKUP('Données projet'!$B$17,Paramètres!$A$1:$I$89,3,0)*VLOOKUP('Données projet'!$B$17,Paramètres!$A$1:$I$89,5,0)</f>
        <v>1.165946847124371</v>
      </c>
      <c r="GB4" s="14">
        <f>EXP(-1.0587+0.8836*LN(GA4)+0.284)</f>
        <v>0.52780002987456354</v>
      </c>
      <c r="GC4" s="22">
        <f t="shared" ref="GC4:GC67" si="25">(GA4+GB4)*0.475*44/12</f>
        <v>2.9499424774398109</v>
      </c>
      <c r="GD4" s="62">
        <f t="shared" ref="GD4:GD67" si="26">GC4+(FU4+FV4)*44/12</f>
        <v>260.83883136632869</v>
      </c>
      <c r="GE4" s="62">
        <f ca="1">AVERAGE(OFFSET($GD$3,0,0,'Données projet'!$E$17+1,1))-AVERAGE(OFFSET($H$3,0,0,'Données projet'!$E$17+1,1))</f>
        <v>455.50822833641354</v>
      </c>
      <c r="GF4" s="62">
        <f>$GF$3</f>
        <v>261.14722581688039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3.3333333333333335</v>
      </c>
      <c r="GU4" s="13">
        <f>IF('Données projet'!$A$270&gt;35,GU3+GT4-HC3,IF(A4&lt;'Données projet'!$A$270,$GR$205^A4,IF(A4='Données projet'!$A$270,'Données projet'!$B$270,GU3+GT4-HC3)))</f>
        <v>1.2979700365523266</v>
      </c>
      <c r="GV4" s="18">
        <f>GU4*VLOOKUP('Données projet'!$B$18,Paramètres!$A$1:$I$89,3,0)*VLOOKUP('Données projet'!$B$18,Paramètres!$A$1:$I$89,5,0)</f>
        <v>0.87067830051930062</v>
      </c>
      <c r="GW4" s="14">
        <f>EXP(-1.0587+0.8836*LN(GV4)+0.284)</f>
        <v>0.40776537662742923</v>
      </c>
      <c r="GX4" s="22">
        <f t="shared" ref="GX4:GX67" si="28">(GV4+GW4)*0.475*44/12</f>
        <v>2.226622737697221</v>
      </c>
      <c r="GY4" s="62">
        <f t="shared" ref="GY4:GY67" si="29">GX4+(GP4+GQ4)*44/12</f>
        <v>260.11551162658606</v>
      </c>
      <c r="GZ4" s="62">
        <f ca="1">AVERAGE(OFFSET($GY$3,0,0,'Données projet'!$E$18+1,1))-AVERAGE(OFFSET($H$3,0,0,'Données projet'!$E$18+1,1))</f>
        <v>312.06797204903796</v>
      </c>
      <c r="HA4" s="62">
        <f>$HA$3</f>
        <v>258.20189001775151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</row>
    <row r="5" spans="1:218" s="5" customFormat="1" x14ac:dyDescent="0.25">
      <c r="A5" s="11">
        <f t="shared" ref="A5:A68" si="31">A4+1</f>
        <v>2</v>
      </c>
      <c r="B5" s="76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9">
        <f t="shared" si="1"/>
        <v>256.66666666666669</v>
      </c>
      <c r="I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7.7987854251012134</v>
      </c>
      <c r="N5" s="14">
        <f>IF('Données projet'!$A$36&gt;35,N4+M5-V4,IF(A5&lt;'Données projet'!$A$36,$K$205^A5,IF(A5='Données projet'!$A$36,'Données projet'!$B$36,N4+M5-V4)))</f>
        <v>1.6924007851492051</v>
      </c>
      <c r="O5" s="14">
        <f>N5*VLOOKUP('Données projet'!$B$9,Paramètres!$A$1:$I$89,3,0)*VLOOKUP('Données projet'!$B$9,Paramètres!$A$1:$I$89,5,0)</f>
        <v>0.94605203889840572</v>
      </c>
      <c r="P5" s="14">
        <f t="shared" ref="P5:P68" si="33">EXP(-1.0587+0.8836*LN(O5)+0.284)</f>
        <v>0.43880400409515918</v>
      </c>
      <c r="Q5" s="22">
        <f t="shared" si="2"/>
        <v>2.4119576082137919</v>
      </c>
      <c r="R5" s="62">
        <f t="shared" si="0"/>
        <v>261.52306871932495</v>
      </c>
      <c r="S5" s="62">
        <f ca="1">AVERAGE(OFFSET($R$3,0,0,'Données projet'!$E$9+1,1))-AVERAGE(OFFSET($H$3,0,0,'Données projet'!$E$9+1,1))</f>
        <v>323.98185264074681</v>
      </c>
      <c r="T5" s="62">
        <f t="shared" ref="T5:T68" si="34">$T$3</f>
        <v>301.22207291854005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2.3805128205128203</v>
      </c>
      <c r="AI5" s="14">
        <f>IF('Données projet'!$A$62&gt;35,AI4+AH5-AQ4,IF(A5&lt;'Données projet'!$A$62,$AF$205^A5,IF(A5='Données projet'!$A$62,'Données projet'!$B$62,AI4+AH5-AQ4)))</f>
        <v>1.610775088937616</v>
      </c>
      <c r="AJ5" s="14">
        <f>AI5*VLOOKUP('Données projet'!$B$10,Paramètres!$A$1:$I$89,3,0)*VLOOKUP('Données projet'!$B$10,Paramètres!$A$1:$I$89,5,0)</f>
        <v>0.96324350318469443</v>
      </c>
      <c r="AK5" s="14">
        <f t="shared" ref="AK5:AK68" si="35">EXP(-1.0587+0.8836*LN(AJ5)+0.284)</f>
        <v>0.44584230224208238</v>
      </c>
      <c r="AL5" s="22">
        <f t="shared" si="4"/>
        <v>2.4541577777849692</v>
      </c>
      <c r="AM5" s="62">
        <f t="shared" si="5"/>
        <v>261.56526888889613</v>
      </c>
      <c r="AN5" s="62">
        <f ca="1">AVERAGE(OFFSET($AM$3,0,0,'Données projet'!$E$10+1,1))-AVERAGE(OFFSET($H$3,0,0,'Données projet'!$E$10+1,1))</f>
        <v>289.12367833861299</v>
      </c>
      <c r="AO5" s="62">
        <f t="shared" ref="AO5:AO68" si="36">$AO$3</f>
        <v>229.06617320689003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2.1</v>
      </c>
      <c r="BD5" s="13">
        <f>IF('Données projet'!$A$88&gt;35,BD4+BC5-BL4,IF(A5&lt;'Données projet'!$A$88,$BA$205^A5,IF(A5='Données projet'!$A$88,'Données projet'!$B$88,BD4+BC5-BL4)))</f>
        <v>1.4531984602822681</v>
      </c>
      <c r="BE5" s="14">
        <f>BD5*VLOOKUP('Données projet'!$B$11,Paramètres!$A$1:$I$89,3,0)*VLOOKUP('Données projet'!$B$11,Paramètres!$A$1:$I$89,5,0)</f>
        <v>1.3148539668633961</v>
      </c>
      <c r="BF5" s="14">
        <f t="shared" ref="BF5:BF68" si="37">EXP(-1.0587+0.8836*LN(BE5)+0.284)</f>
        <v>0.58693801963664449</v>
      </c>
      <c r="BG5" s="22">
        <f t="shared" si="7"/>
        <v>3.3122877098209038</v>
      </c>
      <c r="BH5" s="62">
        <f t="shared" si="8"/>
        <v>262.42339882093205</v>
      </c>
      <c r="BI5" s="62">
        <f ca="1">AVERAGE(OFFSET($BH$3,0,0,'Données projet'!$E$11+1,1))-AVERAGE(OFFSET($H$3,0,0,'Données projet'!$E$11+1,1))</f>
        <v>428.8489304403459</v>
      </c>
      <c r="BJ5" s="62">
        <f t="shared" ref="BJ5:BJ68" si="38">$BJ$3</f>
        <v>247.01165577562966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2.4666666666666668</v>
      </c>
      <c r="BY5" s="13">
        <f>IF('Données projet'!$A$114&gt;35,BY4+BX5-CG4,IF(A5&lt;'Données projet'!$A$114,$BV$205^A5,IF(A5='Données projet'!$A$114,'Données projet'!$B$114,BY4+BX5-CG4)))</f>
        <v>1.6184286699097237</v>
      </c>
      <c r="BZ5" s="14">
        <f>BY5*VLOOKUP('Données projet'!$B$12,Paramètres!$A$1:$I$89,3,0)*VLOOKUP('Données projet'!$B$12,Paramètres!$A$1:$I$89,5,0)</f>
        <v>1.1866319007778094</v>
      </c>
      <c r="CA5" s="14">
        <f t="shared" ref="CA5:CA68" si="39">EXP(-1.0587+0.8836*LN(BZ5)+0.284)</f>
        <v>0.53606530474621483</v>
      </c>
      <c r="CB5" s="22">
        <f t="shared" si="10"/>
        <v>3.0003642996210083</v>
      </c>
      <c r="CC5" s="62">
        <f t="shared" si="11"/>
        <v>262.11147541073217</v>
      </c>
      <c r="CD5" s="62">
        <f ca="1">AVERAGE(OFFSET($CC$3,0,0,'Données projet'!$E$12+1,1))-AVERAGE(OFFSET($H$3,0,0,'Données projet'!$E$12+1,1))</f>
        <v>290.85271051443431</v>
      </c>
      <c r="CE5" s="62">
        <f t="shared" ref="CE5:CE68" si="40">$CE$3</f>
        <v>318.66958823451142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2.6666666666666665</v>
      </c>
      <c r="CT5" s="13">
        <f>IF('Données projet'!$A$140&gt;35,CT4+CS5-DB4,IF(A5&lt;'Données projet'!$A$140,$CQ$205^A5,IF(A5='Données projet'!$A$140,'Données projet'!$B$140,CT4+CS5-DB4)))</f>
        <v>1.6353397711850939</v>
      </c>
      <c r="CU5" s="18">
        <f>CT5*VLOOKUP('Données projet'!$B$13,Paramètres!$A$1:$I$89,3,0)*VLOOKUP('Données projet'!$B$13,Paramètres!$A$1:$I$89,5,0)</f>
        <v>1.2755650215243732</v>
      </c>
      <c r="CV5" s="14">
        <f t="shared" ref="CV5:CV68" si="41">EXP(-1.0587+0.8836*LN(CU5)+0.284)</f>
        <v>0.57141400910743001</v>
      </c>
      <c r="CW5" s="22">
        <f t="shared" si="13"/>
        <v>3.2168218116837237</v>
      </c>
      <c r="CX5" s="62">
        <f t="shared" si="14"/>
        <v>262.32793292279484</v>
      </c>
      <c r="CY5" s="62">
        <f ca="1">AVERAGE(OFFSET($CX$3,0,0,'Données projet'!$E$13+1,1))-AVERAGE(OFFSET($H$3,0,0,'Données projet'!$E$13+1,1))</f>
        <v>292.57482726862594</v>
      </c>
      <c r="CZ5" s="62">
        <f t="shared" ref="CZ5:CZ68" si="42">$CZ$3</f>
        <v>283.48738729114024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2.4666666666666668</v>
      </c>
      <c r="DO5" s="13">
        <f>IF('Données projet'!$A$166&gt;35,DO4+DN5-DW4,IF(A5&lt;'Données projet'!$A$166,$DL$205^A5,IF(A5='Données projet'!$A$166,'Données projet'!$B$166,DO4+DN5-DW4)))</f>
        <v>1.6184286699097237</v>
      </c>
      <c r="DP5" s="18">
        <f>DO5*VLOOKUP('Données projet'!$B$14,Paramètres!$A$1:$I$89,3,0)*VLOOKUP('Données projet'!$B$14,Paramètres!$A$1:$I$89,5,0)</f>
        <v>1.2876218497801761</v>
      </c>
      <c r="DQ5" s="14">
        <f t="shared" ref="DQ5:DQ68" si="43">EXP(-1.0587+0.8836*LN(DP5)+0.284)</f>
        <v>0.57618379541883336</v>
      </c>
      <c r="DR5" s="22">
        <f t="shared" si="16"/>
        <v>3.2461281653882743</v>
      </c>
      <c r="DS5" s="62">
        <f t="shared" si="17"/>
        <v>262.3572392764994</v>
      </c>
      <c r="DT5" s="62">
        <f ca="1">AVERAGE(OFFSET($DS$3,0,0,'Données projet'!$E$14+1,1))-AVERAGE(OFFSET($H$3,0,0,'Données projet'!$E$14+1,1))</f>
        <v>312.53381881960331</v>
      </c>
      <c r="DU5" s="62">
        <f t="shared" ref="DU5:DU68" si="44">$DU$3</f>
        <v>342.06887933351783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2.4358974358974361</v>
      </c>
      <c r="EJ5" s="13">
        <f>IF('Données projet'!$A$192&gt;35,EJ4+EI5-ER4,IF(A5&lt;'Données projet'!$A$192,$EG$205^A5,IF(A5='Données projet'!$A$192,'Données projet'!$B$192,EJ4+EI5-ER4)))</f>
        <v>1.6157222325766614</v>
      </c>
      <c r="EK5" s="18">
        <f>EJ5*VLOOKUP('Données projet'!$B$15,Paramètres!$A$1:$I$89,3,0)*VLOOKUP('Données projet'!$B$15,Paramètres!$A$1:$I$89,5,0)</f>
        <v>1.5375212765199511</v>
      </c>
      <c r="EL5" s="14">
        <f t="shared" ref="EL5:EL68" si="45">EXP(-1.0587+0.8836*LN(EK5)+0.284)</f>
        <v>0.67394928852564717</v>
      </c>
      <c r="EM5" s="22">
        <f t="shared" si="19"/>
        <v>3.8516445674544162</v>
      </c>
      <c r="EN5" s="62">
        <f t="shared" si="20"/>
        <v>262.96275567856554</v>
      </c>
      <c r="EO5" s="62">
        <f ca="1">AVERAGE(OFFSET($EN$3,0,0,'Données projet'!$E$15+1,1))-AVERAGE(OFFSET($H$3,0,0,'Données projet'!$E$15+1,1))</f>
        <v>363.37916970915211</v>
      </c>
      <c r="EP5" s="62">
        <f t="shared" ref="EP5:EP68" si="46">$EP$3</f>
        <v>281.52963027844595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3.4425641025641025</v>
      </c>
      <c r="FE5" s="13">
        <f>IF('Données projet'!$A$218&gt;35,FE4+FD5-FM4,IF(A5&lt;'Données projet'!$A$218,$FB$205^A5,IF(A5='Données projet'!$A$218,'Données projet'!$B$218,FE4+FD5-FM4)))</f>
        <v>1.3622815852065062</v>
      </c>
      <c r="FF5" s="18">
        <f>FE5*VLOOKUP('Données projet'!$B$16,Paramètres!$A$1:$I$89,3,0)*VLOOKUP('Données projet'!$B$16,Paramètres!$A$1:$I$89,5,0)</f>
        <v>0.63754778187664485</v>
      </c>
      <c r="FG5" s="14">
        <f t="shared" ref="FG5:FG68" si="47">EXP(-1.0587+0.8836*LN(FF5)+0.284)</f>
        <v>0.30961323785545058</v>
      </c>
      <c r="FH5" s="22">
        <f t="shared" si="22"/>
        <v>1.6496387760333995</v>
      </c>
      <c r="FI5" s="62">
        <f t="shared" si="23"/>
        <v>260.76074988714453</v>
      </c>
      <c r="FJ5" s="62">
        <f ca="1">AVERAGE(OFFSET($FI$3,0,0,'Données projet'!$E$16+1,1))-AVERAGE(OFFSET($H$3,0,0,'Données projet'!$E$16+1,1))</f>
        <v>245.47494516762282</v>
      </c>
      <c r="FK5" s="62">
        <f t="shared" ref="FK5:FK68" si="48">$FK$3</f>
        <v>145.54897745089966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2.1</v>
      </c>
      <c r="FZ5" s="13">
        <f>IF('Données projet'!$A$244&gt;35,FZ4+FY5-GH4,IF(A5&lt;'Données projet'!$A$244,$FW$205^A5,IF(A5='Données projet'!$A$244,'Données projet'!$B$244,FZ4+FY5-GH4)))</f>
        <v>1.4531984602822681</v>
      </c>
      <c r="GA5" s="18">
        <f>FZ5*VLOOKUP('Données projet'!$B$17,Paramètres!$A$1:$I$89,3,0)*VLOOKUP('Données projet'!$B$17,Paramètres!$A$1:$I$89,5,0)</f>
        <v>1.4055335507850097</v>
      </c>
      <c r="GB5" s="14">
        <f t="shared" ref="GB5:GB68" si="49">EXP(-1.0587+0.8836*LN(GA5)+0.284)</f>
        <v>0.62256480317525631</v>
      </c>
      <c r="GC5" s="22">
        <f t="shared" si="25"/>
        <v>3.5322712998141292</v>
      </c>
      <c r="GD5" s="62">
        <f t="shared" si="26"/>
        <v>262.64338241092526</v>
      </c>
      <c r="GE5" s="62">
        <f ca="1">AVERAGE(OFFSET($GD$3,0,0,'Données projet'!$E$17+1,1))-AVERAGE(OFFSET($H$3,0,0,'Données projet'!$E$17+1,1))</f>
        <v>455.50822833641354</v>
      </c>
      <c r="GF5" s="62">
        <f t="shared" ref="GF5:GF68" si="50">$GF$3</f>
        <v>261.14722581688039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3.3333333333333335</v>
      </c>
      <c r="GU5" s="13">
        <f>IF('Données projet'!$A$270&gt;35,GU4+GT5-HC4,IF(A5&lt;'Données projet'!$A$270,$GR$205^A5,IF(A5='Données projet'!$A$270,'Données projet'!$B$270,GU4+GT5-HC4)))</f>
        <v>1.6847262157876479</v>
      </c>
      <c r="GV5" s="18">
        <f>GU5*VLOOKUP('Données projet'!$B$18,Paramètres!$A$1:$I$89,3,0)*VLOOKUP('Données projet'!$B$18,Paramètres!$A$1:$I$89,5,0)</f>
        <v>1.1301143455503542</v>
      </c>
      <c r="GW5" s="14">
        <f t="shared" ref="GW5:GW68" si="51">EXP(-1.0587+0.8836*LN(GV5)+0.284)</f>
        <v>0.5134415452108555</v>
      </c>
      <c r="GX5" s="22">
        <f t="shared" si="28"/>
        <v>2.8625265097424397</v>
      </c>
      <c r="GY5" s="62">
        <f t="shared" si="29"/>
        <v>261.97363762085359</v>
      </c>
      <c r="GZ5" s="62">
        <f ca="1">AVERAGE(OFFSET($GY$3,0,0,'Données projet'!$E$18+1,1))-AVERAGE(OFFSET($H$3,0,0,'Données projet'!$E$18+1,1))</f>
        <v>312.06797204903796</v>
      </c>
      <c r="HA5" s="62">
        <f t="shared" ref="HA5:HA68" si="52">$HA$3</f>
        <v>258.20189001775151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</row>
    <row r="6" spans="1:218" s="5" customFormat="1" x14ac:dyDescent="0.25">
      <c r="A6" s="11">
        <f t="shared" si="31"/>
        <v>3</v>
      </c>
      <c r="B6" s="76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9">
        <f t="shared" si="1"/>
        <v>256.66666666666669</v>
      </c>
      <c r="I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7.7987854251012134</v>
      </c>
      <c r="N6" s="14">
        <f>IF('Données projet'!$A$36&gt;35,N5+M6-V5,IF(A6&lt;'Données projet'!$A$36,$K$205^A6,IF(A6='Données projet'!$A$36,'Données projet'!$B$36,N5+M6-V5)))</f>
        <v>2.2016831932732788</v>
      </c>
      <c r="O6" s="14">
        <f>N6*VLOOKUP('Données projet'!$B$9,Paramètres!$A$1:$I$89,3,0)*VLOOKUP('Données projet'!$B$9,Paramètres!$A$1:$I$89,5,0)</f>
        <v>1.2307409050397629</v>
      </c>
      <c r="P6" s="14">
        <f t="shared" si="33"/>
        <v>0.55363470151801264</v>
      </c>
      <c r="Q6" s="22">
        <f t="shared" si="2"/>
        <v>3.1077875147547922</v>
      </c>
      <c r="R6" s="62">
        <f t="shared" si="0"/>
        <v>263.44112084808813</v>
      </c>
      <c r="S6" s="62">
        <f ca="1">AVERAGE(OFFSET($R$3,0,0,'Données projet'!$E$9+1,1))-AVERAGE(OFFSET($H$3,0,0,'Données projet'!$E$9+1,1))</f>
        <v>323.98185264074681</v>
      </c>
      <c r="T6" s="62">
        <f t="shared" si="34"/>
        <v>301.22207291854005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2.3805128205128203</v>
      </c>
      <c r="AI6" s="14">
        <f>IF('Données projet'!$A$62&gt;35,AI5+AH6-AQ5,IF(A6&lt;'Données projet'!$A$62,$AF$205^A6,IF(A6='Données projet'!$A$62,'Données projet'!$B$62,AI5+AH6-AQ5)))</f>
        <v>2.0443363779612804</v>
      </c>
      <c r="AJ6" s="14">
        <f>AI6*VLOOKUP('Données projet'!$B$10,Paramètres!$A$1:$I$89,3,0)*VLOOKUP('Données projet'!$B$10,Paramètres!$A$1:$I$89,5,0)</f>
        <v>1.2225131540208458</v>
      </c>
      <c r="AK6" s="14">
        <f t="shared" si="35"/>
        <v>0.55036308132321654</v>
      </c>
      <c r="AL6" s="22">
        <f t="shared" si="4"/>
        <v>3.0877594432242415</v>
      </c>
      <c r="AM6" s="62">
        <f t="shared" si="5"/>
        <v>263.42109277655754</v>
      </c>
      <c r="AN6" s="62">
        <f ca="1">AVERAGE(OFFSET($AM$3,0,0,'Données projet'!$E$10+1,1))-AVERAGE(OFFSET($H$3,0,0,'Données projet'!$E$10+1,1))</f>
        <v>289.12367833861299</v>
      </c>
      <c r="AO6" s="62">
        <f t="shared" si="36"/>
        <v>229.06617320689003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2.1</v>
      </c>
      <c r="BD6" s="13">
        <f>IF('Données projet'!$A$88&gt;35,BD5+BC6-BL5,IF(A6&lt;'Données projet'!$A$88,$BA$205^A6,IF(A6='Données projet'!$A$88,'Données projet'!$B$88,BD5+BC6-BL5)))</f>
        <v>1.7518115829322798</v>
      </c>
      <c r="BE6" s="14">
        <f>BD6*VLOOKUP('Données projet'!$B$11,Paramètres!$A$1:$I$89,3,0)*VLOOKUP('Données projet'!$B$11,Paramètres!$A$1:$I$89,5,0)</f>
        <v>1.5850391202371266</v>
      </c>
      <c r="BF6" s="14">
        <f t="shared" si="37"/>
        <v>0.69232082604846479</v>
      </c>
      <c r="BG6" s="22">
        <f t="shared" si="7"/>
        <v>3.966401906447405</v>
      </c>
      <c r="BH6" s="62">
        <f t="shared" si="8"/>
        <v>264.29973523978072</v>
      </c>
      <c r="BI6" s="62">
        <f ca="1">AVERAGE(OFFSET($BH$3,0,0,'Données projet'!$E$11+1,1))-AVERAGE(OFFSET($H$3,0,0,'Données projet'!$E$11+1,1))</f>
        <v>428.8489304403459</v>
      </c>
      <c r="BJ6" s="62">
        <f t="shared" si="38"/>
        <v>247.01165577562966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2.4666666666666668</v>
      </c>
      <c r="BY6" s="13">
        <f>IF('Données projet'!$A$114&gt;35,BY5+BX6-CG5,IF(A6&lt;'Données projet'!$A$114,$BV$205^A6,IF(A6='Données projet'!$A$114,'Données projet'!$B$114,BY5+BX6-CG5)))</f>
        <v>2.0589241364785171</v>
      </c>
      <c r="BZ6" s="14">
        <f>BY6*VLOOKUP('Données projet'!$B$12,Paramètres!$A$1:$I$89,3,0)*VLOOKUP('Données projet'!$B$12,Paramètres!$A$1:$I$89,5,0)</f>
        <v>1.5096031768660487</v>
      </c>
      <c r="CA6" s="14">
        <f t="shared" si="39"/>
        <v>0.66312474757151718</v>
      </c>
      <c r="CB6" s="22">
        <f t="shared" si="10"/>
        <v>3.7841678017287599</v>
      </c>
      <c r="CC6" s="62">
        <f t="shared" si="11"/>
        <v>264.11750113506207</v>
      </c>
      <c r="CD6" s="62">
        <f ca="1">AVERAGE(OFFSET($CC$3,0,0,'Données projet'!$E$12+1,1))-AVERAGE(OFFSET($H$3,0,0,'Données projet'!$E$12+1,1))</f>
        <v>290.85271051443431</v>
      </c>
      <c r="CE6" s="62">
        <f t="shared" si="40"/>
        <v>318.66958823451142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2.6666666666666665</v>
      </c>
      <c r="CT6" s="13">
        <f>IF('Données projet'!$A$140&gt;35,CT5+CS6-DB5,IF(A6&lt;'Données projet'!$A$140,$CQ$205^A6,IF(A6='Données projet'!$A$140,'Données projet'!$B$140,CT5+CS6-DB5)))</f>
        <v>2.0912791051825459</v>
      </c>
      <c r="CU6" s="18">
        <f>CT6*VLOOKUP('Données projet'!$B$13,Paramètres!$A$1:$I$89,3,0)*VLOOKUP('Données projet'!$B$13,Paramètres!$A$1:$I$89,5,0)</f>
        <v>1.6311977020423858</v>
      </c>
      <c r="CV6" s="14">
        <f t="shared" si="41"/>
        <v>0.71010553443370616</v>
      </c>
      <c r="CW6" s="22">
        <f t="shared" si="13"/>
        <v>4.0777698035291934</v>
      </c>
      <c r="CX6" s="62">
        <f t="shared" si="14"/>
        <v>264.41110313686249</v>
      </c>
      <c r="CY6" s="62">
        <f ca="1">AVERAGE(OFFSET($CX$3,0,0,'Données projet'!$E$13+1,1))-AVERAGE(OFFSET($H$3,0,0,'Données projet'!$E$13+1,1))</f>
        <v>292.57482726862594</v>
      </c>
      <c r="CZ6" s="62">
        <f t="shared" si="42"/>
        <v>283.48738729114024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2.4666666666666668</v>
      </c>
      <c r="DO6" s="13">
        <f>IF('Données projet'!$A$166&gt;35,DO5+DN6-DW5,IF(A6&lt;'Données projet'!$A$166,$DL$205^A6,IF(A6='Données projet'!$A$166,'Données projet'!$B$166,DO5+DN6-DW5)))</f>
        <v>2.0589241364785171</v>
      </c>
      <c r="DP6" s="18">
        <f>DO6*VLOOKUP('Données projet'!$B$14,Paramètres!$A$1:$I$89,3,0)*VLOOKUP('Données projet'!$B$14,Paramètres!$A$1:$I$89,5,0)</f>
        <v>1.6380800429823084</v>
      </c>
      <c r="DQ6" s="14">
        <f t="shared" si="43"/>
        <v>0.71275221602487127</v>
      </c>
      <c r="DR6" s="22">
        <f t="shared" si="16"/>
        <v>4.0943661844375043</v>
      </c>
      <c r="DS6" s="62">
        <f t="shared" si="17"/>
        <v>264.4276995177708</v>
      </c>
      <c r="DT6" s="62">
        <f ca="1">AVERAGE(OFFSET($DS$3,0,0,'Données projet'!$E$14+1,1))-AVERAGE(OFFSET($H$3,0,0,'Données projet'!$E$14+1,1))</f>
        <v>312.53381881960331</v>
      </c>
      <c r="DU6" s="62">
        <f t="shared" si="44"/>
        <v>342.06887933351783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2.4358974358974361</v>
      </c>
      <c r="EJ6" s="13">
        <f>IF('Données projet'!$A$192&gt;35,EJ5+EI6-ER5,IF(A6&lt;'Données projet'!$A$192,$EG$205^A6,IF(A6='Données projet'!$A$192,'Données projet'!$B$192,EJ5+EI6-ER5)))</f>
        <v>2.0537617042422203</v>
      </c>
      <c r="EK6" s="18">
        <f>EJ6*VLOOKUP('Données projet'!$B$15,Paramètres!$A$1:$I$89,3,0)*VLOOKUP('Données projet'!$B$15,Paramètres!$A$1:$I$89,5,0)</f>
        <v>1.9543596377568968</v>
      </c>
      <c r="EL6" s="14">
        <f t="shared" si="45"/>
        <v>0.83307409051865666</v>
      </c>
      <c r="EM6" s="22">
        <f t="shared" si="19"/>
        <v>4.8547804100799219</v>
      </c>
      <c r="EN6" s="62">
        <f t="shared" si="20"/>
        <v>265.18811374341323</v>
      </c>
      <c r="EO6" s="62">
        <f ca="1">AVERAGE(OFFSET($EN$3,0,0,'Données projet'!$E$15+1,1))-AVERAGE(OFFSET($H$3,0,0,'Données projet'!$E$15+1,1))</f>
        <v>363.37916970915211</v>
      </c>
      <c r="EP6" s="62">
        <f t="shared" si="46"/>
        <v>281.52963027844595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3.4425641025641025</v>
      </c>
      <c r="FE6" s="13">
        <f>IF('Données projet'!$A$218&gt;35,FE5+FD6-FM5,IF(A6&lt;'Données projet'!$A$218,$FB$205^A6,IF(A6='Données projet'!$A$218,'Données projet'!$B$218,FE5+FD6-FM5)))</f>
        <v>1.590011732927042</v>
      </c>
      <c r="FF6" s="18">
        <f>FE6*VLOOKUP('Données projet'!$B$16,Paramètres!$A$1:$I$89,3,0)*VLOOKUP('Données projet'!$B$16,Paramètres!$A$1:$I$89,5,0)</f>
        <v>0.7441254910098557</v>
      </c>
      <c r="FG6" s="14">
        <f t="shared" si="47"/>
        <v>0.35492666750402163</v>
      </c>
      <c r="FH6" s="22">
        <f t="shared" si="22"/>
        <v>1.9141825094116696</v>
      </c>
      <c r="FI6" s="62">
        <f t="shared" si="23"/>
        <v>262.24751584274497</v>
      </c>
      <c r="FJ6" s="62">
        <f ca="1">AVERAGE(OFFSET($FI$3,0,0,'Données projet'!$E$16+1,1))-AVERAGE(OFFSET($H$3,0,0,'Données projet'!$E$16+1,1))</f>
        <v>245.47494516762282</v>
      </c>
      <c r="FK6" s="62">
        <f t="shared" si="48"/>
        <v>145.54897745089966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2.1</v>
      </c>
      <c r="FZ6" s="13">
        <f>IF('Données projet'!$A$244&gt;35,FZ5+FY6-GH5,IF(A6&lt;'Données projet'!$A$244,$FW$205^A6,IF(A6='Données projet'!$A$244,'Données projet'!$B$244,FZ5+FY6-GH5)))</f>
        <v>1.7518115829322798</v>
      </c>
      <c r="GA6" s="18">
        <f>FZ6*VLOOKUP('Données projet'!$B$17,Paramètres!$A$1:$I$89,3,0)*VLOOKUP('Données projet'!$B$17,Paramètres!$A$1:$I$89,5,0)</f>
        <v>1.694352163012101</v>
      </c>
      <c r="GB6" s="14">
        <f t="shared" si="49"/>
        <v>0.73434428233124405</v>
      </c>
      <c r="GC6" s="22">
        <f t="shared" si="25"/>
        <v>4.2299796423063247</v>
      </c>
      <c r="GD6" s="62">
        <f t="shared" si="26"/>
        <v>264.56331297563963</v>
      </c>
      <c r="GE6" s="62">
        <f ca="1">AVERAGE(OFFSET($GD$3,0,0,'Données projet'!$E$17+1,1))-AVERAGE(OFFSET($H$3,0,0,'Données projet'!$E$17+1,1))</f>
        <v>455.50822833641354</v>
      </c>
      <c r="GF6" s="62">
        <f t="shared" si="50"/>
        <v>261.14722581688039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3.3333333333333335</v>
      </c>
      <c r="GU6" s="13">
        <f>IF('Données projet'!$A$270&gt;35,GU5+GT6-HC5,IF(A6&lt;'Données projet'!$A$270,$GR$205^A6,IF(A6='Données projet'!$A$270,'Données projet'!$B$270,GU5+GT6-HC5)))</f>
        <v>2.1867241478865562</v>
      </c>
      <c r="GV6" s="18">
        <f>GU6*VLOOKUP('Données projet'!$B$18,Paramètres!$A$1:$I$89,3,0)*VLOOKUP('Données projet'!$B$18,Paramètres!$A$1:$I$89,5,0)</f>
        <v>1.4668545584023018</v>
      </c>
      <c r="GW6" s="14">
        <f t="shared" si="51"/>
        <v>0.64650467023192038</v>
      </c>
      <c r="GX6" s="22">
        <f t="shared" si="28"/>
        <v>3.6807673232046039</v>
      </c>
      <c r="GY6" s="62">
        <f t="shared" si="29"/>
        <v>264.01410065653789</v>
      </c>
      <c r="GZ6" s="62">
        <f ca="1">AVERAGE(OFFSET($GY$3,0,0,'Données projet'!$E$18+1,1))-AVERAGE(OFFSET($H$3,0,0,'Données projet'!$E$18+1,1))</f>
        <v>312.06797204903796</v>
      </c>
      <c r="HA6" s="62">
        <f t="shared" si="52"/>
        <v>258.20189001775151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</row>
    <row r="7" spans="1:218" s="5" customFormat="1" x14ac:dyDescent="0.25">
      <c r="A7" s="11">
        <f t="shared" si="31"/>
        <v>4</v>
      </c>
      <c r="B7" s="76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9">
        <f t="shared" si="1"/>
        <v>256.66666666666669</v>
      </c>
      <c r="I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7.7987854251012134</v>
      </c>
      <c r="N7" s="14">
        <f>IF('Données projet'!$A$36&gt;35,N6+M7-V6,IF(A7&lt;'Données projet'!$A$36,$K$205^A7,IF(A7='Données projet'!$A$36,'Données projet'!$B$36,N6+M7-V6)))</f>
        <v>2.8642204175736459</v>
      </c>
      <c r="O7" s="14">
        <f>N7*VLOOKUP('Données projet'!$B$9,Paramètres!$A$1:$I$89,3,0)*VLOOKUP('Données projet'!$B$9,Paramètres!$A$1:$I$89,5,0)</f>
        <v>1.6010992134236679</v>
      </c>
      <c r="P7" s="14">
        <f t="shared" si="33"/>
        <v>0.69851546445430523</v>
      </c>
      <c r="Q7" s="22">
        <f t="shared" si="2"/>
        <v>4.0051622306374703</v>
      </c>
      <c r="R7" s="62">
        <f t="shared" si="0"/>
        <v>265.56071778619304</v>
      </c>
      <c r="S7" s="62">
        <f ca="1">AVERAGE(OFFSET($R$3,0,0,'Données projet'!$E$9+1,1))-AVERAGE(OFFSET($H$3,0,0,'Données projet'!$E$9+1,1))</f>
        <v>323.98185264074681</v>
      </c>
      <c r="T7" s="62">
        <f t="shared" si="34"/>
        <v>301.22207291854005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2.3805128205128203</v>
      </c>
      <c r="AI7" s="14">
        <f>IF('Données projet'!$A$62&gt;35,AI6+AH7-AQ6,IF(A7&lt;'Données projet'!$A$62,$AF$205^A7,IF(A7='Données projet'!$A$62,'Données projet'!$B$62,AI6+AH7-AQ6)))</f>
        <v>2.5945963871419848</v>
      </c>
      <c r="AJ7" s="14">
        <f>AI7*VLOOKUP('Données projet'!$B$10,Paramètres!$A$1:$I$89,3,0)*VLOOKUP('Données projet'!$B$10,Paramètres!$A$1:$I$89,5,0)</f>
        <v>1.551568639510907</v>
      </c>
      <c r="AK7" s="14">
        <f t="shared" si="35"/>
        <v>0.67938712805030732</v>
      </c>
      <c r="AL7" s="22">
        <f t="shared" si="4"/>
        <v>3.8855812951691147</v>
      </c>
      <c r="AM7" s="62">
        <f t="shared" si="5"/>
        <v>265.44113685072466</v>
      </c>
      <c r="AN7" s="62">
        <f ca="1">AVERAGE(OFFSET($AM$3,0,0,'Données projet'!$E$10+1,1))-AVERAGE(OFFSET($H$3,0,0,'Données projet'!$E$10+1,1))</f>
        <v>289.12367833861299</v>
      </c>
      <c r="AO7" s="62">
        <f t="shared" si="36"/>
        <v>229.06617320689003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2.1</v>
      </c>
      <c r="BD7" s="13">
        <f>IF('Données projet'!$A$88&gt;35,BD6+BC7-BL6,IF(A7&lt;'Données projet'!$A$88,$BA$205^A7,IF(A7='Données projet'!$A$88,'Données projet'!$B$88,BD6+BC7-BL6)))</f>
        <v>2.1117857649667546</v>
      </c>
      <c r="BE7" s="14">
        <f>BD7*VLOOKUP('Données projet'!$B$11,Paramètres!$A$1:$I$89,3,0)*VLOOKUP('Données projet'!$B$11,Paramètres!$A$1:$I$89,5,0)</f>
        <v>1.9107437601419195</v>
      </c>
      <c r="BF7" s="14">
        <f t="shared" si="37"/>
        <v>0.81662477151702284</v>
      </c>
      <c r="BG7" s="22">
        <f t="shared" si="7"/>
        <v>4.7501668593059909</v>
      </c>
      <c r="BH7" s="62">
        <f t="shared" si="8"/>
        <v>266.30572241486152</v>
      </c>
      <c r="BI7" s="62">
        <f ca="1">AVERAGE(OFFSET($BH$3,0,0,'Données projet'!$E$11+1,1))-AVERAGE(OFFSET($H$3,0,0,'Données projet'!$E$11+1,1))</f>
        <v>428.8489304403459</v>
      </c>
      <c r="BJ7" s="62">
        <f t="shared" si="38"/>
        <v>247.01165577562966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2.4666666666666668</v>
      </c>
      <c r="BY7" s="13">
        <f>IF('Données projet'!$A$114&gt;35,BY6+BX7-CG6,IF(A7&lt;'Données projet'!$A$114,$BV$205^A7,IF(A7='Données projet'!$A$114,'Données projet'!$B$114,BY6+BX7-CG6)))</f>
        <v>2.6193113595857573</v>
      </c>
      <c r="BZ7" s="14">
        <f>BY7*VLOOKUP('Données projet'!$B$12,Paramètres!$A$1:$I$89,3,0)*VLOOKUP('Données projet'!$B$12,Paramètres!$A$1:$I$89,5,0)</f>
        <v>1.9204790888482772</v>
      </c>
      <c r="CA7" s="14">
        <f t="shared" si="39"/>
        <v>0.82030011446080875</v>
      </c>
      <c r="CB7" s="22">
        <f t="shared" si="10"/>
        <v>4.7735237790966574</v>
      </c>
      <c r="CC7" s="62">
        <f t="shared" si="11"/>
        <v>266.32907933465219</v>
      </c>
      <c r="CD7" s="62">
        <f ca="1">AVERAGE(OFFSET($CC$3,0,0,'Données projet'!$E$12+1,1))-AVERAGE(OFFSET($H$3,0,0,'Données projet'!$E$12+1,1))</f>
        <v>290.85271051443431</v>
      </c>
      <c r="CE7" s="62">
        <f t="shared" si="40"/>
        <v>318.66958823451142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2.6666666666666665</v>
      </c>
      <c r="CT7" s="13">
        <f>IF('Données projet'!$A$140&gt;35,CT6+CS7-DB6,IF(A7&lt;'Données projet'!$A$140,$CQ$205^A7,IF(A7='Données projet'!$A$140,'Données projet'!$B$140,CT6+CS7-DB6)))</f>
        <v>2.6743361672197152</v>
      </c>
      <c r="CU7" s="18">
        <f>CT7*VLOOKUP('Données projet'!$B$13,Paramètres!$A$1:$I$89,3,0)*VLOOKUP('Données projet'!$B$13,Paramètres!$A$1:$I$89,5,0)</f>
        <v>2.0859822104313781</v>
      </c>
      <c r="CV7" s="14">
        <f t="shared" si="41"/>
        <v>0.88245976121767966</v>
      </c>
      <c r="CW7" s="22">
        <f t="shared" si="13"/>
        <v>5.1700364339554419</v>
      </c>
      <c r="CX7" s="62">
        <f t="shared" si="14"/>
        <v>266.72559198951097</v>
      </c>
      <c r="CY7" s="62">
        <f ca="1">AVERAGE(OFFSET($CX$3,0,0,'Données projet'!$E$13+1,1))-AVERAGE(OFFSET($H$3,0,0,'Données projet'!$E$13+1,1))</f>
        <v>292.57482726862594</v>
      </c>
      <c r="CZ7" s="62">
        <f t="shared" si="42"/>
        <v>283.48738729114024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2.4666666666666668</v>
      </c>
      <c r="DO7" s="13">
        <f>IF('Données projet'!$A$166&gt;35,DO6+DN7-DW6,IF(A7&lt;'Données projet'!$A$166,$DL$205^A7,IF(A7='Données projet'!$A$166,'Données projet'!$B$166,DO6+DN7-DW6)))</f>
        <v>2.6193113595857573</v>
      </c>
      <c r="DP7" s="18">
        <f>DO7*VLOOKUP('Données projet'!$B$14,Paramètres!$A$1:$I$89,3,0)*VLOOKUP('Données projet'!$B$14,Paramètres!$A$1:$I$89,5,0)</f>
        <v>2.0839241176864287</v>
      </c>
      <c r="DQ7" s="14">
        <f t="shared" si="43"/>
        <v>0.88169040068036508</v>
      </c>
      <c r="DR7" s="22">
        <f t="shared" si="16"/>
        <v>5.1651119528221656</v>
      </c>
      <c r="DS7" s="62">
        <f t="shared" si="17"/>
        <v>266.72066750837769</v>
      </c>
      <c r="DT7" s="62">
        <f ca="1">AVERAGE(OFFSET($DS$3,0,0,'Données projet'!$E$14+1,1))-AVERAGE(OFFSET($H$3,0,0,'Données projet'!$E$14+1,1))</f>
        <v>312.53381881960331</v>
      </c>
      <c r="DU7" s="62">
        <f t="shared" si="44"/>
        <v>342.06887933351783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2.4358974358974361</v>
      </c>
      <c r="EJ7" s="13">
        <f>IF('Données projet'!$A$192&gt;35,EJ6+EI7-ER6,IF(A7&lt;'Données projet'!$A$192,$EG$205^A7,IF(A7='Données projet'!$A$192,'Données projet'!$B$192,EJ6+EI7-ER6)))</f>
        <v>2.610558332842511</v>
      </c>
      <c r="EK7" s="18">
        <f>EJ7*VLOOKUP('Données projet'!$B$15,Paramètres!$A$1:$I$89,3,0)*VLOOKUP('Données projet'!$B$15,Paramètres!$A$1:$I$89,5,0)</f>
        <v>2.4842073095329336</v>
      </c>
      <c r="EL7" s="14">
        <f t="shared" si="45"/>
        <v>1.029769527335997</v>
      </c>
      <c r="EM7" s="22">
        <f t="shared" si="19"/>
        <v>6.1201763242133866</v>
      </c>
      <c r="EN7" s="62">
        <f t="shared" si="20"/>
        <v>267.67573187976893</v>
      </c>
      <c r="EO7" s="62">
        <f ca="1">AVERAGE(OFFSET($EN$3,0,0,'Données projet'!$E$15+1,1))-AVERAGE(OFFSET($H$3,0,0,'Données projet'!$E$15+1,1))</f>
        <v>363.37916970915211</v>
      </c>
      <c r="EP7" s="62">
        <f t="shared" si="46"/>
        <v>281.52963027844595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3.4425641025641025</v>
      </c>
      <c r="FE7" s="13">
        <f>IF('Données projet'!$A$218&gt;35,FE6+FD7-FM6,IF(A7&lt;'Données projet'!$A$218,$FB$205^A7,IF(A7='Données projet'!$A$218,'Données projet'!$B$218,FE6+FD7-FM6)))</f>
        <v>1.8558111173927514</v>
      </c>
      <c r="FF7" s="18">
        <f>FE7*VLOOKUP('Données projet'!$B$16,Paramètres!$A$1:$I$89,3,0)*VLOOKUP('Données projet'!$B$16,Paramètres!$A$1:$I$89,5,0)</f>
        <v>0.86851960293980757</v>
      </c>
      <c r="FG7" s="14">
        <f t="shared" si="47"/>
        <v>0.40687194183965542</v>
      </c>
      <c r="FH7" s="22">
        <f t="shared" si="22"/>
        <v>2.2213069404908978</v>
      </c>
      <c r="FI7" s="62">
        <f t="shared" si="23"/>
        <v>263.77686249604642</v>
      </c>
      <c r="FJ7" s="62">
        <f ca="1">AVERAGE(OFFSET($FI$3,0,0,'Données projet'!$E$16+1,1))-AVERAGE(OFFSET($H$3,0,0,'Données projet'!$E$16+1,1))</f>
        <v>245.47494516762282</v>
      </c>
      <c r="FK7" s="62">
        <f t="shared" si="48"/>
        <v>145.54897745089966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2.1</v>
      </c>
      <c r="FZ7" s="13">
        <f>IF('Données projet'!$A$244&gt;35,FZ6+FY7-GH6,IF(A7&lt;'Données projet'!$A$244,$FW$205^A7,IF(A7='Données projet'!$A$244,'Données projet'!$B$244,FZ6+FY7-GH6)))</f>
        <v>2.1117857649667546</v>
      </c>
      <c r="GA7" s="18">
        <f>FZ7*VLOOKUP('Données projet'!$B$17,Paramètres!$A$1:$I$89,3,0)*VLOOKUP('Données projet'!$B$17,Paramètres!$A$1:$I$89,5,0)</f>
        <v>2.042519191875845</v>
      </c>
      <c r="GB7" s="14">
        <f t="shared" si="49"/>
        <v>0.86619340226463792</v>
      </c>
      <c r="GC7" s="22">
        <f t="shared" si="25"/>
        <v>5.0660077681280073</v>
      </c>
      <c r="GD7" s="62">
        <f t="shared" si="26"/>
        <v>266.62156332368357</v>
      </c>
      <c r="GE7" s="62">
        <f ca="1">AVERAGE(OFFSET($GD$3,0,0,'Données projet'!$E$17+1,1))-AVERAGE(OFFSET($H$3,0,0,'Données projet'!$E$17+1,1))</f>
        <v>455.50822833641354</v>
      </c>
      <c r="GF7" s="62">
        <f t="shared" si="50"/>
        <v>261.14722581688039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3.3333333333333335</v>
      </c>
      <c r="GU7" s="13">
        <f>IF('Données projet'!$A$270&gt;35,GU6+GT7-HC6,IF(A7&lt;'Données projet'!$A$270,$GR$205^A7,IF(A7='Données projet'!$A$270,'Données projet'!$B$270,GU6+GT7-HC6)))</f>
        <v>2.8383024221621684</v>
      </c>
      <c r="GV7" s="18">
        <f>GU7*VLOOKUP('Données projet'!$B$18,Paramètres!$A$1:$I$89,3,0)*VLOOKUP('Données projet'!$B$18,Paramètres!$A$1:$I$89,5,0)</f>
        <v>1.9039332647863827</v>
      </c>
      <c r="GW7" s="14">
        <f t="shared" si="51"/>
        <v>0.81405233474053373</v>
      </c>
      <c r="GX7" s="22">
        <f t="shared" si="28"/>
        <v>4.7338249191760466</v>
      </c>
      <c r="GY7" s="62">
        <f t="shared" si="29"/>
        <v>266.28938047473162</v>
      </c>
      <c r="GZ7" s="62">
        <f ca="1">AVERAGE(OFFSET($GY$3,0,0,'Données projet'!$E$18+1,1))-AVERAGE(OFFSET($H$3,0,0,'Données projet'!$E$18+1,1))</f>
        <v>312.06797204903796</v>
      </c>
      <c r="HA7" s="62">
        <f t="shared" si="52"/>
        <v>258.20189001775151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</row>
    <row r="8" spans="1:218" s="5" customFormat="1" x14ac:dyDescent="0.25">
      <c r="A8" s="11">
        <f t="shared" si="31"/>
        <v>5</v>
      </c>
      <c r="B8" s="76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9">
        <f t="shared" si="1"/>
        <v>256.66666666666669</v>
      </c>
      <c r="I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7.7987854251012134</v>
      </c>
      <c r="N8" s="14">
        <f>IF('Données projet'!$A$36&gt;35,N7+M8-V7,IF(A8&lt;'Données projet'!$A$36,$K$205^A8,IF(A8='Données projet'!$A$36,'Données projet'!$B$36,N7+M8-V7)))</f>
        <v>3.7261303649455062</v>
      </c>
      <c r="O8" s="14">
        <f>N8*VLOOKUP('Données projet'!$B$9,Paramètres!$A$1:$I$89,3,0)*VLOOKUP('Données projet'!$B$9,Paramètres!$A$1:$I$89,5,0)</f>
        <v>2.082906874004538</v>
      </c>
      <c r="P8" s="14">
        <f t="shared" si="33"/>
        <v>0.88131009986182929</v>
      </c>
      <c r="Q8" s="22">
        <f t="shared" si="2"/>
        <v>5.1626778961505897</v>
      </c>
      <c r="R8" s="62">
        <f t="shared" si="0"/>
        <v>267.94045567392834</v>
      </c>
      <c r="S8" s="62">
        <f ca="1">AVERAGE(OFFSET($R$3,0,0,'Données projet'!$E$9+1,1))-AVERAGE(OFFSET($H$3,0,0,'Données projet'!$E$9+1,1))</f>
        <v>323.98185264074681</v>
      </c>
      <c r="T8" s="62">
        <f t="shared" si="34"/>
        <v>301.22207291854005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2.3805128205128203</v>
      </c>
      <c r="AI8" s="14">
        <f>IF('Données projet'!$A$62&gt;35,AI7+AH8-AQ7,IF(A8&lt;'Données projet'!$A$62,$AF$205^A8,IF(A8='Données projet'!$A$62,'Données projet'!$B$62,AI7+AH8-AQ7)))</f>
        <v>3.2929661110289854</v>
      </c>
      <c r="AJ8" s="14">
        <f>AI8*VLOOKUP('Données projet'!$B$10,Paramètres!$A$1:$I$89,3,0)*VLOOKUP('Données projet'!$B$10,Paramètres!$A$1:$I$89,5,0)</f>
        <v>1.9691937343953334</v>
      </c>
      <c r="AK8" s="14">
        <f t="shared" si="35"/>
        <v>0.83865885162703413</v>
      </c>
      <c r="AL8" s="22">
        <f t="shared" si="4"/>
        <v>4.8903432539889566</v>
      </c>
      <c r="AM8" s="62">
        <f t="shared" si="5"/>
        <v>267.6681210317667</v>
      </c>
      <c r="AN8" s="62">
        <f ca="1">AVERAGE(OFFSET($AM$3,0,0,'Données projet'!$E$10+1,1))-AVERAGE(OFFSET($H$3,0,0,'Données projet'!$E$10+1,1))</f>
        <v>289.12367833861299</v>
      </c>
      <c r="AO8" s="62">
        <f t="shared" si="36"/>
        <v>229.06617320689003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2.1</v>
      </c>
      <c r="BD8" s="13">
        <f>IF('Données projet'!$A$88&gt;35,BD7+BC8-BL7,IF(A8&lt;'Données projet'!$A$88,$BA$205^A8,IF(A8='Données projet'!$A$88,'Données projet'!$B$88,BD7+BC8-BL7)))</f>
        <v>2.5457298950218314</v>
      </c>
      <c r="BE8" s="14">
        <f>BD8*VLOOKUP('Données projet'!$B$11,Paramètres!$A$1:$I$89,3,0)*VLOOKUP('Données projet'!$B$11,Paramètres!$A$1:$I$89,5,0)</f>
        <v>2.3033764090157529</v>
      </c>
      <c r="BF8" s="14">
        <f t="shared" si="37"/>
        <v>0.96324708482559218</v>
      </c>
      <c r="BG8" s="22">
        <f t="shared" si="7"/>
        <v>5.6893692517736758</v>
      </c>
      <c r="BH8" s="62">
        <f t="shared" si="8"/>
        <v>268.46714702955143</v>
      </c>
      <c r="BI8" s="62">
        <f ca="1">AVERAGE(OFFSET($BH$3,0,0,'Données projet'!$E$11+1,1))-AVERAGE(OFFSET($H$3,0,0,'Données projet'!$E$11+1,1))</f>
        <v>428.8489304403459</v>
      </c>
      <c r="BJ8" s="62">
        <f t="shared" si="38"/>
        <v>247.01165577562966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2.4666666666666668</v>
      </c>
      <c r="BY8" s="13">
        <f>IF('Données projet'!$A$114&gt;35,BY7+BX8-CG7,IF(A8&lt;'Données projet'!$A$114,$BV$205^A8,IF(A8='Données projet'!$A$114,'Données projet'!$B$114,BY7+BX8-CG7)))</f>
        <v>3.332221851645953</v>
      </c>
      <c r="BZ8" s="14">
        <f>BY8*VLOOKUP('Données projet'!$B$12,Paramètres!$A$1:$I$89,3,0)*VLOOKUP('Données projet'!$B$12,Paramètres!$A$1:$I$89,5,0)</f>
        <v>2.4431850616268127</v>
      </c>
      <c r="CA8" s="14">
        <f t="shared" si="39"/>
        <v>1.0147295516396715</v>
      </c>
      <c r="CB8" s="22">
        <f t="shared" si="10"/>
        <v>6.0225346181057935</v>
      </c>
      <c r="CC8" s="62">
        <f t="shared" si="11"/>
        <v>268.80031239588357</v>
      </c>
      <c r="CD8" s="62">
        <f ca="1">AVERAGE(OFFSET($CC$3,0,0,'Données projet'!$E$12+1,1))-AVERAGE(OFFSET($H$3,0,0,'Données projet'!$E$12+1,1))</f>
        <v>290.85271051443431</v>
      </c>
      <c r="CE8" s="62">
        <f t="shared" si="40"/>
        <v>318.66958823451142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2.6666666666666665</v>
      </c>
      <c r="CT8" s="13">
        <f>IF('Données projet'!$A$140&gt;35,CT7+CS8-DB7,IF(A8&lt;'Données projet'!$A$140,$CQ$205^A8,IF(A8='Données projet'!$A$140,'Données projet'!$B$140,CT7+CS8-DB7)))</f>
        <v>3.4199518933533928</v>
      </c>
      <c r="CU8" s="18">
        <f>CT8*VLOOKUP('Données projet'!$B$13,Paramètres!$A$1:$I$89,3,0)*VLOOKUP('Données projet'!$B$13,Paramètres!$A$1:$I$89,5,0)</f>
        <v>2.6675624768156463</v>
      </c>
      <c r="CV8" s="14">
        <f t="shared" si="41"/>
        <v>1.0966471776471767</v>
      </c>
      <c r="CW8" s="22">
        <f t="shared" si="13"/>
        <v>6.5559984815227494</v>
      </c>
      <c r="CX8" s="62">
        <f t="shared" si="14"/>
        <v>269.33377625930052</v>
      </c>
      <c r="CY8" s="62">
        <f ca="1">AVERAGE(OFFSET($CX$3,0,0,'Données projet'!$E$13+1,1))-AVERAGE(OFFSET($H$3,0,0,'Données projet'!$E$13+1,1))</f>
        <v>292.57482726862594</v>
      </c>
      <c r="CZ8" s="62">
        <f t="shared" si="42"/>
        <v>283.48738729114024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2.4666666666666668</v>
      </c>
      <c r="DO8" s="13">
        <f>IF('Données projet'!$A$166&gt;35,DO7+DN8-DW7,IF(A8&lt;'Données projet'!$A$166,$DL$205^A8,IF(A8='Données projet'!$A$166,'Données projet'!$B$166,DO7+DN8-DW7)))</f>
        <v>3.332221851645953</v>
      </c>
      <c r="DP8" s="18">
        <f>DO8*VLOOKUP('Données projet'!$B$14,Paramètres!$A$1:$I$89,3,0)*VLOOKUP('Données projet'!$B$14,Paramètres!$A$1:$I$89,5,0)</f>
        <v>2.6511157051695204</v>
      </c>
      <c r="DQ8" s="14">
        <f t="shared" si="43"/>
        <v>1.0906707059957799</v>
      </c>
      <c r="DR8" s="22">
        <f t="shared" si="16"/>
        <v>6.5169446661128978</v>
      </c>
      <c r="DS8" s="62">
        <f t="shared" si="17"/>
        <v>269.29472244389069</v>
      </c>
      <c r="DT8" s="62">
        <f ca="1">AVERAGE(OFFSET($DS$3,0,0,'Données projet'!$E$14+1,1))-AVERAGE(OFFSET($H$3,0,0,'Données projet'!$E$14+1,1))</f>
        <v>312.53381881960331</v>
      </c>
      <c r="DU8" s="62">
        <f t="shared" si="44"/>
        <v>342.06887933351783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2.4358974358974361</v>
      </c>
      <c r="EJ8" s="13">
        <f>IF('Données projet'!$A$192&gt;35,EJ7+EI8-ER7,IF(A8&lt;'Données projet'!$A$192,$EG$205^A8,IF(A8='Données projet'!$A$192,'Données projet'!$B$192,EJ7+EI8-ER7)))</f>
        <v>3.3183084459586891</v>
      </c>
      <c r="EK8" s="18">
        <f>EJ8*VLOOKUP('Données projet'!$B$15,Paramètres!$A$1:$I$89,3,0)*VLOOKUP('Données projet'!$B$15,Paramètres!$A$1:$I$89,5,0)</f>
        <v>3.1577023171742886</v>
      </c>
      <c r="EL8" s="14">
        <f t="shared" si="45"/>
        <v>1.2729063254981332</v>
      </c>
      <c r="EM8" s="22">
        <f t="shared" si="19"/>
        <v>7.7166433859878012</v>
      </c>
      <c r="EN8" s="62">
        <f t="shared" si="20"/>
        <v>270.49442116376559</v>
      </c>
      <c r="EO8" s="62">
        <f ca="1">AVERAGE(OFFSET($EN$3,0,0,'Données projet'!$E$15+1,1))-AVERAGE(OFFSET($H$3,0,0,'Données projet'!$E$15+1,1))</f>
        <v>363.37916970915211</v>
      </c>
      <c r="EP8" s="62">
        <f t="shared" si="46"/>
        <v>281.52963027844595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3.4425641025641025</v>
      </c>
      <c r="FE8" s="13">
        <f>IF('Données projet'!$A$218&gt;35,FE7+FD8-FM7,IF(A8&lt;'Données projet'!$A$218,$FB$205^A8,IF(A8='Données projet'!$A$218,'Données projet'!$B$218,FE7+FD8-FM7)))</f>
        <v>2.1660437040287945</v>
      </c>
      <c r="FF8" s="18">
        <f>FE8*VLOOKUP('Données projet'!$B$16,Paramètres!$A$1:$I$89,3,0)*VLOOKUP('Données projet'!$B$16,Paramètres!$A$1:$I$89,5,0)</f>
        <v>1.0137084534854759</v>
      </c>
      <c r="FG8" s="14">
        <f t="shared" si="47"/>
        <v>0.46641966415357117</v>
      </c>
      <c r="FH8" s="22">
        <f t="shared" si="22"/>
        <v>2.5778898048880068</v>
      </c>
      <c r="FI8" s="62">
        <f t="shared" si="23"/>
        <v>265.35566758266577</v>
      </c>
      <c r="FJ8" s="62">
        <f ca="1">AVERAGE(OFFSET($FI$3,0,0,'Données projet'!$E$16+1,1))-AVERAGE(OFFSET($H$3,0,0,'Données projet'!$E$16+1,1))</f>
        <v>245.47494516762282</v>
      </c>
      <c r="FK8" s="62">
        <f t="shared" si="48"/>
        <v>145.54897745089966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2.1</v>
      </c>
      <c r="FZ8" s="13">
        <f>IF('Données projet'!$A$244&gt;35,FZ7+FY8-GH7,IF(A8&lt;'Données projet'!$A$244,$FW$205^A8,IF(A8='Données projet'!$A$244,'Données projet'!$B$244,FZ7+FY8-GH7)))</f>
        <v>2.5457298950218314</v>
      </c>
      <c r="GA8" s="18">
        <f>FZ8*VLOOKUP('Données projet'!$B$17,Paramètres!$A$1:$I$89,3,0)*VLOOKUP('Données projet'!$B$17,Paramètres!$A$1:$I$89,5,0)</f>
        <v>2.4622299544651152</v>
      </c>
      <c r="GB8" s="14">
        <f t="shared" si="49"/>
        <v>1.021715601495419</v>
      </c>
      <c r="GC8" s="22">
        <f t="shared" si="25"/>
        <v>6.0678718432979295</v>
      </c>
      <c r="GD8" s="62">
        <f t="shared" si="26"/>
        <v>268.84564962107572</v>
      </c>
      <c r="GE8" s="62">
        <f ca="1">AVERAGE(OFFSET($GD$3,0,0,'Données projet'!$E$17+1,1))-AVERAGE(OFFSET($H$3,0,0,'Données projet'!$E$17+1,1))</f>
        <v>455.50822833641354</v>
      </c>
      <c r="GF8" s="62">
        <f t="shared" si="50"/>
        <v>261.14722581688039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3.3333333333333335</v>
      </c>
      <c r="GU8" s="13">
        <f>IF('Données projet'!$A$270&gt;35,GU7+GT8-HC7,IF(A8&lt;'Données projet'!$A$270,$GR$205^A8,IF(A8='Données projet'!$A$270,'Données projet'!$B$270,GU7+GT8-HC7)))</f>
        <v>3.6840314986403868</v>
      </c>
      <c r="GV8" s="18">
        <f>GU8*VLOOKUP('Données projet'!$B$18,Paramètres!$A$1:$I$89,3,0)*VLOOKUP('Données projet'!$B$18,Paramètres!$A$1:$I$89,5,0)</f>
        <v>2.4712483292879717</v>
      </c>
      <c r="GW8" s="14">
        <f t="shared" si="51"/>
        <v>1.0250215260762008</v>
      </c>
      <c r="GX8" s="22">
        <f t="shared" si="28"/>
        <v>6.0893366647592657</v>
      </c>
      <c r="GY8" s="62">
        <f t="shared" si="29"/>
        <v>268.86711444253706</v>
      </c>
      <c r="GZ8" s="62">
        <f ca="1">AVERAGE(OFFSET($GY$3,0,0,'Données projet'!$E$18+1,1))-AVERAGE(OFFSET($H$3,0,0,'Données projet'!$E$18+1,1))</f>
        <v>312.06797204903796</v>
      </c>
      <c r="HA8" s="62">
        <f t="shared" si="52"/>
        <v>258.20189001775151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</row>
    <row r="9" spans="1:218" s="5" customFormat="1" x14ac:dyDescent="0.25">
      <c r="A9" s="11">
        <f t="shared" si="31"/>
        <v>6</v>
      </c>
      <c r="B9" s="76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9">
        <f t="shared" si="1"/>
        <v>256.66666666666669</v>
      </c>
      <c r="I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7.7987854251012134</v>
      </c>
      <c r="N9" s="14">
        <f>IF('Données projet'!$A$36&gt;35,N8+M9-V8,IF(A9&lt;'Données projet'!$A$36,$K$205^A9,IF(A9='Données projet'!$A$36,'Données projet'!$B$36,N8+M9-V8)))</f>
        <v>4.8474088835420224</v>
      </c>
      <c r="O9" s="14">
        <f>N9*VLOOKUP('Données projet'!$B$9,Paramètres!$A$1:$I$89,3,0)*VLOOKUP('Données projet'!$B$9,Paramètres!$A$1:$I$89,5,0)</f>
        <v>2.7097015658999908</v>
      </c>
      <c r="P9" s="14">
        <f t="shared" si="33"/>
        <v>1.1119402957316735</v>
      </c>
      <c r="Q9" s="22">
        <f t="shared" si="2"/>
        <v>6.6560262423418139</v>
      </c>
      <c r="R9" s="62">
        <f t="shared" si="0"/>
        <v>270.6560262423418</v>
      </c>
      <c r="S9" s="62">
        <f ca="1">AVERAGE(OFFSET($R$3,0,0,'Données projet'!$E$9+1,1))-AVERAGE(OFFSET($H$3,0,0,'Données projet'!$E$9+1,1))</f>
        <v>323.98185264074681</v>
      </c>
      <c r="T9" s="62">
        <f t="shared" si="34"/>
        <v>301.22207291854005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2.3805128205128203</v>
      </c>
      <c r="AI9" s="14">
        <f>IF('Données projet'!$A$62&gt;35,AI8+AH9-AQ8,IF(A9&lt;'Données projet'!$A$62,$AF$205^A9,IF(A9='Données projet'!$A$62,'Données projet'!$B$62,AI8+AH9-AQ8)))</f>
        <v>4.1793112262558481</v>
      </c>
      <c r="AJ9" s="14">
        <f>AI9*VLOOKUP('Données projet'!$B$10,Paramètres!$A$1:$I$89,3,0)*VLOOKUP('Données projet'!$B$10,Paramètres!$A$1:$I$89,5,0)</f>
        <v>2.4992281133009975</v>
      </c>
      <c r="AK9" s="14">
        <f t="shared" si="35"/>
        <v>1.0352693484653335</v>
      </c>
      <c r="AL9" s="22">
        <f t="shared" si="4"/>
        <v>6.1559164125763592</v>
      </c>
      <c r="AM9" s="62">
        <f t="shared" si="5"/>
        <v>270.15591641257635</v>
      </c>
      <c r="AN9" s="62">
        <f ca="1">AVERAGE(OFFSET($AM$3,0,0,'Données projet'!$E$10+1,1))-AVERAGE(OFFSET($H$3,0,0,'Données projet'!$E$10+1,1))</f>
        <v>289.12367833861299</v>
      </c>
      <c r="AO9" s="62">
        <f t="shared" si="36"/>
        <v>229.06617320689003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2.1</v>
      </c>
      <c r="BD9" s="13">
        <f>IF('Données projet'!$A$88&gt;35,BD8+BC9-BL8,IF(A9&lt;'Données projet'!$A$88,$BA$205^A9,IF(A9='Données projet'!$A$88,'Données projet'!$B$88,BD8+BC9-BL8)))</f>
        <v>3.0688438220956993</v>
      </c>
      <c r="BE9" s="14">
        <f>BD9*VLOOKUP('Données projet'!$B$11,Paramètres!$A$1:$I$89,3,0)*VLOOKUP('Données projet'!$B$11,Paramètres!$A$1:$I$89,5,0)</f>
        <v>2.7766898902321886</v>
      </c>
      <c r="BF9" s="14">
        <f t="shared" si="37"/>
        <v>1.1361949561012803</v>
      </c>
      <c r="BG9" s="22">
        <f t="shared" si="7"/>
        <v>6.8149411073641248</v>
      </c>
      <c r="BH9" s="62">
        <f t="shared" si="8"/>
        <v>270.81494110736412</v>
      </c>
      <c r="BI9" s="62">
        <f ca="1">AVERAGE(OFFSET($BH$3,0,0,'Données projet'!$E$11+1,1))-AVERAGE(OFFSET($H$3,0,0,'Données projet'!$E$11+1,1))</f>
        <v>428.8489304403459</v>
      </c>
      <c r="BJ9" s="62">
        <f t="shared" si="38"/>
        <v>247.01165577562966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2.4666666666666668</v>
      </c>
      <c r="BY9" s="13">
        <f>IF('Données projet'!$A$114&gt;35,BY8+BX9-CG8,IF(A9&lt;'Données projet'!$A$114,$BV$205^A9,IF(A9='Données projet'!$A$114,'Données projet'!$B$114,BY8+BX9-CG8)))</f>
        <v>4.2391685997738069</v>
      </c>
      <c r="BZ9" s="14">
        <f>BY9*VLOOKUP('Données projet'!$B$12,Paramètres!$A$1:$I$89,3,0)*VLOOKUP('Données projet'!$B$12,Paramètres!$A$1:$I$89,5,0)</f>
        <v>3.1081584173541552</v>
      </c>
      <c r="CA9" s="14">
        <f t="shared" si="39"/>
        <v>1.2552431053208675</v>
      </c>
      <c r="CB9" s="22">
        <f t="shared" si="10"/>
        <v>7.5995909853256647</v>
      </c>
      <c r="CC9" s="62">
        <f t="shared" si="11"/>
        <v>271.59959098532568</v>
      </c>
      <c r="CD9" s="62">
        <f ca="1">AVERAGE(OFFSET($CC$3,0,0,'Données projet'!$E$12+1,1))-AVERAGE(OFFSET($H$3,0,0,'Données projet'!$E$12+1,1))</f>
        <v>290.85271051443431</v>
      </c>
      <c r="CE9" s="62">
        <f t="shared" si="40"/>
        <v>318.66958823451142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2.6666666666666665</v>
      </c>
      <c r="CT9" s="13">
        <f>IF('Données projet'!$A$140&gt;35,CT8+CS9-DB8,IF(A9&lt;'Données projet'!$A$140,$CQ$205^A9,IF(A9='Données projet'!$A$140,'Données projet'!$B$140,CT8+CS9-DB8)))</f>
        <v>4.3734482957731098</v>
      </c>
      <c r="CU9" s="18">
        <f>CT9*VLOOKUP('Données projet'!$B$13,Paramètres!$A$1:$I$89,3,0)*VLOOKUP('Données projet'!$B$13,Paramètres!$A$1:$I$89,5,0)</f>
        <v>3.4112896707030256</v>
      </c>
      <c r="CV9" s="14">
        <f t="shared" si="41"/>
        <v>1.3628213830192535</v>
      </c>
      <c r="CW9" s="22">
        <f t="shared" si="13"/>
        <v>8.3149100852329703</v>
      </c>
      <c r="CX9" s="62">
        <f t="shared" si="14"/>
        <v>272.31491008523295</v>
      </c>
      <c r="CY9" s="62">
        <f ca="1">AVERAGE(OFFSET($CX$3,0,0,'Données projet'!$E$13+1,1))-AVERAGE(OFFSET($H$3,0,0,'Données projet'!$E$13+1,1))</f>
        <v>292.57482726862594</v>
      </c>
      <c r="CZ9" s="62">
        <f t="shared" si="42"/>
        <v>283.48738729114024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2.4666666666666668</v>
      </c>
      <c r="DO9" s="13">
        <f>IF('Données projet'!$A$166&gt;35,DO8+DN9-DW8,IF(A9&lt;'Données projet'!$A$166,$DL$205^A9,IF(A9='Données projet'!$A$166,'Données projet'!$B$166,DO8+DN9-DW8)))</f>
        <v>4.2391685997738069</v>
      </c>
      <c r="DP9" s="18">
        <f>DO9*VLOOKUP('Données projet'!$B$14,Paramètres!$A$1:$I$89,3,0)*VLOOKUP('Données projet'!$B$14,Paramètres!$A$1:$I$89,5,0)</f>
        <v>3.3726825379800407</v>
      </c>
      <c r="DQ9" s="14">
        <f t="shared" si="43"/>
        <v>1.3491840083541735</v>
      </c>
      <c r="DR9" s="22">
        <f t="shared" si="16"/>
        <v>8.2239175681987557</v>
      </c>
      <c r="DS9" s="62">
        <f t="shared" si="17"/>
        <v>272.22391756819877</v>
      </c>
      <c r="DT9" s="62">
        <f ca="1">AVERAGE(OFFSET($DS$3,0,0,'Données projet'!$E$14+1,1))-AVERAGE(OFFSET($H$3,0,0,'Données projet'!$E$14+1,1))</f>
        <v>312.53381881960331</v>
      </c>
      <c r="DU9" s="62">
        <f t="shared" si="44"/>
        <v>342.06887933351783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2.4358974358974361</v>
      </c>
      <c r="EJ9" s="13">
        <f>IF('Données projet'!$A$192&gt;35,EJ8+EI9-ER8,IF(A9&lt;'Données projet'!$A$192,$EG$205^A9,IF(A9='Données projet'!$A$192,'Données projet'!$B$192,EJ8+EI9-ER8)))</f>
        <v>4.2179371378119086</v>
      </c>
      <c r="EK9" s="18">
        <f>EJ9*VLOOKUP('Données projet'!$B$15,Paramètres!$A$1:$I$89,3,0)*VLOOKUP('Données projet'!$B$15,Paramètres!$A$1:$I$89,5,0)</f>
        <v>4.0137889803418121</v>
      </c>
      <c r="EL9" s="14">
        <f t="shared" si="45"/>
        <v>1.5734496608040387</v>
      </c>
      <c r="EM9" s="22">
        <f t="shared" si="19"/>
        <v>9.7311072999956902</v>
      </c>
      <c r="EN9" s="62">
        <f t="shared" si="20"/>
        <v>273.7311072999957</v>
      </c>
      <c r="EO9" s="62">
        <f ca="1">AVERAGE(OFFSET($EN$3,0,0,'Données projet'!$E$15+1,1))-AVERAGE(OFFSET($H$3,0,0,'Données projet'!$E$15+1,1))</f>
        <v>363.37916970915211</v>
      </c>
      <c r="EP9" s="62">
        <f t="shared" si="46"/>
        <v>281.52963027844595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3.4425641025641025</v>
      </c>
      <c r="FE9" s="13">
        <f>IF('Données projet'!$A$218&gt;35,FE8+FD9-FM8,IF(A9&lt;'Données projet'!$A$218,$FB$205^A9,IF(A9='Données projet'!$A$218,'Données projet'!$B$218,FE8+FD9-FM8)))</f>
        <v>2.5281373108456551</v>
      </c>
      <c r="FF9" s="18">
        <f>FE9*VLOOKUP('Données projet'!$B$16,Paramètres!$A$1:$I$89,3,0)*VLOOKUP('Données projet'!$B$16,Paramètres!$A$1:$I$89,5,0)</f>
        <v>1.1831682614757666</v>
      </c>
      <c r="FG9" s="14">
        <f t="shared" si="47"/>
        <v>0.53468249033221249</v>
      </c>
      <c r="FH9" s="22">
        <f t="shared" si="22"/>
        <v>2.9919233927322302</v>
      </c>
      <c r="FI9" s="62">
        <f t="shared" si="23"/>
        <v>266.99192339273225</v>
      </c>
      <c r="FJ9" s="62">
        <f ca="1">AVERAGE(OFFSET($FI$3,0,0,'Données projet'!$E$16+1,1))-AVERAGE(OFFSET($H$3,0,0,'Données projet'!$E$16+1,1))</f>
        <v>245.47494516762282</v>
      </c>
      <c r="FK9" s="62">
        <f t="shared" si="48"/>
        <v>145.54897745089966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2.1</v>
      </c>
      <c r="FZ9" s="13">
        <f>IF('Données projet'!$A$244&gt;35,FZ8+FY9-GH8,IF(A9&lt;'Données projet'!$A$244,$FW$205^A9,IF(A9='Données projet'!$A$244,'Données projet'!$B$244,FZ8+FY9-GH8)))</f>
        <v>3.0688438220956993</v>
      </c>
      <c r="GA9" s="18">
        <f>FZ9*VLOOKUP('Données projet'!$B$17,Paramètres!$A$1:$I$89,3,0)*VLOOKUP('Données projet'!$B$17,Paramètres!$A$1:$I$89,5,0)</f>
        <v>2.9681857447309605</v>
      </c>
      <c r="GB9" s="14">
        <f t="shared" si="49"/>
        <v>1.2051613041728233</v>
      </c>
      <c r="GC9" s="22">
        <f t="shared" si="25"/>
        <v>7.2685794435074236</v>
      </c>
      <c r="GD9" s="62">
        <f t="shared" si="26"/>
        <v>271.26857944350741</v>
      </c>
      <c r="GE9" s="62">
        <f ca="1">AVERAGE(OFFSET($GD$3,0,0,'Données projet'!$E$17+1,1))-AVERAGE(OFFSET($H$3,0,0,'Données projet'!$E$17+1,1))</f>
        <v>455.50822833641354</v>
      </c>
      <c r="GF9" s="62">
        <f t="shared" si="50"/>
        <v>261.14722581688039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3.3333333333333335</v>
      </c>
      <c r="GU9" s="13">
        <f>IF('Données projet'!$A$270&gt;35,GU8+GT9-HC8,IF(A9&lt;'Données projet'!$A$270,$GR$205^A9,IF(A9='Données projet'!$A$270,'Données projet'!$B$270,GU8+GT9-HC8)))</f>
        <v>4.7817624989501848</v>
      </c>
      <c r="GV9" s="18">
        <f>GU9*VLOOKUP('Données projet'!$B$18,Paramètres!$A$1:$I$89,3,0)*VLOOKUP('Données projet'!$B$18,Paramètres!$A$1:$I$89,5,0)</f>
        <v>3.2076062842957844</v>
      </c>
      <c r="GW9" s="14">
        <f t="shared" si="51"/>
        <v>1.2906653345014574</v>
      </c>
      <c r="GX9" s="22">
        <f t="shared" si="28"/>
        <v>7.8344897360718626</v>
      </c>
      <c r="GY9" s="62">
        <f t="shared" si="29"/>
        <v>271.83448973607187</v>
      </c>
      <c r="GZ9" s="62">
        <f ca="1">AVERAGE(OFFSET($GY$3,0,0,'Données projet'!$E$18+1,1))-AVERAGE(OFFSET($H$3,0,0,'Données projet'!$E$18+1,1))</f>
        <v>312.06797204903796</v>
      </c>
      <c r="HA9" s="62">
        <f t="shared" si="52"/>
        <v>258.20189001775151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</row>
    <row r="10" spans="1:218" s="5" customFormat="1" x14ac:dyDescent="0.25">
      <c r="A10" s="11">
        <f t="shared" si="31"/>
        <v>7</v>
      </c>
      <c r="B10" s="76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9">
        <f t="shared" si="1"/>
        <v>256.66666666666669</v>
      </c>
      <c r="I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7.7987854251012134</v>
      </c>
      <c r="N10" s="14">
        <f>IF('Données projet'!$A$36&gt;35,N9+M10-V9,IF(A10&lt;'Données projet'!$A$36,$K$205^A10,IF(A10='Données projet'!$A$36,'Données projet'!$B$36,N9+M10-V9)))</f>
        <v>6.3061059552020682</v>
      </c>
      <c r="O10" s="14">
        <f>N10*VLOOKUP('Données projet'!$B$9,Paramètres!$A$1:$I$89,3,0)*VLOOKUP('Données projet'!$B$9,Paramètres!$A$1:$I$89,5,0)</f>
        <v>3.5251132289579559</v>
      </c>
      <c r="P10" s="14">
        <f t="shared" si="33"/>
        <v>1.4029241483397099</v>
      </c>
      <c r="Q10" s="22">
        <f t="shared" si="2"/>
        <v>8.5829984321267663</v>
      </c>
      <c r="R10" s="62">
        <f t="shared" si="0"/>
        <v>273.805220654349</v>
      </c>
      <c r="S10" s="62">
        <f ca="1">AVERAGE(OFFSET($R$3,0,0,'Données projet'!$E$9+1,1))-AVERAGE(OFFSET($H$3,0,0,'Données projet'!$E$9+1,1))</f>
        <v>323.98185264074681</v>
      </c>
      <c r="T10" s="62">
        <f t="shared" si="34"/>
        <v>301.22207291854005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2.3805128205128203</v>
      </c>
      <c r="AI10" s="14">
        <f>IF('Données projet'!$A$62&gt;35,AI9+AH10-AQ9,IF(A10&lt;'Données projet'!$A$62,$AF$205^A10,IF(A10='Données projet'!$A$62,'Données projet'!$B$62,AI9+AH10-AQ9)))</f>
        <v>5.304227780361269</v>
      </c>
      <c r="AJ10" s="14">
        <f>AI10*VLOOKUP('Données projet'!$B$10,Paramètres!$A$1:$I$89,3,0)*VLOOKUP('Données projet'!$B$10,Paramètres!$A$1:$I$89,5,0)</f>
        <v>3.1719282126560389</v>
      </c>
      <c r="AK10" s="14">
        <f t="shared" si="35"/>
        <v>1.2779721120125676</v>
      </c>
      <c r="AL10" s="22">
        <f t="shared" si="4"/>
        <v>7.7502430654644883</v>
      </c>
      <c r="AM10" s="62">
        <f t="shared" si="5"/>
        <v>272.9724652876867</v>
      </c>
      <c r="AN10" s="62">
        <f ca="1">AVERAGE(OFFSET($AM$3,0,0,'Données projet'!$E$10+1,1))-AVERAGE(OFFSET($H$3,0,0,'Données projet'!$E$10+1,1))</f>
        <v>289.12367833861299</v>
      </c>
      <c r="AO10" s="62">
        <f t="shared" si="36"/>
        <v>229.06617320689003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2.1</v>
      </c>
      <c r="BD10" s="13">
        <f>IF('Données projet'!$A$88&gt;35,BD9+BC10-BL9,IF(A10&lt;'Données projet'!$A$88,$BA$205^A10,IF(A10='Données projet'!$A$88,'Données projet'!$B$88,BD9+BC10-BL9)))</f>
        <v>3.6994507637402658</v>
      </c>
      <c r="BE10" s="14">
        <f>BD10*VLOOKUP('Données projet'!$B$11,Paramètres!$A$1:$I$89,3,0)*VLOOKUP('Données projet'!$B$11,Paramètres!$A$1:$I$89,5,0)</f>
        <v>3.3472630510321921</v>
      </c>
      <c r="BF10" s="14">
        <f t="shared" si="37"/>
        <v>1.34019505338418</v>
      </c>
      <c r="BG10" s="22">
        <f t="shared" si="7"/>
        <v>8.1639895318585136</v>
      </c>
      <c r="BH10" s="62">
        <f t="shared" si="8"/>
        <v>273.38621175408076</v>
      </c>
      <c r="BI10" s="62">
        <f ca="1">AVERAGE(OFFSET($BH$3,0,0,'Données projet'!$E$11+1,1))-AVERAGE(OFFSET($H$3,0,0,'Données projet'!$E$11+1,1))</f>
        <v>428.8489304403459</v>
      </c>
      <c r="BJ10" s="62">
        <f t="shared" si="38"/>
        <v>247.01165577562966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2.4666666666666668</v>
      </c>
      <c r="BY10" s="13">
        <f>IF('Données projet'!$A$114&gt;35,BY9+BX10-CG9,IF(A10&lt;'Données projet'!$A$114,$BV$205^A10,IF(A10='Données projet'!$A$114,'Données projet'!$B$114,BY9+BX10-CG9)))</f>
        <v>5.3929633792034757</v>
      </c>
      <c r="BZ10" s="14">
        <f>BY10*VLOOKUP('Données projet'!$B$12,Paramètres!$A$1:$I$89,3,0)*VLOOKUP('Données projet'!$B$12,Paramètres!$A$1:$I$89,5,0)</f>
        <v>3.9541207496319881</v>
      </c>
      <c r="CA10" s="14">
        <f t="shared" si="39"/>
        <v>1.5527637397664751</v>
      </c>
      <c r="CB10" s="22">
        <f t="shared" si="10"/>
        <v>9.5911571523689911</v>
      </c>
      <c r="CC10" s="62">
        <f t="shared" si="11"/>
        <v>274.81337937459119</v>
      </c>
      <c r="CD10" s="62">
        <f ca="1">AVERAGE(OFFSET($CC$3,0,0,'Données projet'!$E$12+1,1))-AVERAGE(OFFSET($H$3,0,0,'Données projet'!$E$12+1,1))</f>
        <v>290.85271051443431</v>
      </c>
      <c r="CE10" s="62">
        <f t="shared" si="40"/>
        <v>318.66958823451142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2.6666666666666665</v>
      </c>
      <c r="CT10" s="13">
        <f>IF('Données projet'!$A$140&gt;35,CT9+CS10-DB9,IF(A10&lt;'Données projet'!$A$140,$CQ$205^A10,IF(A10='Données projet'!$A$140,'Données projet'!$B$140,CT9+CS10-DB9)))</f>
        <v>5.5927833467405659</v>
      </c>
      <c r="CU10" s="18">
        <f>CT10*VLOOKUP('Données projet'!$B$13,Paramètres!$A$1:$I$89,3,0)*VLOOKUP('Données projet'!$B$13,Paramètres!$A$1:$I$89,5,0)</f>
        <v>4.3623710104576414</v>
      </c>
      <c r="CV10" s="14">
        <f t="shared" si="41"/>
        <v>1.6936004212396314</v>
      </c>
      <c r="CW10" s="22">
        <f t="shared" si="13"/>
        <v>10.54748357687275</v>
      </c>
      <c r="CX10" s="62">
        <f t="shared" si="14"/>
        <v>275.76970579909499</v>
      </c>
      <c r="CY10" s="62">
        <f ca="1">AVERAGE(OFFSET($CX$3,0,0,'Données projet'!$E$13+1,1))-AVERAGE(OFFSET($H$3,0,0,'Données projet'!$E$13+1,1))</f>
        <v>292.57482726862594</v>
      </c>
      <c r="CZ10" s="62">
        <f t="shared" si="42"/>
        <v>283.48738729114024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2.4666666666666668</v>
      </c>
      <c r="DO10" s="13">
        <f>IF('Données projet'!$A$166&gt;35,DO9+DN10-DW9,IF(A10&lt;'Données projet'!$A$166,$DL$205^A10,IF(A10='Données projet'!$A$166,'Données projet'!$B$166,DO9+DN10-DW9)))</f>
        <v>5.3929633792034757</v>
      </c>
      <c r="DP10" s="18">
        <f>DO10*VLOOKUP('Données projet'!$B$14,Paramètres!$A$1:$I$89,3,0)*VLOOKUP('Données projet'!$B$14,Paramètres!$A$1:$I$89,5,0)</f>
        <v>4.2906416644942853</v>
      </c>
      <c r="DQ10" s="14">
        <f t="shared" si="43"/>
        <v>1.6689707336887791</v>
      </c>
      <c r="DR10" s="22">
        <f t="shared" si="16"/>
        <v>10.379658260168837</v>
      </c>
      <c r="DS10" s="62">
        <f t="shared" si="17"/>
        <v>275.60188048239104</v>
      </c>
      <c r="DT10" s="62">
        <f ca="1">AVERAGE(OFFSET($DS$3,0,0,'Données projet'!$E$14+1,1))-AVERAGE(OFFSET($H$3,0,0,'Données projet'!$E$14+1,1))</f>
        <v>312.53381881960331</v>
      </c>
      <c r="DU10" s="62">
        <f t="shared" si="44"/>
        <v>342.06887933351783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2.4358974358974361</v>
      </c>
      <c r="EJ10" s="13">
        <f>IF('Données projet'!$A$192&gt;35,EJ9+EI10-ER9,IF(A10&lt;'Données projet'!$A$192,$EG$205^A10,IF(A10='Données projet'!$A$192,'Données projet'!$B$192,EJ9+EI10-ER9)))</f>
        <v>5.3614647306823651</v>
      </c>
      <c r="EK10" s="18">
        <f>EJ10*VLOOKUP('Données projet'!$B$15,Paramètres!$A$1:$I$89,3,0)*VLOOKUP('Données projet'!$B$15,Paramètres!$A$1:$I$89,5,0)</f>
        <v>5.1019698377173386</v>
      </c>
      <c r="EL10" s="14">
        <f t="shared" si="45"/>
        <v>1.9449536745097864</v>
      </c>
      <c r="EM10" s="22">
        <f t="shared" si="19"/>
        <v>12.273391783795576</v>
      </c>
      <c r="EN10" s="62">
        <f t="shared" si="20"/>
        <v>277.49561400601783</v>
      </c>
      <c r="EO10" s="62">
        <f ca="1">AVERAGE(OFFSET($EN$3,0,0,'Données projet'!$E$15+1,1))-AVERAGE(OFFSET($H$3,0,0,'Données projet'!$E$15+1,1))</f>
        <v>363.37916970915211</v>
      </c>
      <c r="EP10" s="62">
        <f t="shared" si="46"/>
        <v>281.52963027844595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3.4425641025641025</v>
      </c>
      <c r="FE10" s="13">
        <f>IF('Données projet'!$A$218&gt;35,FE9+FD10-FM9,IF(A10&lt;'Données projet'!$A$218,$FB$205^A10,IF(A10='Données projet'!$A$218,'Données projet'!$B$218,FE9+FD10-FM9)))</f>
        <v>2.9507614507509188</v>
      </c>
      <c r="FF10" s="18">
        <f>FE10*VLOOKUP('Données projet'!$B$16,Paramètres!$A$1:$I$89,3,0)*VLOOKUP('Données projet'!$B$16,Paramètres!$A$1:$I$89,5,0)</f>
        <v>1.38095635895143</v>
      </c>
      <c r="FG10" s="14">
        <f t="shared" si="47"/>
        <v>0.61293591895758326</v>
      </c>
      <c r="FH10" s="22">
        <f t="shared" si="22"/>
        <v>3.472695717358198</v>
      </c>
      <c r="FI10" s="62">
        <f t="shared" si="23"/>
        <v>268.69491793958042</v>
      </c>
      <c r="FJ10" s="62">
        <f ca="1">AVERAGE(OFFSET($FI$3,0,0,'Données projet'!$E$16+1,1))-AVERAGE(OFFSET($H$3,0,0,'Données projet'!$E$16+1,1))</f>
        <v>245.47494516762282</v>
      </c>
      <c r="FK10" s="62">
        <f t="shared" si="48"/>
        <v>145.54897745089966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2.1</v>
      </c>
      <c r="FZ10" s="13">
        <f>IF('Données projet'!$A$244&gt;35,FZ9+FY10-GH9,IF(A10&lt;'Données projet'!$A$244,$FW$205^A10,IF(A10='Données projet'!$A$244,'Données projet'!$B$244,FZ9+FY10-GH9)))</f>
        <v>3.6994507637402658</v>
      </c>
      <c r="GA10" s="18">
        <f>FZ10*VLOOKUP('Données projet'!$B$17,Paramètres!$A$1:$I$89,3,0)*VLOOKUP('Données projet'!$B$17,Paramètres!$A$1:$I$89,5,0)</f>
        <v>3.5781087786895851</v>
      </c>
      <c r="GB10" s="14">
        <f t="shared" si="49"/>
        <v>1.4215440842341414</v>
      </c>
      <c r="GC10" s="22">
        <f t="shared" si="25"/>
        <v>8.707728736258824</v>
      </c>
      <c r="GD10" s="62">
        <f t="shared" si="26"/>
        <v>273.92995095848107</v>
      </c>
      <c r="GE10" s="62">
        <f ca="1">AVERAGE(OFFSET($GD$3,0,0,'Données projet'!$E$17+1,1))-AVERAGE(OFFSET($H$3,0,0,'Données projet'!$E$17+1,1))</f>
        <v>455.50822833641354</v>
      </c>
      <c r="GF10" s="62">
        <f t="shared" si="50"/>
        <v>261.14722581688039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3.3333333333333335</v>
      </c>
      <c r="GU10" s="13">
        <f>IF('Données projet'!$A$270&gt;35,GU9+GT10-HC9,IF(A10&lt;'Données projet'!$A$270,$GR$205^A10,IF(A10='Données projet'!$A$270,'Données projet'!$B$270,GU9+GT10-HC9)))</f>
        <v>6.2065844455469161</v>
      </c>
      <c r="GV10" s="18">
        <f>GU10*VLOOKUP('Données projet'!$B$18,Paramètres!$A$1:$I$89,3,0)*VLOOKUP('Données projet'!$B$18,Paramètres!$A$1:$I$89,5,0)</f>
        <v>4.1633768460728717</v>
      </c>
      <c r="GW10" s="14">
        <f t="shared" si="51"/>
        <v>1.6251531926949223</v>
      </c>
      <c r="GX10" s="22">
        <f t="shared" si="28"/>
        <v>10.081689817520575</v>
      </c>
      <c r="GY10" s="62">
        <f t="shared" si="29"/>
        <v>275.30391203974278</v>
      </c>
      <c r="GZ10" s="62">
        <f ca="1">AVERAGE(OFFSET($GY$3,0,0,'Données projet'!$E$18+1,1))-AVERAGE(OFFSET($H$3,0,0,'Données projet'!$E$18+1,1))</f>
        <v>312.06797204903796</v>
      </c>
      <c r="HA10" s="62">
        <f t="shared" si="52"/>
        <v>258.20189001775151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</row>
    <row r="11" spans="1:218" s="5" customFormat="1" x14ac:dyDescent="0.25">
      <c r="A11" s="11">
        <f t="shared" si="31"/>
        <v>8</v>
      </c>
      <c r="B11" s="76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9">
        <f t="shared" si="1"/>
        <v>256.66666666666669</v>
      </c>
      <c r="I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7.7987854251012134</v>
      </c>
      <c r="N11" s="14">
        <f>IF('Données projet'!$A$36&gt;35,N10+M11-V10,IF(A11&lt;'Données projet'!$A$36,$K$205^A11,IF(A11='Données projet'!$A$36,'Données projet'!$B$36,N10+M11-V10)))</f>
        <v>8.2037586004457506</v>
      </c>
      <c r="O11" s="14">
        <f>N11*VLOOKUP('Données projet'!$B$9,Paramètres!$A$1:$I$89,3,0)*VLOOKUP('Données projet'!$B$9,Paramètres!$A$1:$I$89,5,0)</f>
        <v>4.5859010576491741</v>
      </c>
      <c r="P11" s="14">
        <f t="shared" si="33"/>
        <v>1.770055616789747</v>
      </c>
      <c r="Q11" s="22">
        <f t="shared" si="2"/>
        <v>11.069957874647789</v>
      </c>
      <c r="R11" s="62">
        <f t="shared" si="0"/>
        <v>277.51440231909226</v>
      </c>
      <c r="S11" s="62">
        <f ca="1">AVERAGE(OFFSET($R$3,0,0,'Données projet'!$E$9+1,1))-AVERAGE(OFFSET($H$3,0,0,'Données projet'!$E$9+1,1))</f>
        <v>323.98185264074681</v>
      </c>
      <c r="T11" s="62">
        <f t="shared" si="34"/>
        <v>301.22207291854005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2.3805128205128203</v>
      </c>
      <c r="AI11" s="14">
        <f>IF('Données projet'!$A$62&gt;35,AI10+AH11-AQ10,IF(A11&lt;'Données projet'!$A$62,$AF$205^A11,IF(A11='Données projet'!$A$62,'Données projet'!$B$62,AI10+AH11-AQ10)))</f>
        <v>6.7319304121702404</v>
      </c>
      <c r="AJ11" s="14">
        <f>AI11*VLOOKUP('Données projet'!$B$10,Paramètres!$A$1:$I$89,3,0)*VLOOKUP('Données projet'!$B$10,Paramètres!$A$1:$I$89,5,0)</f>
        <v>4.0256943864778041</v>
      </c>
      <c r="AK11" s="14">
        <f t="shared" si="35"/>
        <v>1.5775727558271786</v>
      </c>
      <c r="AL11" s="22">
        <f t="shared" si="4"/>
        <v>9.759023606181179</v>
      </c>
      <c r="AM11" s="62">
        <f t="shared" si="5"/>
        <v>276.20346805062564</v>
      </c>
      <c r="AN11" s="62">
        <f ca="1">AVERAGE(OFFSET($AM$3,0,0,'Données projet'!$E$10+1,1))-AVERAGE(OFFSET($H$3,0,0,'Données projet'!$E$10+1,1))</f>
        <v>289.12367833861299</v>
      </c>
      <c r="AO11" s="62">
        <f t="shared" si="36"/>
        <v>229.06617320689003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2.1</v>
      </c>
      <c r="BD11" s="13">
        <f>IF('Données projet'!$A$88&gt;35,BD10+BC11-BL10,IF(A11&lt;'Données projet'!$A$88,$BA$205^A11,IF(A11='Données projet'!$A$88,'Données projet'!$B$88,BD10+BC11-BL10)))</f>
        <v>4.4596391171162209</v>
      </c>
      <c r="BE11" s="14">
        <f>BD11*VLOOKUP('Données projet'!$B$11,Paramètres!$A$1:$I$89,3,0)*VLOOKUP('Données projet'!$B$11,Paramètres!$A$1:$I$89,5,0)</f>
        <v>4.0350814731667564</v>
      </c>
      <c r="BF11" s="14">
        <f t="shared" si="37"/>
        <v>1.5808227025391921</v>
      </c>
      <c r="BG11" s="22">
        <f t="shared" si="7"/>
        <v>9.7810331060211926</v>
      </c>
      <c r="BH11" s="62">
        <f t="shared" si="8"/>
        <v>276.22547755046565</v>
      </c>
      <c r="BI11" s="62">
        <f ca="1">AVERAGE(OFFSET($BH$3,0,0,'Données projet'!$E$11+1,1))-AVERAGE(OFFSET($H$3,0,0,'Données projet'!$E$11+1,1))</f>
        <v>428.8489304403459</v>
      </c>
      <c r="BJ11" s="62">
        <f t="shared" si="38"/>
        <v>247.01165577562966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2.4666666666666668</v>
      </c>
      <c r="BY11" s="13">
        <f>IF('Données projet'!$A$114&gt;35,BY10+BX11-CG10,IF(A11&lt;'Données projet'!$A$114,$BV$205^A11,IF(A11='Données projet'!$A$114,'Données projet'!$B$114,BY10+BX11-CG10)))</f>
        <v>6.8607919984549888</v>
      </c>
      <c r="BZ11" s="14">
        <f>BY11*VLOOKUP('Données projet'!$B$12,Paramètres!$A$1:$I$89,3,0)*VLOOKUP('Données projet'!$B$12,Paramètres!$A$1:$I$89,5,0)</f>
        <v>5.0303326932671979</v>
      </c>
      <c r="CA11" s="14">
        <f t="shared" si="39"/>
        <v>1.9208034055819379</v>
      </c>
      <c r="CB11" s="22">
        <f t="shared" si="10"/>
        <v>12.106562038828912</v>
      </c>
      <c r="CC11" s="62">
        <f t="shared" si="11"/>
        <v>278.55100648327334</v>
      </c>
      <c r="CD11" s="62">
        <f ca="1">AVERAGE(OFFSET($CC$3,0,0,'Données projet'!$E$12+1,1))-AVERAGE(OFFSET($H$3,0,0,'Données projet'!$E$12+1,1))</f>
        <v>290.85271051443431</v>
      </c>
      <c r="CE11" s="62">
        <f t="shared" si="40"/>
        <v>318.66958823451142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2.6666666666666665</v>
      </c>
      <c r="CT11" s="13">
        <f>IF('Données projet'!$A$140&gt;35,CT10+CS11-DB10,IF(A11&lt;'Données projet'!$A$140,$CQ$205^A11,IF(A11='Données projet'!$A$140,'Données projet'!$B$140,CT10+CS11-DB10)))</f>
        <v>7.1520739352994367</v>
      </c>
      <c r="CU11" s="18">
        <f>CT11*VLOOKUP('Données projet'!$B$13,Paramètres!$A$1:$I$89,3,0)*VLOOKUP('Données projet'!$B$13,Paramètres!$A$1:$I$89,5,0)</f>
        <v>5.5786176695335605</v>
      </c>
      <c r="CV11" s="14">
        <f t="shared" si="41"/>
        <v>2.1046649418345189</v>
      </c>
      <c r="CW11" s="22">
        <f t="shared" si="13"/>
        <v>13.381717214799407</v>
      </c>
      <c r="CX11" s="62">
        <f t="shared" si="14"/>
        <v>279.82616165924384</v>
      </c>
      <c r="CY11" s="62">
        <f ca="1">AVERAGE(OFFSET($CX$3,0,0,'Données projet'!$E$13+1,1))-AVERAGE(OFFSET($H$3,0,0,'Données projet'!$E$13+1,1))</f>
        <v>292.57482726862594</v>
      </c>
      <c r="CZ11" s="62">
        <f t="shared" si="42"/>
        <v>283.48738729114024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2.4666666666666668</v>
      </c>
      <c r="DO11" s="13">
        <f>IF('Données projet'!$A$166&gt;35,DO10+DN11-DW10,IF(A11&lt;'Données projet'!$A$166,$DL$205^A11,IF(A11='Données projet'!$A$166,'Données projet'!$B$166,DO10+DN11-DW10)))</f>
        <v>6.8607919984549888</v>
      </c>
      <c r="DP11" s="18">
        <f>DO11*VLOOKUP('Données projet'!$B$14,Paramètres!$A$1:$I$89,3,0)*VLOOKUP('Données projet'!$B$14,Paramètres!$A$1:$I$89,5,0)</f>
        <v>5.4584461139707896</v>
      </c>
      <c r="DQ11" s="14">
        <f t="shared" si="43"/>
        <v>2.0645540509389519</v>
      </c>
      <c r="DR11" s="22">
        <f t="shared" si="16"/>
        <v>13.102558620551131</v>
      </c>
      <c r="DS11" s="62">
        <f t="shared" si="17"/>
        <v>279.54700306499558</v>
      </c>
      <c r="DT11" s="62">
        <f ca="1">AVERAGE(OFFSET($DS$3,0,0,'Données projet'!$E$14+1,1))-AVERAGE(OFFSET($H$3,0,0,'Données projet'!$E$14+1,1))</f>
        <v>312.53381881960331</v>
      </c>
      <c r="DU11" s="62">
        <f t="shared" si="44"/>
        <v>342.06887933351783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2.4358974358974361</v>
      </c>
      <c r="EJ11" s="13">
        <f>IF('Données projet'!$A$192&gt;35,EJ10+EI11-ER10,IF(A11&lt;'Données projet'!$A$192,$EG$205^A11,IF(A11='Données projet'!$A$192,'Données projet'!$B$192,EJ10+EI11-ER10)))</f>
        <v>6.815014809173471</v>
      </c>
      <c r="EK11" s="18">
        <f>EJ11*VLOOKUP('Données projet'!$B$15,Paramètres!$A$1:$I$89,3,0)*VLOOKUP('Données projet'!$B$15,Paramètres!$A$1:$I$89,5,0)</f>
        <v>6.4851680924094746</v>
      </c>
      <c r="EL11" s="14">
        <f t="shared" si="45"/>
        <v>2.4041727487208409</v>
      </c>
      <c r="EM11" s="22">
        <f t="shared" si="19"/>
        <v>15.4822686316353</v>
      </c>
      <c r="EN11" s="62">
        <f t="shared" si="20"/>
        <v>281.92671307607975</v>
      </c>
      <c r="EO11" s="62">
        <f ca="1">AVERAGE(OFFSET($EN$3,0,0,'Données projet'!$E$15+1,1))-AVERAGE(OFFSET($H$3,0,0,'Données projet'!$E$15+1,1))</f>
        <v>363.37916970915211</v>
      </c>
      <c r="EP11" s="62">
        <f t="shared" si="46"/>
        <v>281.52963027844595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3.4425641025641025</v>
      </c>
      <c r="FE11" s="13">
        <f>IF('Données projet'!$A$218&gt;35,FE10+FD11-FM10,IF(A11&lt;'Données projet'!$A$218,$FB$205^A11,IF(A11='Données projet'!$A$218,'Données projet'!$B$218,FE10+FD11-FM10)))</f>
        <v>3.4440349034385327</v>
      </c>
      <c r="FF11" s="18">
        <f>FE11*VLOOKUP('Données projet'!$B$16,Paramètres!$A$1:$I$89,3,0)*VLOOKUP('Données projet'!$B$16,Paramètres!$A$1:$I$89,5,0)</f>
        <v>1.6118083348092334</v>
      </c>
      <c r="FG11" s="14">
        <f t="shared" si="47"/>
        <v>0.70264212414165761</v>
      </c>
      <c r="FH11" s="22">
        <f t="shared" si="22"/>
        <v>4.0310012160061346</v>
      </c>
      <c r="FI11" s="62">
        <f t="shared" si="23"/>
        <v>270.47544566045059</v>
      </c>
      <c r="FJ11" s="62">
        <f ca="1">AVERAGE(OFFSET($FI$3,0,0,'Données projet'!$E$16+1,1))-AVERAGE(OFFSET($H$3,0,0,'Données projet'!$E$16+1,1))</f>
        <v>245.47494516762282</v>
      </c>
      <c r="FK11" s="62">
        <f t="shared" si="48"/>
        <v>145.54897745089966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2.1</v>
      </c>
      <c r="FZ11" s="13">
        <f>IF('Données projet'!$A$244&gt;35,FZ10+FY11-GH10,IF(A11&lt;'Données projet'!$A$244,$FW$205^A11,IF(A11='Données projet'!$A$244,'Données projet'!$B$244,FZ10+FY11-GH10)))</f>
        <v>4.4596391171162209</v>
      </c>
      <c r="GA11" s="18">
        <f>FZ11*VLOOKUP('Données projet'!$B$17,Paramètres!$A$1:$I$89,3,0)*VLOOKUP('Données projet'!$B$17,Paramètres!$A$1:$I$89,5,0)</f>
        <v>4.3133629540748091</v>
      </c>
      <c r="GB11" s="14">
        <f t="shared" si="49"/>
        <v>1.6767776864592203</v>
      </c>
      <c r="GC11" s="22">
        <f t="shared" si="25"/>
        <v>10.432828282263435</v>
      </c>
      <c r="GD11" s="62">
        <f t="shared" si="26"/>
        <v>276.87727272670787</v>
      </c>
      <c r="GE11" s="62">
        <f ca="1">AVERAGE(OFFSET($GD$3,0,0,'Données projet'!$E$17+1,1))-AVERAGE(OFFSET($H$3,0,0,'Données projet'!$E$17+1,1))</f>
        <v>455.50822833641354</v>
      </c>
      <c r="GF11" s="62">
        <f t="shared" si="50"/>
        <v>261.14722581688039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3.3333333333333335</v>
      </c>
      <c r="GU11" s="13">
        <f>IF('Données projet'!$A$270&gt;35,GU10+GT11-HC10,IF(A11&lt;'Données projet'!$A$270,$GR$205^A11,IF(A11='Données projet'!$A$270,'Données projet'!$B$270,GU10+GT11-HC10)))</f>
        <v>8.0559606396516319</v>
      </c>
      <c r="GV11" s="18">
        <f>GU11*VLOOKUP('Données projet'!$B$18,Paramètres!$A$1:$I$89,3,0)*VLOOKUP('Données projet'!$B$18,Paramètres!$A$1:$I$89,5,0)</f>
        <v>5.4039383970783144</v>
      </c>
      <c r="GW11" s="14">
        <f t="shared" si="51"/>
        <v>2.0463266728603036</v>
      </c>
      <c r="GX11" s="22">
        <f t="shared" si="28"/>
        <v>12.975878330143091</v>
      </c>
      <c r="GY11" s="62">
        <f t="shared" si="29"/>
        <v>279.42032277458753</v>
      </c>
      <c r="GZ11" s="62">
        <f ca="1">AVERAGE(OFFSET($GY$3,0,0,'Données projet'!$E$18+1,1))-AVERAGE(OFFSET($H$3,0,0,'Données projet'!$E$18+1,1))</f>
        <v>312.06797204903796</v>
      </c>
      <c r="HA11" s="62">
        <f t="shared" si="52"/>
        <v>258.20189001775151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</row>
    <row r="12" spans="1:218" s="5" customFormat="1" x14ac:dyDescent="0.25">
      <c r="A12" s="11">
        <f t="shared" si="31"/>
        <v>9</v>
      </c>
      <c r="B12" s="76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9">
        <f t="shared" si="1"/>
        <v>256.66666666666669</v>
      </c>
      <c r="I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7.7987854251012134</v>
      </c>
      <c r="N12" s="14">
        <f>IF('Données projet'!$A$36&gt;35,N11+M12-V11,IF(A12&lt;'Données projet'!$A$36,$K$205^A12,IF(A12='Données projet'!$A$36,'Données projet'!$B$36,N11+M12-V11)))</f>
        <v>10.672458669818059</v>
      </c>
      <c r="O12" s="14">
        <f>N12*VLOOKUP('Données projet'!$B$9,Paramètres!$A$1:$I$89,3,0)*VLOOKUP('Données projet'!$B$9,Paramètres!$A$1:$I$89,5,0)</f>
        <v>5.9659043964282947</v>
      </c>
      <c r="P12" s="14">
        <f t="shared" si="33"/>
        <v>2.2332617841362223</v>
      </c>
      <c r="Q12" s="22">
        <f t="shared" si="2"/>
        <v>14.280214431149867</v>
      </c>
      <c r="R12" s="62">
        <f t="shared" si="0"/>
        <v>281.94688109781657</v>
      </c>
      <c r="S12" s="62">
        <f ca="1">AVERAGE(OFFSET($R$3,0,0,'Données projet'!$E$9+1,1))-AVERAGE(OFFSET($H$3,0,0,'Données projet'!$E$9+1,1))</f>
        <v>323.98185264074681</v>
      </c>
      <c r="T12" s="62">
        <f t="shared" si="34"/>
        <v>301.22207291854005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2.3805128205128203</v>
      </c>
      <c r="AI12" s="14">
        <f>IF('Données projet'!$A$62&gt;35,AI11+AH12-AQ11,IF(A12&lt;'Données projet'!$A$62,$AF$205^A12,IF(A12='Données projet'!$A$62,'Données projet'!$B$62,AI11+AH12-AQ11)))</f>
        <v>8.5439179746567984</v>
      </c>
      <c r="AJ12" s="14">
        <f>AI12*VLOOKUP('Données projet'!$B$10,Paramètres!$A$1:$I$89,3,0)*VLOOKUP('Données projet'!$B$10,Paramètres!$A$1:$I$89,5,0)</f>
        <v>5.1092629488447656</v>
      </c>
      <c r="AK12" s="14">
        <f t="shared" si="35"/>
        <v>1.9474101011553873</v>
      </c>
      <c r="AL12" s="22">
        <f t="shared" si="4"/>
        <v>12.290372228750266</v>
      </c>
      <c r="AM12" s="62">
        <f t="shared" si="5"/>
        <v>279.95703889541693</v>
      </c>
      <c r="AN12" s="62">
        <f ca="1">AVERAGE(OFFSET($AM$3,0,0,'Données projet'!$E$10+1,1))-AVERAGE(OFFSET($H$3,0,0,'Données projet'!$E$10+1,1))</f>
        <v>289.12367833861299</v>
      </c>
      <c r="AO12" s="62">
        <f t="shared" si="36"/>
        <v>229.06617320689003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2.1</v>
      </c>
      <c r="BD12" s="13">
        <f>IF('Données projet'!$A$88&gt;35,BD11+BC12-BL11,IF(A12&lt;'Données projet'!$A$88,$BA$205^A12,IF(A12='Données projet'!$A$88,'Données projet'!$B$88,BD11+BC12-BL11)))</f>
        <v>5.3760361537574148</v>
      </c>
      <c r="BE12" s="14">
        <f>BD12*VLOOKUP('Données projet'!$B$11,Paramètres!$A$1:$I$89,3,0)*VLOOKUP('Données projet'!$B$11,Paramètres!$A$1:$I$89,5,0)</f>
        <v>4.8642375119197085</v>
      </c>
      <c r="BF12" s="14">
        <f t="shared" si="37"/>
        <v>1.8646542609995393</v>
      </c>
      <c r="BG12" s="22">
        <f t="shared" si="7"/>
        <v>11.719486504501022</v>
      </c>
      <c r="BH12" s="62">
        <f t="shared" si="8"/>
        <v>279.38615317116773</v>
      </c>
      <c r="BI12" s="62">
        <f ca="1">AVERAGE(OFFSET($BH$3,0,0,'Données projet'!$E$11+1,1))-AVERAGE(OFFSET($H$3,0,0,'Données projet'!$E$11+1,1))</f>
        <v>428.8489304403459</v>
      </c>
      <c r="BJ12" s="62">
        <f t="shared" si="38"/>
        <v>247.01165577562966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2.4666666666666668</v>
      </c>
      <c r="BY12" s="13">
        <f>IF('Données projet'!$A$114&gt;35,BY11+BX12-CG11,IF(A12&lt;'Données projet'!$A$114,$BV$205^A12,IF(A12='Données projet'!$A$114,'Données projet'!$B$114,BY11+BX12-CG11)))</f>
        <v>8.7281265486761299</v>
      </c>
      <c r="BZ12" s="14">
        <f>BY12*VLOOKUP('Données projet'!$B$12,Paramètres!$A$1:$I$89,3,0)*VLOOKUP('Données projet'!$B$12,Paramètres!$A$1:$I$89,5,0)</f>
        <v>6.399462385489338</v>
      </c>
      <c r="CA12" s="14">
        <f t="shared" si="39"/>
        <v>2.3760766872686268</v>
      </c>
      <c r="CB12" s="22">
        <f t="shared" si="10"/>
        <v>15.284063885053456</v>
      </c>
      <c r="CC12" s="62">
        <f t="shared" si="11"/>
        <v>282.95073055172014</v>
      </c>
      <c r="CD12" s="62">
        <f ca="1">AVERAGE(OFFSET($CC$3,0,0,'Données projet'!$E$12+1,1))-AVERAGE(OFFSET($H$3,0,0,'Données projet'!$E$12+1,1))</f>
        <v>290.85271051443431</v>
      </c>
      <c r="CE12" s="62">
        <f t="shared" si="40"/>
        <v>318.66958823451142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2.6666666666666665</v>
      </c>
      <c r="CT12" s="13">
        <f>IF('Données projet'!$A$140&gt;35,CT11+CS12-DB11,IF(A12&lt;'Données projet'!$A$140,$CQ$205^A12,IF(A12='Données projet'!$A$140,'Données projet'!$B$140,CT11+CS12-DB11)))</f>
        <v>9.1461010385465205</v>
      </c>
      <c r="CU12" s="18">
        <f>CT12*VLOOKUP('Données projet'!$B$13,Paramètres!$A$1:$I$89,3,0)*VLOOKUP('Données projet'!$B$13,Paramètres!$A$1:$I$89,5,0)</f>
        <v>7.1339588100662858</v>
      </c>
      <c r="CV12" s="14">
        <f t="shared" si="41"/>
        <v>2.6155015444227643</v>
      </c>
      <c r="CW12" s="22">
        <f t="shared" si="13"/>
        <v>16.980310117401761</v>
      </c>
      <c r="CX12" s="62">
        <f t="shared" si="14"/>
        <v>284.64697678406844</v>
      </c>
      <c r="CY12" s="62">
        <f ca="1">AVERAGE(OFFSET($CX$3,0,0,'Données projet'!$E$13+1,1))-AVERAGE(OFFSET($H$3,0,0,'Données projet'!$E$13+1,1))</f>
        <v>292.57482726862594</v>
      </c>
      <c r="CZ12" s="62">
        <f t="shared" si="42"/>
        <v>283.48738729114024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2.4666666666666668</v>
      </c>
      <c r="DO12" s="13">
        <f>IF('Données projet'!$A$166&gt;35,DO11+DN12-DW11,IF(A12&lt;'Données projet'!$A$166,$DL$205^A12,IF(A12='Données projet'!$A$166,'Données projet'!$B$166,DO11+DN12-DW11)))</f>
        <v>8.7281265486761299</v>
      </c>
      <c r="DP12" s="18">
        <f>DO12*VLOOKUP('Données projet'!$B$14,Paramètres!$A$1:$I$89,3,0)*VLOOKUP('Données projet'!$B$14,Paramètres!$A$1:$I$89,5,0)</f>
        <v>6.9440974821267289</v>
      </c>
      <c r="DQ12" s="14">
        <f t="shared" si="43"/>
        <v>2.5538994442566798</v>
      </c>
      <c r="DR12" s="22">
        <f t="shared" si="16"/>
        <v>16.542344646784436</v>
      </c>
      <c r="DS12" s="62">
        <f t="shared" si="17"/>
        <v>284.20901131345113</v>
      </c>
      <c r="DT12" s="62">
        <f ca="1">AVERAGE(OFFSET($DS$3,0,0,'Données projet'!$E$14+1,1))-AVERAGE(OFFSET($H$3,0,0,'Données projet'!$E$14+1,1))</f>
        <v>312.53381881960331</v>
      </c>
      <c r="DU12" s="62">
        <f t="shared" si="44"/>
        <v>342.06887933351783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2.4358974358974361</v>
      </c>
      <c r="EJ12" s="13">
        <f>IF('Données projet'!$A$192&gt;35,EJ11+EI12-ER11,IF(A12&lt;'Données projet'!$A$192,$EG$205^A12,IF(A12='Données projet'!$A$192,'Données projet'!$B$192,EJ11+EI12-ER11)))</f>
        <v>8.6626377645391397</v>
      </c>
      <c r="EK12" s="18">
        <f>EJ12*VLOOKUP('Données projet'!$B$15,Paramètres!$A$1:$I$89,3,0)*VLOOKUP('Données projet'!$B$15,Paramètres!$A$1:$I$89,5,0)</f>
        <v>8.2433660967354445</v>
      </c>
      <c r="EL12" s="14">
        <f t="shared" si="45"/>
        <v>2.9718171087795939</v>
      </c>
      <c r="EM12" s="22">
        <f t="shared" si="19"/>
        <v>19.53311074960536</v>
      </c>
      <c r="EN12" s="62">
        <f t="shared" si="20"/>
        <v>287.19977741627207</v>
      </c>
      <c r="EO12" s="62">
        <f ca="1">AVERAGE(OFFSET($EN$3,0,0,'Données projet'!$E$15+1,1))-AVERAGE(OFFSET($H$3,0,0,'Données projet'!$E$15+1,1))</f>
        <v>363.37916970915211</v>
      </c>
      <c r="EP12" s="62">
        <f t="shared" si="46"/>
        <v>281.52963027844595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3.4425641025641025</v>
      </c>
      <c r="FE12" s="13">
        <f>IF('Données projet'!$A$218&gt;35,FE11+FD12-FM11,IF(A12&lt;'Données projet'!$A$218,$FB$205^A12,IF(A12='Données projet'!$A$218,'Données projet'!$B$218,FE11+FD12-FM11)))</f>
        <v>4.0197679866952116</v>
      </c>
      <c r="FF12" s="18">
        <f>FE12*VLOOKUP('Données projet'!$B$16,Paramètres!$A$1:$I$89,3,0)*VLOOKUP('Données projet'!$B$16,Paramètres!$A$1:$I$89,5,0)</f>
        <v>1.881251417773359</v>
      </c>
      <c r="FG12" s="14">
        <f t="shared" si="47"/>
        <v>0.80547727641405575</v>
      </c>
      <c r="FH12" s="22">
        <f t="shared" si="22"/>
        <v>4.6793858090430804</v>
      </c>
      <c r="FI12" s="62">
        <f t="shared" si="23"/>
        <v>272.34605247570977</v>
      </c>
      <c r="FJ12" s="62">
        <f ca="1">AVERAGE(OFFSET($FI$3,0,0,'Données projet'!$E$16+1,1))-AVERAGE(OFFSET($H$3,0,0,'Données projet'!$E$16+1,1))</f>
        <v>245.47494516762282</v>
      </c>
      <c r="FK12" s="62">
        <f t="shared" si="48"/>
        <v>145.54897745089966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2.1</v>
      </c>
      <c r="FZ12" s="13">
        <f>IF('Données projet'!$A$244&gt;35,FZ11+FY12-GH11,IF(A12&lt;'Données projet'!$A$244,$FW$205^A12,IF(A12='Données projet'!$A$244,'Données projet'!$B$244,FZ11+FY12-GH11)))</f>
        <v>5.3760361537574148</v>
      </c>
      <c r="GA12" s="18">
        <f>FZ12*VLOOKUP('Données projet'!$B$17,Paramètres!$A$1:$I$89,3,0)*VLOOKUP('Données projet'!$B$17,Paramètres!$A$1:$I$89,5,0)</f>
        <v>5.1997021679141717</v>
      </c>
      <c r="GB12" s="14">
        <f t="shared" si="49"/>
        <v>1.977837649208241</v>
      </c>
      <c r="GC12" s="22">
        <f t="shared" si="25"/>
        <v>12.500881848154869</v>
      </c>
      <c r="GD12" s="62">
        <f t="shared" si="26"/>
        <v>280.16754851482153</v>
      </c>
      <c r="GE12" s="62">
        <f ca="1">AVERAGE(OFFSET($GD$3,0,0,'Données projet'!$E$17+1,1))-AVERAGE(OFFSET($H$3,0,0,'Données projet'!$E$17+1,1))</f>
        <v>455.50822833641354</v>
      </c>
      <c r="GF12" s="62">
        <f t="shared" si="50"/>
        <v>261.14722581688039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3.3333333333333335</v>
      </c>
      <c r="GU12" s="13">
        <f>IF('Données projet'!$A$270&gt;35,GU11+GT12-HC11,IF(A12&lt;'Données projet'!$A$270,$GR$205^A12,IF(A12='Données projet'!$A$270,'Données projet'!$B$270,GU11+GT12-HC11)))</f>
        <v>10.456395525912733</v>
      </c>
      <c r="GV12" s="18">
        <f>GU12*VLOOKUP('Données projet'!$B$18,Paramètres!$A$1:$I$89,3,0)*VLOOKUP('Données projet'!$B$18,Paramètres!$A$1:$I$89,5,0)</f>
        <v>7.0141501187822621</v>
      </c>
      <c r="GW12" s="14">
        <f t="shared" si="51"/>
        <v>2.5766511556462244</v>
      </c>
      <c r="GX12" s="22">
        <f t="shared" si="28"/>
        <v>16.70397888629628</v>
      </c>
      <c r="GY12" s="62">
        <f t="shared" si="29"/>
        <v>284.37064555296297</v>
      </c>
      <c r="GZ12" s="62">
        <f ca="1">AVERAGE(OFFSET($GY$3,0,0,'Données projet'!$E$18+1,1))-AVERAGE(OFFSET($H$3,0,0,'Données projet'!$E$18+1,1))</f>
        <v>312.06797204903796</v>
      </c>
      <c r="HA12" s="62">
        <f t="shared" si="52"/>
        <v>258.20189001775151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</row>
    <row r="13" spans="1:218" s="5" customFormat="1" x14ac:dyDescent="0.25">
      <c r="A13" s="11">
        <f t="shared" si="31"/>
        <v>10</v>
      </c>
      <c r="B13" s="76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9">
        <f t="shared" si="1"/>
        <v>256.66666666666669</v>
      </c>
      <c r="I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7.7987854251012134</v>
      </c>
      <c r="N13" s="14">
        <f>IF('Données projet'!$A$36&gt;35,N12+M13-V12,IF(A13&lt;'Données projet'!$A$36,$K$205^A13,IF(A13='Données projet'!$A$36,'Données projet'!$B$36,N12+M13-V12)))</f>
        <v>13.884047496568932</v>
      </c>
      <c r="O13" s="14">
        <f>N13*VLOOKUP('Données projet'!$B$9,Paramètres!$A$1:$I$89,3,0)*VLOOKUP('Données projet'!$B$9,Paramètres!$A$1:$I$89,5,0)</f>
        <v>7.7611825505820331</v>
      </c>
      <c r="P13" s="14">
        <f t="shared" si="33"/>
        <v>2.8176844553216833</v>
      </c>
      <c r="Q13" s="22">
        <f t="shared" si="2"/>
        <v>18.424860035282308</v>
      </c>
      <c r="R13" s="62">
        <f t="shared" si="0"/>
        <v>287.31374892417114</v>
      </c>
      <c r="S13" s="62">
        <f ca="1">AVERAGE(OFFSET($R$3,0,0,'Données projet'!$E$9+1,1))-AVERAGE(OFFSET($H$3,0,0,'Données projet'!$E$9+1,1))</f>
        <v>323.98185264074681</v>
      </c>
      <c r="T13" s="62">
        <f t="shared" si="34"/>
        <v>301.22207291854005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2.3805128205128203</v>
      </c>
      <c r="AI13" s="14">
        <f>IF('Données projet'!$A$62&gt;35,AI12+AH13-AQ12,IF(A13&lt;'Données projet'!$A$62,$AF$205^A13,IF(A13='Données projet'!$A$62,'Données projet'!$B$62,AI12+AH13-AQ12)))</f>
        <v>10.843625808385362</v>
      </c>
      <c r="AJ13" s="14">
        <f>AI13*VLOOKUP('Données projet'!$B$10,Paramètres!$A$1:$I$89,3,0)*VLOOKUP('Données projet'!$B$10,Paramètres!$A$1:$I$89,5,0)</f>
        <v>6.4844882334144467</v>
      </c>
      <c r="AK13" s="14">
        <f t="shared" si="35"/>
        <v>2.4039500479922649</v>
      </c>
      <c r="AL13" s="22">
        <f t="shared" si="4"/>
        <v>15.480696673450021</v>
      </c>
      <c r="AM13" s="62">
        <f t="shared" si="5"/>
        <v>284.3695855623389</v>
      </c>
      <c r="AN13" s="62">
        <f ca="1">AVERAGE(OFFSET($AM$3,0,0,'Données projet'!$E$10+1,1))-AVERAGE(OFFSET($H$3,0,0,'Données projet'!$E$10+1,1))</f>
        <v>289.12367833861299</v>
      </c>
      <c r="AO13" s="62">
        <f t="shared" si="36"/>
        <v>229.06617320689003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2.1</v>
      </c>
      <c r="BD13" s="13">
        <f>IF('Données projet'!$A$88&gt;35,BD12+BC13-BL12,IF(A13&lt;'Données projet'!$A$88,$BA$205^A13,IF(A13='Données projet'!$A$88,'Données projet'!$B$88,BD12+BC13-BL12)))</f>
        <v>6.4807406984078657</v>
      </c>
      <c r="BE13" s="14">
        <f>BD13*VLOOKUP('Données projet'!$B$11,Paramètres!$A$1:$I$89,3,0)*VLOOKUP('Données projet'!$B$11,Paramètres!$A$1:$I$89,5,0)</f>
        <v>5.8637741839194364</v>
      </c>
      <c r="BF13" s="14">
        <f t="shared" si="37"/>
        <v>2.1994468497187687</v>
      </c>
      <c r="BG13" s="22">
        <f t="shared" si="7"/>
        <v>14.043443300253207</v>
      </c>
      <c r="BH13" s="62">
        <f t="shared" si="8"/>
        <v>282.93233218914207</v>
      </c>
      <c r="BI13" s="62">
        <f ca="1">AVERAGE(OFFSET($BH$3,0,0,'Données projet'!$E$11+1,1))-AVERAGE(OFFSET($H$3,0,0,'Données projet'!$E$11+1,1))</f>
        <v>428.8489304403459</v>
      </c>
      <c r="BJ13" s="62">
        <f t="shared" si="38"/>
        <v>247.01165577562966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2.4666666666666668</v>
      </c>
      <c r="BY13" s="13">
        <f>IF('Données projet'!$A$114&gt;35,BY12+BX13-CG12,IF(A13&lt;'Données projet'!$A$114,$BV$205^A13,IF(A13='Données projet'!$A$114,'Données projet'!$B$114,BY12+BX13-CG12)))</f>
        <v>11.103702468586782</v>
      </c>
      <c r="BZ13" s="14">
        <f>BY13*VLOOKUP('Données projet'!$B$12,Paramètres!$A$1:$I$89,3,0)*VLOOKUP('Données projet'!$B$12,Paramètres!$A$1:$I$89,5,0)</f>
        <v>8.1412346499678296</v>
      </c>
      <c r="CA13" s="14">
        <f t="shared" si="39"/>
        <v>2.9392598989436851</v>
      </c>
      <c r="CB13" s="22">
        <f t="shared" si="10"/>
        <v>19.298528006020888</v>
      </c>
      <c r="CC13" s="62">
        <f t="shared" si="11"/>
        <v>288.18741689490975</v>
      </c>
      <c r="CD13" s="62">
        <f ca="1">AVERAGE(OFFSET($CC$3,0,0,'Données projet'!$E$12+1,1))-AVERAGE(OFFSET($H$3,0,0,'Données projet'!$E$12+1,1))</f>
        <v>290.85271051443431</v>
      </c>
      <c r="CE13" s="62">
        <f t="shared" si="40"/>
        <v>318.66958823451142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2.6666666666666665</v>
      </c>
      <c r="CT13" s="13">
        <f>IF('Données projet'!$A$140&gt;35,CT12+CS13-DB12,IF(A13&lt;'Données projet'!$A$140,$CQ$205^A13,IF(A13='Données projet'!$A$140,'Données projet'!$B$140,CT12+CS13-DB12)))</f>
        <v>11.696070952851455</v>
      </c>
      <c r="CU13" s="18">
        <f>CT13*VLOOKUP('Données projet'!$B$13,Paramètres!$A$1:$I$89,3,0)*VLOOKUP('Données projet'!$B$13,Paramètres!$A$1:$I$89,5,0)</f>
        <v>9.1229353432241354</v>
      </c>
      <c r="CV13" s="14">
        <f t="shared" si="41"/>
        <v>3.2503265450485803</v>
      </c>
      <c r="CW13" s="22">
        <f t="shared" si="13"/>
        <v>21.550097788741649</v>
      </c>
      <c r="CX13" s="62">
        <f t="shared" si="14"/>
        <v>290.43898667763051</v>
      </c>
      <c r="CY13" s="62">
        <f ca="1">AVERAGE(OFFSET($CX$3,0,0,'Données projet'!$E$13+1,1))-AVERAGE(OFFSET($H$3,0,0,'Données projet'!$E$13+1,1))</f>
        <v>292.57482726862594</v>
      </c>
      <c r="CZ13" s="62">
        <f t="shared" si="42"/>
        <v>283.48738729114024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2.4666666666666668</v>
      </c>
      <c r="DO13" s="13">
        <f>IF('Données projet'!$A$166&gt;35,DO12+DN13-DW12,IF(A13&lt;'Données projet'!$A$166,$DL$205^A13,IF(A13='Données projet'!$A$166,'Données projet'!$B$166,DO12+DN13-DW12)))</f>
        <v>11.103702468586782</v>
      </c>
      <c r="DP13" s="18">
        <f>DO13*VLOOKUP('Données projet'!$B$14,Paramètres!$A$1:$I$89,3,0)*VLOOKUP('Données projet'!$B$14,Paramètres!$A$1:$I$89,5,0)</f>
        <v>8.8341056840076444</v>
      </c>
      <c r="DQ13" s="14">
        <f t="shared" si="43"/>
        <v>3.1592306185484516</v>
      </c>
      <c r="DR13" s="22">
        <f t="shared" si="16"/>
        <v>20.888394060285197</v>
      </c>
      <c r="DS13" s="62">
        <f t="shared" si="17"/>
        <v>289.77728294917404</v>
      </c>
      <c r="DT13" s="62">
        <f ca="1">AVERAGE(OFFSET($DS$3,0,0,'Données projet'!$E$14+1,1))-AVERAGE(OFFSET($H$3,0,0,'Données projet'!$E$14+1,1))</f>
        <v>312.53381881960331</v>
      </c>
      <c r="DU13" s="62">
        <f t="shared" si="44"/>
        <v>342.06887933351783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2.4358974358974361</v>
      </c>
      <c r="EJ13" s="13">
        <f>IF('Données projet'!$A$192&gt;35,EJ12+EI13-ER12,IF(A13&lt;'Données projet'!$A$192,$EG$205^A13,IF(A13='Données projet'!$A$192,'Données projet'!$B$192,EJ12+EI13-ER12)))</f>
        <v>11.011170942520771</v>
      </c>
      <c r="EK13" s="18">
        <f>EJ13*VLOOKUP('Données projet'!$B$15,Paramètres!$A$1:$I$89,3,0)*VLOOKUP('Données projet'!$B$15,Paramètres!$A$1:$I$89,5,0)</f>
        <v>10.478230268902767</v>
      </c>
      <c r="EL13" s="14">
        <f t="shared" si="45"/>
        <v>3.67348682940279</v>
      </c>
      <c r="EM13" s="22">
        <f t="shared" si="19"/>
        <v>24.647573946215513</v>
      </c>
      <c r="EN13" s="62">
        <f t="shared" si="20"/>
        <v>293.53646283510437</v>
      </c>
      <c r="EO13" s="62">
        <f ca="1">AVERAGE(OFFSET($EN$3,0,0,'Données projet'!$E$15+1,1))-AVERAGE(OFFSET($H$3,0,0,'Données projet'!$E$15+1,1))</f>
        <v>363.37916970915211</v>
      </c>
      <c r="EP13" s="62">
        <f t="shared" si="46"/>
        <v>281.52963027844595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3.4425641025641025</v>
      </c>
      <c r="FE13" s="13">
        <f>IF('Données projet'!$A$218&gt;35,FE12+FD13-FM12,IF(A13&lt;'Données projet'!$A$218,$FB$205^A13,IF(A13='Données projet'!$A$218,'Données projet'!$B$218,FE12+FD13-FM12)))</f>
        <v>4.6917453277627805</v>
      </c>
      <c r="FF13" s="18">
        <f>FE13*VLOOKUP('Données projet'!$B$16,Paramètres!$A$1:$I$89,3,0)*VLOOKUP('Données projet'!$B$16,Paramètres!$A$1:$I$89,5,0)</f>
        <v>2.1957368133929811</v>
      </c>
      <c r="FG13" s="14">
        <f t="shared" si="47"/>
        <v>0.9233628621568436</v>
      </c>
      <c r="FH13" s="22">
        <f t="shared" si="22"/>
        <v>5.432431934915944</v>
      </c>
      <c r="FI13" s="62">
        <f t="shared" si="23"/>
        <v>274.3213208238048</v>
      </c>
      <c r="FJ13" s="62">
        <f ca="1">AVERAGE(OFFSET($FI$3,0,0,'Données projet'!$E$16+1,1))-AVERAGE(OFFSET($H$3,0,0,'Données projet'!$E$16+1,1))</f>
        <v>245.47494516762282</v>
      </c>
      <c r="FK13" s="62">
        <f t="shared" si="48"/>
        <v>145.54897745089966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2.1</v>
      </c>
      <c r="FZ13" s="13">
        <f>IF('Données projet'!$A$244&gt;35,FZ12+FY13-GH12,IF(A13&lt;'Données projet'!$A$244,$FW$205^A13,IF(A13='Données projet'!$A$244,'Données projet'!$B$244,FZ12+FY13-GH12)))</f>
        <v>6.4807406984078657</v>
      </c>
      <c r="GA13" s="18">
        <f>FZ13*VLOOKUP('Données projet'!$B$17,Paramètres!$A$1:$I$89,3,0)*VLOOKUP('Données projet'!$B$17,Paramètres!$A$1:$I$89,5,0)</f>
        <v>6.2681724035000874</v>
      </c>
      <c r="GB13" s="14">
        <f t="shared" si="49"/>
        <v>2.3329519459947301</v>
      </c>
      <c r="GC13" s="22">
        <f t="shared" si="25"/>
        <v>14.98029157537014</v>
      </c>
      <c r="GD13" s="62">
        <f t="shared" si="26"/>
        <v>283.86918046425899</v>
      </c>
      <c r="GE13" s="62">
        <f ca="1">AVERAGE(OFFSET($GD$3,0,0,'Données projet'!$E$17+1,1))-AVERAGE(OFFSET($H$3,0,0,'Données projet'!$E$17+1,1))</f>
        <v>455.50822833641354</v>
      </c>
      <c r="GF13" s="62">
        <f t="shared" si="50"/>
        <v>261.14722581688039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3.3333333333333335</v>
      </c>
      <c r="GU13" s="13">
        <f>IF('Données projet'!$A$270&gt;35,GU12+GT13-HC12,IF(A13&lt;'Données projet'!$A$270,$GR$205^A13,IF(A13='Données projet'!$A$270,'Données projet'!$B$270,GU12+GT13-HC12)))</f>
        <v>13.572088082974533</v>
      </c>
      <c r="GV13" s="18">
        <f>GU13*VLOOKUP('Données projet'!$B$18,Paramètres!$A$1:$I$89,3,0)*VLOOKUP('Données projet'!$B$18,Paramètres!$A$1:$I$89,5,0)</f>
        <v>9.1041566860593175</v>
      </c>
      <c r="GW13" s="14">
        <f t="shared" si="51"/>
        <v>3.2444141328681457</v>
      </c>
      <c r="GX13" s="22">
        <f t="shared" si="28"/>
        <v>21.507094176298665</v>
      </c>
      <c r="GY13" s="62">
        <f t="shared" si="29"/>
        <v>290.39598306518752</v>
      </c>
      <c r="GZ13" s="62">
        <f ca="1">AVERAGE(OFFSET($GY$3,0,0,'Données projet'!$E$18+1,1))-AVERAGE(OFFSET($H$3,0,0,'Données projet'!$E$18+1,1))</f>
        <v>312.06797204903796</v>
      </c>
      <c r="HA13" s="62">
        <f t="shared" si="52"/>
        <v>258.20189001775151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</row>
    <row r="14" spans="1:218" s="5" customFormat="1" x14ac:dyDescent="0.25">
      <c r="A14" s="11">
        <f t="shared" si="31"/>
        <v>11</v>
      </c>
      <c r="B14" s="76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9">
        <f t="shared" si="1"/>
        <v>256.66666666666669</v>
      </c>
      <c r="I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7.7987854251012134</v>
      </c>
      <c r="N14" s="14">
        <f>IF('Données projet'!$A$36&gt;35,N13+M14-V13,IF(A14&lt;'Données projet'!$A$36,$K$205^A14,IF(A14='Données projet'!$A$36,'Données projet'!$B$36,N13+M14-V13)))</f>
        <v>18.062077432272524</v>
      </c>
      <c r="O14" s="14">
        <f>N14*VLOOKUP('Données projet'!$B$9,Paramètres!$A$1:$I$89,3,0)*VLOOKUP('Données projet'!$B$9,Paramètres!$A$1:$I$89,5,0)</f>
        <v>10.096701284640341</v>
      </c>
      <c r="P14" s="14">
        <f t="shared" si="33"/>
        <v>3.5550447986697691</v>
      </c>
      <c r="Q14" s="22">
        <f t="shared" si="2"/>
        <v>23.776791095098442</v>
      </c>
      <c r="R14" s="62">
        <f t="shared" si="0"/>
        <v>293.88790220620956</v>
      </c>
      <c r="S14" s="62">
        <f ca="1">AVERAGE(OFFSET($R$3,0,0,'Données projet'!$E$9+1,1))-AVERAGE(OFFSET($H$3,0,0,'Données projet'!$E$9+1,1))</f>
        <v>323.98185264074681</v>
      </c>
      <c r="T14" s="62">
        <f t="shared" si="34"/>
        <v>301.22207291854005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2.3805128205128203</v>
      </c>
      <c r="AI14" s="14">
        <f>IF('Données projet'!$A$62&gt;35,AI13+AH14-AQ13,IF(A14&lt;'Données projet'!$A$62,$AF$205^A14,IF(A14='Données projet'!$A$62,'Données projet'!$B$62,AI13+AH14-AQ13)))</f>
        <v>13.762330235503498</v>
      </c>
      <c r="AJ14" s="14">
        <f>AI14*VLOOKUP('Données projet'!$B$10,Paramètres!$A$1:$I$89,3,0)*VLOOKUP('Données projet'!$B$10,Paramètres!$A$1:$I$89,5,0)</f>
        <v>8.2298734808310936</v>
      </c>
      <c r="AK14" s="14">
        <f t="shared" si="35"/>
        <v>2.9675186699572826</v>
      </c>
      <c r="AL14" s="22">
        <f t="shared" si="4"/>
        <v>19.502124662623089</v>
      </c>
      <c r="AM14" s="62">
        <f t="shared" si="5"/>
        <v>289.61323577373423</v>
      </c>
      <c r="AN14" s="62">
        <f ca="1">AVERAGE(OFFSET($AM$3,0,0,'Données projet'!$E$10+1,1))-AVERAGE(OFFSET($H$3,0,0,'Données projet'!$E$10+1,1))</f>
        <v>289.12367833861299</v>
      </c>
      <c r="AO14" s="62">
        <f t="shared" si="36"/>
        <v>229.06617320689003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2.1</v>
      </c>
      <c r="BD14" s="13">
        <f>IF('Données projet'!$A$88&gt;35,BD13+BC14-BL13,IF(A14&lt;'Données projet'!$A$88,$BA$205^A14,IF(A14='Données projet'!$A$88,'Données projet'!$B$88,BD13+BC14-BL13)))</f>
        <v>7.8124474610620815</v>
      </c>
      <c r="BE14" s="14">
        <f>BD14*VLOOKUP('Données projet'!$B$11,Paramètres!$A$1:$I$89,3,0)*VLOOKUP('Données projet'!$B$11,Paramètres!$A$1:$I$89,5,0)</f>
        <v>7.0687024627689707</v>
      </c>
      <c r="BF14" s="14">
        <f t="shared" si="37"/>
        <v>2.5943503554083325</v>
      </c>
      <c r="BG14" s="22">
        <f t="shared" si="7"/>
        <v>16.829816991658799</v>
      </c>
      <c r="BH14" s="62">
        <f t="shared" si="8"/>
        <v>286.94092810276993</v>
      </c>
      <c r="BI14" s="62">
        <f ca="1">AVERAGE(OFFSET($BH$3,0,0,'Données projet'!$E$11+1,1))-AVERAGE(OFFSET($H$3,0,0,'Données projet'!$E$11+1,1))</f>
        <v>428.8489304403459</v>
      </c>
      <c r="BJ14" s="62">
        <f t="shared" si="38"/>
        <v>247.01165577562966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2.4666666666666668</v>
      </c>
      <c r="BY14" s="13">
        <f>IF('Données projet'!$A$114&gt;35,BY13+BX14-CG13,IF(A14&lt;'Données projet'!$A$114,$BV$205^A14,IF(A14='Données projet'!$A$114,'Données projet'!$B$114,BY13+BX14-CG13)))</f>
        <v>14.125850240977657</v>
      </c>
      <c r="BZ14" s="14">
        <f>BY14*VLOOKUP('Données projet'!$B$12,Paramètres!$A$1:$I$89,3,0)*VLOOKUP('Données projet'!$B$12,Paramètres!$A$1:$I$89,5,0)</f>
        <v>10.357073396684818</v>
      </c>
      <c r="CA14" s="14">
        <f t="shared" si="39"/>
        <v>3.6359301026893722</v>
      </c>
      <c r="CB14" s="22">
        <f t="shared" si="10"/>
        <v>24.371147761410047</v>
      </c>
      <c r="CC14" s="62">
        <f t="shared" si="11"/>
        <v>294.48225887252119</v>
      </c>
      <c r="CD14" s="62">
        <f ca="1">AVERAGE(OFFSET($CC$3,0,0,'Données projet'!$E$12+1,1))-AVERAGE(OFFSET($H$3,0,0,'Données projet'!$E$12+1,1))</f>
        <v>290.85271051443431</v>
      </c>
      <c r="CE14" s="62">
        <f t="shared" si="40"/>
        <v>318.66958823451142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2.6666666666666665</v>
      </c>
      <c r="CT14" s="13">
        <f>IF('Données projet'!$A$140&gt;35,CT13+CS14-DB13,IF(A14&lt;'Données projet'!$A$140,$CQ$205^A14,IF(A14='Données projet'!$A$140,'Données projet'!$B$140,CT13+CS14-DB13)))</f>
        <v>14.956982779612416</v>
      </c>
      <c r="CU14" s="18">
        <f>CT14*VLOOKUP('Données projet'!$B$13,Paramètres!$A$1:$I$89,3,0)*VLOOKUP('Données projet'!$B$13,Paramètres!$A$1:$I$89,5,0)</f>
        <v>11.666446568097685</v>
      </c>
      <c r="CV14" s="14">
        <f t="shared" si="41"/>
        <v>4.0392339557111736</v>
      </c>
      <c r="CW14" s="22">
        <f t="shared" si="13"/>
        <v>27.354060245633761</v>
      </c>
      <c r="CX14" s="62">
        <f t="shared" si="14"/>
        <v>297.46517135674492</v>
      </c>
      <c r="CY14" s="62">
        <f ca="1">AVERAGE(OFFSET($CX$3,0,0,'Données projet'!$E$13+1,1))-AVERAGE(OFFSET($H$3,0,0,'Données projet'!$E$13+1,1))</f>
        <v>292.57482726862594</v>
      </c>
      <c r="CZ14" s="62">
        <f t="shared" si="42"/>
        <v>283.48738729114024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2.4666666666666668</v>
      </c>
      <c r="DO14" s="13">
        <f>IF('Données projet'!$A$166&gt;35,DO13+DN14-DW13,IF(A14&lt;'Données projet'!$A$166,$DL$205^A14,IF(A14='Données projet'!$A$166,'Données projet'!$B$166,DO13+DN14-DW13)))</f>
        <v>14.125850240977657</v>
      </c>
      <c r="DP14" s="18">
        <f>DO14*VLOOKUP('Données projet'!$B$14,Paramètres!$A$1:$I$89,3,0)*VLOOKUP('Données projet'!$B$14,Paramètres!$A$1:$I$89,5,0)</f>
        <v>11.238526451721825</v>
      </c>
      <c r="DQ14" s="14">
        <f t="shared" si="43"/>
        <v>3.9080387928425129</v>
      </c>
      <c r="DR14" s="22">
        <f t="shared" si="16"/>
        <v>26.380267800949554</v>
      </c>
      <c r="DS14" s="62">
        <f t="shared" si="17"/>
        <v>296.49137891206067</v>
      </c>
      <c r="DT14" s="62">
        <f ca="1">AVERAGE(OFFSET($DS$3,0,0,'Données projet'!$E$14+1,1))-AVERAGE(OFFSET($H$3,0,0,'Données projet'!$E$14+1,1))</f>
        <v>312.53381881960331</v>
      </c>
      <c r="DU14" s="62">
        <f t="shared" si="44"/>
        <v>342.06887933351783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2.4358974358974361</v>
      </c>
      <c r="EJ14" s="13">
        <f>IF('Données projet'!$A$192&gt;35,EJ13+EI14-ER13,IF(A14&lt;'Données projet'!$A$192,$EG$205^A14,IF(A14='Données projet'!$A$192,'Données projet'!$B$192,EJ13+EI14-ER13)))</f>
        <v>13.996416428924077</v>
      </c>
      <c r="EK14" s="18">
        <f>EJ14*VLOOKUP('Données projet'!$B$15,Paramètres!$A$1:$I$89,3,0)*VLOOKUP('Données projet'!$B$15,Paramètres!$A$1:$I$89,5,0)</f>
        <v>13.318989873764153</v>
      </c>
      <c r="EL14" s="14">
        <f t="shared" si="45"/>
        <v>4.5408263671169857</v>
      </c>
      <c r="EM14" s="22">
        <f t="shared" si="19"/>
        <v>31.105846619534645</v>
      </c>
      <c r="EN14" s="62">
        <f t="shared" si="20"/>
        <v>301.21695773064579</v>
      </c>
      <c r="EO14" s="62">
        <f ca="1">AVERAGE(OFFSET($EN$3,0,0,'Données projet'!$E$15+1,1))-AVERAGE(OFFSET($H$3,0,0,'Données projet'!$E$15+1,1))</f>
        <v>363.37916970915211</v>
      </c>
      <c r="EP14" s="62">
        <f t="shared" si="46"/>
        <v>281.52963027844595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3.4425641025641025</v>
      </c>
      <c r="FE14" s="13">
        <f>IF('Données projet'!$A$218&gt;35,FE13+FD14-FM13,IF(A14&lt;'Données projet'!$A$218,$FB$205^A14,IF(A14='Données projet'!$A$218,'Données projet'!$B$218,FE13+FD14-FM13)))</f>
        <v>5.4760559050775193</v>
      </c>
      <c r="FF14" s="18">
        <f>FE14*VLOOKUP('Données projet'!$B$16,Paramètres!$A$1:$I$89,3,0)*VLOOKUP('Données projet'!$B$16,Paramètres!$A$1:$I$89,5,0)</f>
        <v>2.562794163576279</v>
      </c>
      <c r="FG14" s="14">
        <f t="shared" si="47"/>
        <v>1.0585015867936163</v>
      </c>
      <c r="FH14" s="22">
        <f t="shared" si="22"/>
        <v>6.3070900985608995</v>
      </c>
      <c r="FI14" s="62">
        <f t="shared" si="23"/>
        <v>276.41820120967202</v>
      </c>
      <c r="FJ14" s="62">
        <f ca="1">AVERAGE(OFFSET($FI$3,0,0,'Données projet'!$E$16+1,1))-AVERAGE(OFFSET($H$3,0,0,'Données projet'!$E$16+1,1))</f>
        <v>245.47494516762282</v>
      </c>
      <c r="FK14" s="62">
        <f t="shared" si="48"/>
        <v>145.54897745089966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2.1</v>
      </c>
      <c r="FZ14" s="13">
        <f>IF('Données projet'!$A$244&gt;35,FZ13+FY14-GH13,IF(A14&lt;'Données projet'!$A$244,$FW$205^A14,IF(A14='Données projet'!$A$244,'Données projet'!$B$244,FZ13+FY14-GH13)))</f>
        <v>7.8124474610620815</v>
      </c>
      <c r="GA14" s="18">
        <f>FZ14*VLOOKUP('Données projet'!$B$17,Paramètres!$A$1:$I$89,3,0)*VLOOKUP('Données projet'!$B$17,Paramètres!$A$1:$I$89,5,0)</f>
        <v>7.5561991843392455</v>
      </c>
      <c r="GB14" s="14">
        <f t="shared" si="49"/>
        <v>2.7518258561310041</v>
      </c>
      <c r="GC14" s="22">
        <f t="shared" si="25"/>
        <v>17.953143612152349</v>
      </c>
      <c r="GD14" s="62">
        <f t="shared" si="26"/>
        <v>288.0642547232635</v>
      </c>
      <c r="GE14" s="62">
        <f ca="1">AVERAGE(OFFSET($GD$3,0,0,'Données projet'!$E$17+1,1))-AVERAGE(OFFSET($H$3,0,0,'Données projet'!$E$17+1,1))</f>
        <v>455.50822833641354</v>
      </c>
      <c r="GF14" s="62">
        <f t="shared" si="50"/>
        <v>261.14722581688039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3.3333333333333335</v>
      </c>
      <c r="GU14" s="13">
        <f>IF('Données projet'!$A$270&gt;35,GU13+GT14-HC13,IF(A14&lt;'Données projet'!$A$270,$GR$205^A14,IF(A14='Données projet'!$A$270,'Données projet'!$B$270,GU13+GT14-HC13)))</f>
        <v>17.616163665149852</v>
      </c>
      <c r="GV14" s="18">
        <f>GU14*VLOOKUP('Données projet'!$B$18,Paramètres!$A$1:$I$89,3,0)*VLOOKUP('Données projet'!$B$18,Paramètres!$A$1:$I$89,5,0)</f>
        <v>11.816922586582521</v>
      </c>
      <c r="GW14" s="14">
        <f t="shared" si="51"/>
        <v>4.0852340614632361</v>
      </c>
      <c r="GX14" s="22">
        <f t="shared" si="28"/>
        <v>27.696256162013025</v>
      </c>
      <c r="GY14" s="62">
        <f t="shared" si="29"/>
        <v>297.80736727312416</v>
      </c>
      <c r="GZ14" s="62">
        <f ca="1">AVERAGE(OFFSET($GY$3,0,0,'Données projet'!$E$18+1,1))-AVERAGE(OFFSET($H$3,0,0,'Données projet'!$E$18+1,1))</f>
        <v>312.06797204903796</v>
      </c>
      <c r="HA14" s="62">
        <f t="shared" si="52"/>
        <v>258.20189001775151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</row>
    <row r="15" spans="1:218" s="5" customFormat="1" x14ac:dyDescent="0.25">
      <c r="A15" s="11">
        <f t="shared" si="31"/>
        <v>12</v>
      </c>
      <c r="B15" s="76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9">
        <f t="shared" si="1"/>
        <v>256.66666666666669</v>
      </c>
      <c r="I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7.7987854251012134</v>
      </c>
      <c r="N15" s="14">
        <f>IF('Données projet'!$A$36&gt;35,N14+M15-V14,IF(A15&lt;'Données projet'!$A$36,$K$205^A15,IF(A15='Données projet'!$A$36,'Données projet'!$B$36,N14+M15-V14)))</f>
        <v>23.497372884242115</v>
      </c>
      <c r="O15" s="14">
        <f>N15*VLOOKUP('Données projet'!$B$9,Paramètres!$A$1:$I$89,3,0)*VLOOKUP('Données projet'!$B$9,Paramètres!$A$1:$I$89,5,0)</f>
        <v>13.135031442291343</v>
      </c>
      <c r="P15" s="14">
        <f t="shared" si="33"/>
        <v>4.4853651006518103</v>
      </c>
      <c r="Q15" s="22">
        <f t="shared" si="2"/>
        <v>30.688857312292658</v>
      </c>
      <c r="R15" s="62">
        <f t="shared" si="0"/>
        <v>302.02219064562598</v>
      </c>
      <c r="S15" s="62">
        <f ca="1">AVERAGE(OFFSET($R$3,0,0,'Données projet'!$E$9+1,1))-AVERAGE(OFFSET($H$3,0,0,'Données projet'!$E$9+1,1))</f>
        <v>323.98185264074681</v>
      </c>
      <c r="T15" s="62">
        <f t="shared" si="34"/>
        <v>301.22207291854005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2.3805128205128203</v>
      </c>
      <c r="AI15" s="14">
        <f>IF('Données projet'!$A$62&gt;35,AI14+AH15-AQ14,IF(A15&lt;'Données projet'!$A$62,$AF$205^A15,IF(A15='Données projet'!$A$62,'Données projet'!$B$62,AI14+AH15-AQ14)))</f>
        <v>17.466642325908158</v>
      </c>
      <c r="AJ15" s="14">
        <f>AI15*VLOOKUP('Données projet'!$B$10,Paramètres!$A$1:$I$89,3,0)*VLOOKUP('Données projet'!$B$10,Paramètres!$A$1:$I$89,5,0)</f>
        <v>10.44505211089308</v>
      </c>
      <c r="AK15" s="14">
        <f t="shared" si="35"/>
        <v>3.6632071718377808</v>
      </c>
      <c r="AL15" s="22">
        <f t="shared" si="4"/>
        <v>24.571884917422917</v>
      </c>
      <c r="AM15" s="62">
        <f t="shared" si="5"/>
        <v>295.90521825075621</v>
      </c>
      <c r="AN15" s="62">
        <f ca="1">AVERAGE(OFFSET($AM$3,0,0,'Données projet'!$E$10+1,1))-AVERAGE(OFFSET($H$3,0,0,'Données projet'!$E$10+1,1))</f>
        <v>289.12367833861299</v>
      </c>
      <c r="AO15" s="62">
        <f t="shared" si="36"/>
        <v>229.06617320689003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2.1</v>
      </c>
      <c r="BD15" s="13">
        <f>IF('Données projet'!$A$88&gt;35,BD14+BC15-BL14,IF(A15&lt;'Données projet'!$A$88,$BA$205^A15,IF(A15='Données projet'!$A$88,'Données projet'!$B$88,BD14+BC15-BL14)))</f>
        <v>9.4178024044149407</v>
      </c>
      <c r="BE15" s="14">
        <f>BD15*VLOOKUP('Données projet'!$B$11,Paramètres!$A$1:$I$89,3,0)*VLOOKUP('Données projet'!$B$11,Paramètres!$A$1:$I$89,5,0)</f>
        <v>8.521227615514638</v>
      </c>
      <c r="BF15" s="14">
        <f t="shared" si="37"/>
        <v>3.0601574970852128</v>
      </c>
      <c r="BG15" s="22">
        <f t="shared" si="7"/>
        <v>20.170912404444739</v>
      </c>
      <c r="BH15" s="62">
        <f t="shared" si="8"/>
        <v>291.50424573777804</v>
      </c>
      <c r="BI15" s="62">
        <f ca="1">AVERAGE(OFFSET($BH$3,0,0,'Données projet'!$E$11+1,1))-AVERAGE(OFFSET($H$3,0,0,'Données projet'!$E$11+1,1))</f>
        <v>428.8489304403459</v>
      </c>
      <c r="BJ15" s="62">
        <f t="shared" si="38"/>
        <v>247.01165577562966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2.4666666666666668</v>
      </c>
      <c r="BY15" s="13">
        <f>IF('Données projet'!$A$114&gt;35,BY14+BX15-CG14,IF(A15&lt;'Données projet'!$A$114,$BV$205^A15,IF(A15='Données projet'!$A$114,'Données projet'!$B$114,BY14+BX15-CG14)))</f>
        <v>17.970550417308221</v>
      </c>
      <c r="BZ15" s="14">
        <f>BY15*VLOOKUP('Données projet'!$B$12,Paramètres!$A$1:$I$89,3,0)*VLOOKUP('Données projet'!$B$12,Paramètres!$A$1:$I$89,5,0)</f>
        <v>13.176007565970389</v>
      </c>
      <c r="CA15" s="14">
        <f t="shared" si="39"/>
        <v>4.4977266952111856</v>
      </c>
      <c r="CB15" s="22">
        <f t="shared" si="10"/>
        <v>30.781753838224574</v>
      </c>
      <c r="CC15" s="62">
        <f t="shared" si="11"/>
        <v>302.11508717155789</v>
      </c>
      <c r="CD15" s="62">
        <f ca="1">AVERAGE(OFFSET($CC$3,0,0,'Données projet'!$E$12+1,1))-AVERAGE(OFFSET($H$3,0,0,'Données projet'!$E$12+1,1))</f>
        <v>290.85271051443431</v>
      </c>
      <c r="CE15" s="62">
        <f t="shared" si="40"/>
        <v>318.66958823451142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2.6666666666666665</v>
      </c>
      <c r="CT15" s="13">
        <f>IF('Données projet'!$A$140&gt;35,CT14+CS15-DB14,IF(A15&lt;'Données projet'!$A$140,$CQ$205^A15,IF(A15='Données projet'!$A$140,'Données projet'!$B$140,CT14+CS15-DB14)))</f>
        <v>19.127049995800721</v>
      </c>
      <c r="CU15" s="18">
        <f>CT15*VLOOKUP('Données projet'!$B$13,Paramètres!$A$1:$I$89,3,0)*VLOOKUP('Données projet'!$B$13,Paramètres!$A$1:$I$89,5,0)</f>
        <v>14.919098996724562</v>
      </c>
      <c r="CV15" s="14">
        <f t="shared" si="41"/>
        <v>5.019622097301081</v>
      </c>
      <c r="CW15" s="22">
        <f t="shared" si="13"/>
        <v>34.726605905427995</v>
      </c>
      <c r="CX15" s="62">
        <f t="shared" si="14"/>
        <v>306.05993923876133</v>
      </c>
      <c r="CY15" s="62">
        <f ca="1">AVERAGE(OFFSET($CX$3,0,0,'Données projet'!$E$13+1,1))-AVERAGE(OFFSET($H$3,0,0,'Données projet'!$E$13+1,1))</f>
        <v>292.57482726862594</v>
      </c>
      <c r="CZ15" s="62">
        <f t="shared" si="42"/>
        <v>283.48738729114024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2.4666666666666668</v>
      </c>
      <c r="DO15" s="13">
        <f>IF('Données projet'!$A$166&gt;35,DO14+DN15-DW14,IF(A15&lt;'Données projet'!$A$166,$DL$205^A15,IF(A15='Données projet'!$A$166,'Données projet'!$B$166,DO14+DN15-DW14)))</f>
        <v>17.970550417308221</v>
      </c>
      <c r="DP15" s="18">
        <f>DO15*VLOOKUP('Données projet'!$B$14,Paramètres!$A$1:$I$89,3,0)*VLOOKUP('Données projet'!$B$14,Paramètres!$A$1:$I$89,5,0)</f>
        <v>14.297369912010421</v>
      </c>
      <c r="DQ15" s="14">
        <f t="shared" si="43"/>
        <v>4.8343312187127445</v>
      </c>
      <c r="DR15" s="22">
        <f t="shared" si="16"/>
        <v>33.321046136009507</v>
      </c>
      <c r="DS15" s="62">
        <f t="shared" si="17"/>
        <v>304.65437946934281</v>
      </c>
      <c r="DT15" s="62">
        <f ca="1">AVERAGE(OFFSET($DS$3,0,0,'Données projet'!$E$14+1,1))-AVERAGE(OFFSET($H$3,0,0,'Données projet'!$E$14+1,1))</f>
        <v>312.53381881960331</v>
      </c>
      <c r="DU15" s="62">
        <f t="shared" si="44"/>
        <v>342.06887933351783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2.4358974358974361</v>
      </c>
      <c r="EJ15" s="13">
        <f>IF('Données projet'!$A$192&gt;35,EJ14+EI15-ER14,IF(A15&lt;'Données projet'!$A$192,$EG$205^A15,IF(A15='Données projet'!$A$192,'Données projet'!$B$192,EJ14+EI15-ER14)))</f>
        <v>17.790993698532919</v>
      </c>
      <c r="EK15" s="18">
        <f>EJ15*VLOOKUP('Données projet'!$B$15,Paramètres!$A$1:$I$89,3,0)*VLOOKUP('Données projet'!$B$15,Paramètres!$A$1:$I$89,5,0)</f>
        <v>16.929909603523928</v>
      </c>
      <c r="EL15" s="14">
        <f t="shared" si="45"/>
        <v>5.6129516870098515</v>
      </c>
      <c r="EM15" s="22">
        <f t="shared" si="19"/>
        <v>39.262150081012997</v>
      </c>
      <c r="EN15" s="62">
        <f t="shared" si="20"/>
        <v>310.59548341434629</v>
      </c>
      <c r="EO15" s="62">
        <f ca="1">AVERAGE(OFFSET($EN$3,0,0,'Données projet'!$E$15+1,1))-AVERAGE(OFFSET($H$3,0,0,'Données projet'!$E$15+1,1))</f>
        <v>363.37916970915211</v>
      </c>
      <c r="EP15" s="62">
        <f t="shared" si="46"/>
        <v>281.52963027844595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3.4425641025641025</v>
      </c>
      <c r="FE15" s="13">
        <f>IF('Données projet'!$A$218&gt;35,FE14+FD15-FM14,IF(A15&lt;'Données projet'!$A$218,$FB$205^A15,IF(A15='Données projet'!$A$218,'Données projet'!$B$218,FE14+FD15-FM14)))</f>
        <v>6.3914782624899003</v>
      </c>
      <c r="FF15" s="18">
        <f>FE15*VLOOKUP('Données projet'!$B$16,Paramètres!$A$1:$I$89,3,0)*VLOOKUP('Données projet'!$B$16,Paramètres!$A$1:$I$89,5,0)</f>
        <v>2.9912118268452734</v>
      </c>
      <c r="FG15" s="14">
        <f t="shared" si="47"/>
        <v>1.2134185325879896</v>
      </c>
      <c r="FH15" s="22">
        <f t="shared" si="22"/>
        <v>7.3230645426796004</v>
      </c>
      <c r="FI15" s="62">
        <f t="shared" si="23"/>
        <v>278.65639787601293</v>
      </c>
      <c r="FJ15" s="62">
        <f ca="1">AVERAGE(OFFSET($FI$3,0,0,'Données projet'!$E$16+1,1))-AVERAGE(OFFSET($H$3,0,0,'Données projet'!$E$16+1,1))</f>
        <v>245.47494516762282</v>
      </c>
      <c r="FK15" s="62">
        <f t="shared" si="48"/>
        <v>145.54897745089966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2.1</v>
      </c>
      <c r="FZ15" s="13">
        <f>IF('Données projet'!$A$244&gt;35,FZ14+FY15-GH14,IF(A15&lt;'Données projet'!$A$244,$FW$205^A15,IF(A15='Données projet'!$A$244,'Données projet'!$B$244,FZ14+FY15-GH14)))</f>
        <v>9.4178024044149407</v>
      </c>
      <c r="GA15" s="18">
        <f>FZ15*VLOOKUP('Données projet'!$B$17,Paramètres!$A$1:$I$89,3,0)*VLOOKUP('Données projet'!$B$17,Paramètres!$A$1:$I$89,5,0)</f>
        <v>9.1088984855501316</v>
      </c>
      <c r="GB15" s="14">
        <f t="shared" si="49"/>
        <v>3.2459072101643005</v>
      </c>
      <c r="GC15" s="22">
        <f t="shared" si="25"/>
        <v>21.517953253369303</v>
      </c>
      <c r="GD15" s="62">
        <f t="shared" si="26"/>
        <v>292.8512865867026</v>
      </c>
      <c r="GE15" s="62">
        <f ca="1">AVERAGE(OFFSET($GD$3,0,0,'Données projet'!$E$17+1,1))-AVERAGE(OFFSET($H$3,0,0,'Données projet'!$E$17+1,1))</f>
        <v>455.50822833641354</v>
      </c>
      <c r="GF15" s="62">
        <f t="shared" si="50"/>
        <v>261.14722581688039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3.3333333333333335</v>
      </c>
      <c r="GU15" s="13">
        <f>IF('Données projet'!$A$270&gt;35,GU14+GT15-HC14,IF(A15&lt;'Données projet'!$A$270,$GR$205^A15,IF(A15='Données projet'!$A$270,'Données projet'!$B$270,GU14+GT15-HC14)))</f>
        <v>22.865252596366318</v>
      </c>
      <c r="GV15" s="18">
        <f>GU15*VLOOKUP('Données projet'!$B$18,Paramètres!$A$1:$I$89,3,0)*VLOOKUP('Données projet'!$B$18,Paramètres!$A$1:$I$89,5,0)</f>
        <v>15.338011441642525</v>
      </c>
      <c r="GW15" s="14">
        <f t="shared" si="51"/>
        <v>5.1439602509023024</v>
      </c>
      <c r="GX15" s="22">
        <f t="shared" si="28"/>
        <v>35.672767364515572</v>
      </c>
      <c r="GY15" s="62">
        <f t="shared" si="29"/>
        <v>307.00610069784886</v>
      </c>
      <c r="GZ15" s="62">
        <f ca="1">AVERAGE(OFFSET($GY$3,0,0,'Données projet'!$E$18+1,1))-AVERAGE(OFFSET($H$3,0,0,'Données projet'!$E$18+1,1))</f>
        <v>312.06797204903796</v>
      </c>
      <c r="HA15" s="62">
        <f t="shared" si="52"/>
        <v>258.20189001775151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</row>
    <row r="16" spans="1:218" s="5" customFormat="1" x14ac:dyDescent="0.25">
      <c r="A16" s="11">
        <f t="shared" si="31"/>
        <v>13</v>
      </c>
      <c r="B16" s="76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9">
        <f t="shared" si="1"/>
        <v>256.66666666666669</v>
      </c>
      <c r="I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7.7987854251012134</v>
      </c>
      <c r="N16" s="14">
        <f>IF('Données projet'!$A$36&gt;35,N15+M16-V15,IF(A16&lt;'Données projet'!$A$36,$K$205^A16,IF(A16='Données projet'!$A$36,'Données projet'!$B$36,N15+M16-V15)))</f>
        <v>30.56827402780376</v>
      </c>
      <c r="O16" s="14">
        <f>N16*VLOOKUP('Données projet'!$B$9,Paramètres!$A$1:$I$89,3,0)*VLOOKUP('Données projet'!$B$9,Paramètres!$A$1:$I$89,5,0)</f>
        <v>17.087665181542302</v>
      </c>
      <c r="P16" s="14">
        <f t="shared" si="33"/>
        <v>5.6591410869627277</v>
      </c>
      <c r="Q16" s="22">
        <f t="shared" si="2"/>
        <v>39.617354250979595</v>
      </c>
      <c r="R16" s="62">
        <f t="shared" si="0"/>
        <v>312.17290980653513</v>
      </c>
      <c r="S16" s="62">
        <f ca="1">AVERAGE(OFFSET($R$3,0,0,'Données projet'!$E$9+1,1))-AVERAGE(OFFSET($H$3,0,0,'Données projet'!$E$9+1,1))</f>
        <v>323.98185264074681</v>
      </c>
      <c r="T16" s="62">
        <f t="shared" si="34"/>
        <v>301.22207291854005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2.3805128205128203</v>
      </c>
      <c r="AI16" s="14">
        <f>IF('Données projet'!$A$62&gt;35,AI15+AH16-AQ15,IF(A16&lt;'Données projet'!$A$62,$AF$205^A16,IF(A16='Données projet'!$A$62,'Données projet'!$B$62,AI15+AH16-AQ15)))</f>
        <v>22.168018709081991</v>
      </c>
      <c r="AJ16" s="14">
        <f>AI16*VLOOKUP('Données projet'!$B$10,Paramètres!$A$1:$I$89,3,0)*VLOOKUP('Données projet'!$B$10,Paramètres!$A$1:$I$89,5,0)</f>
        <v>13.256475188031033</v>
      </c>
      <c r="AK16" s="14">
        <f t="shared" si="35"/>
        <v>4.5219890003242735</v>
      </c>
      <c r="AL16" s="22">
        <f t="shared" si="4"/>
        <v>30.964158461385495</v>
      </c>
      <c r="AM16" s="62">
        <f t="shared" si="5"/>
        <v>303.51971401694107</v>
      </c>
      <c r="AN16" s="62">
        <f ca="1">AVERAGE(OFFSET($AM$3,0,0,'Données projet'!$E$10+1,1))-AVERAGE(OFFSET($H$3,0,0,'Données projet'!$E$10+1,1))</f>
        <v>289.12367833861299</v>
      </c>
      <c r="AO16" s="62">
        <f t="shared" si="36"/>
        <v>229.06617320689003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2.1</v>
      </c>
      <c r="BD16" s="13">
        <f>IF('Données projet'!$A$88&gt;35,BD15+BC16-BL15,IF(A16&lt;'Données projet'!$A$88,$BA$205^A16,IF(A16='Données projet'!$A$88,'Données projet'!$B$88,BD15+BC16-BL15)))</f>
        <v>11.35303662145153</v>
      </c>
      <c r="BE16" s="14">
        <f>BD16*VLOOKUP('Données projet'!$B$11,Paramètres!$A$1:$I$89,3,0)*VLOOKUP('Données projet'!$B$11,Paramètres!$A$1:$I$89,5,0)</f>
        <v>10.272227535089344</v>
      </c>
      <c r="BF16" s="14">
        <f t="shared" si="37"/>
        <v>3.6095987912522753</v>
      </c>
      <c r="BG16" s="22">
        <f t="shared" si="7"/>
        <v>24.177514185044988</v>
      </c>
      <c r="BH16" s="62">
        <f t="shared" si="8"/>
        <v>296.73306974060051</v>
      </c>
      <c r="BI16" s="62">
        <f ca="1">AVERAGE(OFFSET($BH$3,0,0,'Données projet'!$E$11+1,1))-AVERAGE(OFFSET($H$3,0,0,'Données projet'!$E$11+1,1))</f>
        <v>428.8489304403459</v>
      </c>
      <c r="BJ16" s="62">
        <f t="shared" si="38"/>
        <v>247.01165577562966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2.4666666666666668</v>
      </c>
      <c r="BY16" s="13">
        <f>IF('Données projet'!$A$114&gt;35,BY15+BX16-CG15,IF(A16&lt;'Données projet'!$A$114,$BV$205^A16,IF(A16='Données projet'!$A$114,'Données projet'!$B$114,BY15+BX16-CG15)))</f>
        <v>22.86168101684942</v>
      </c>
      <c r="BZ16" s="14">
        <f>BY16*VLOOKUP('Données projet'!$B$12,Paramètres!$A$1:$I$89,3,0)*VLOOKUP('Données projet'!$B$12,Paramètres!$A$1:$I$89,5,0)</f>
        <v>16.762184521553994</v>
      </c>
      <c r="CA16" s="14">
        <f t="shared" si="39"/>
        <v>5.5637883164619248</v>
      </c>
      <c r="CB16" s="22">
        <f t="shared" si="10"/>
        <v>38.884402692877721</v>
      </c>
      <c r="CC16" s="62">
        <f t="shared" si="11"/>
        <v>311.43995824843324</v>
      </c>
      <c r="CD16" s="62">
        <f ca="1">AVERAGE(OFFSET($CC$3,0,0,'Données projet'!$E$12+1,1))-AVERAGE(OFFSET($H$3,0,0,'Données projet'!$E$12+1,1))</f>
        <v>290.85271051443431</v>
      </c>
      <c r="CE16" s="62">
        <f t="shared" si="40"/>
        <v>318.66958823451142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2.6666666666666665</v>
      </c>
      <c r="CT16" s="13">
        <f>IF('Données projet'!$A$140&gt;35,CT15+CS16-DB15,IF(A16&lt;'Données projet'!$A$140,$CQ$205^A16,IF(A16='Données projet'!$A$140,'Données projet'!$B$140,CT15+CS16-DB15)))</f>
        <v>24.459748796430759</v>
      </c>
      <c r="CU16" s="18">
        <f>CT16*VLOOKUP('Données projet'!$B$13,Paramètres!$A$1:$I$89,3,0)*VLOOKUP('Données projet'!$B$13,Paramètres!$A$1:$I$89,5,0)</f>
        <v>19.078604061215994</v>
      </c>
      <c r="CV16" s="14">
        <f t="shared" si="41"/>
        <v>6.2379664748280286</v>
      </c>
      <c r="CW16" s="22">
        <f t="shared" si="13"/>
        <v>44.093027016943331</v>
      </c>
      <c r="CX16" s="62">
        <f t="shared" si="14"/>
        <v>316.64858257249887</v>
      </c>
      <c r="CY16" s="62">
        <f ca="1">AVERAGE(OFFSET($CX$3,0,0,'Données projet'!$E$13+1,1))-AVERAGE(OFFSET($H$3,0,0,'Données projet'!$E$13+1,1))</f>
        <v>292.57482726862594</v>
      </c>
      <c r="CZ16" s="62">
        <f t="shared" si="42"/>
        <v>283.48738729114024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2.4666666666666668</v>
      </c>
      <c r="DO16" s="13">
        <f>IF('Données projet'!$A$166&gt;35,DO15+DN16-DW15,IF(A16&lt;'Données projet'!$A$166,$DL$205^A16,IF(A16='Données projet'!$A$166,'Données projet'!$B$166,DO15+DN16-DW15)))</f>
        <v>22.86168101684942</v>
      </c>
      <c r="DP16" s="18">
        <f>DO16*VLOOKUP('Données projet'!$B$14,Paramètres!$A$1:$I$89,3,0)*VLOOKUP('Données projet'!$B$14,Paramètres!$A$1:$I$89,5,0)</f>
        <v>18.188753417005401</v>
      </c>
      <c r="DQ16" s="14">
        <f t="shared" si="43"/>
        <v>5.9801756254374139</v>
      </c>
      <c r="DR16" s="22">
        <f t="shared" si="16"/>
        <v>42.094218082254564</v>
      </c>
      <c r="DS16" s="62">
        <f t="shared" si="17"/>
        <v>314.64977363781009</v>
      </c>
      <c r="DT16" s="62">
        <f ca="1">AVERAGE(OFFSET($DS$3,0,0,'Données projet'!$E$14+1,1))-AVERAGE(OFFSET($H$3,0,0,'Données projet'!$E$14+1,1))</f>
        <v>312.53381881960331</v>
      </c>
      <c r="DU16" s="62">
        <f t="shared" si="44"/>
        <v>342.06887933351783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2.4358974358974361</v>
      </c>
      <c r="EJ16" s="13">
        <f>IF('Données projet'!$A$192&gt;35,EJ15+EI16-ER15,IF(A16&lt;'Données projet'!$A$192,$EG$205^A16,IF(A16='Données projet'!$A$192,'Données projet'!$B$192,EJ15+EI16-ER15)))</f>
        <v>22.614321200613873</v>
      </c>
      <c r="EK16" s="18">
        <f>EJ16*VLOOKUP('Données projet'!$B$15,Paramètres!$A$1:$I$89,3,0)*VLOOKUP('Données projet'!$B$15,Paramètres!$A$1:$I$89,5,0)</f>
        <v>21.519788054504161</v>
      </c>
      <c r="EL16" s="14">
        <f t="shared" si="45"/>
        <v>6.9382143454892127</v>
      </c>
      <c r="EM16" s="22">
        <f t="shared" si="19"/>
        <v>49.564354179988463</v>
      </c>
      <c r="EN16" s="62">
        <f t="shared" si="20"/>
        <v>322.11990973554401</v>
      </c>
      <c r="EO16" s="62">
        <f ca="1">AVERAGE(OFFSET($EN$3,0,0,'Données projet'!$E$15+1,1))-AVERAGE(OFFSET($H$3,0,0,'Données projet'!$E$15+1,1))</f>
        <v>363.37916970915211</v>
      </c>
      <c r="EP16" s="62">
        <f t="shared" si="46"/>
        <v>281.52963027844595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3.4425641025641025</v>
      </c>
      <c r="FE16" s="13">
        <f>IF('Données projet'!$A$218&gt;35,FE15+FD16-FM15,IF(A16&lt;'Données projet'!$A$218,$FB$205^A16,IF(A16='Données projet'!$A$218,'Données projet'!$B$218,FE15+FD16-FM15)))</f>
        <v>7.459930119048451</v>
      </c>
      <c r="FF16" s="18">
        <f>FE16*VLOOKUP('Données projet'!$B$16,Paramètres!$A$1:$I$89,3,0)*VLOOKUP('Données projet'!$B$16,Paramètres!$A$1:$I$89,5,0)</f>
        <v>3.4912472957146754</v>
      </c>
      <c r="FG16" s="14">
        <f t="shared" si="47"/>
        <v>1.3910083400895945</v>
      </c>
      <c r="FH16" s="22">
        <f t="shared" si="22"/>
        <v>8.5032618990257713</v>
      </c>
      <c r="FI16" s="62">
        <f t="shared" si="23"/>
        <v>281.05881745458129</v>
      </c>
      <c r="FJ16" s="62">
        <f ca="1">AVERAGE(OFFSET($FI$3,0,0,'Données projet'!$E$16+1,1))-AVERAGE(OFFSET($H$3,0,0,'Données projet'!$E$16+1,1))</f>
        <v>245.47494516762282</v>
      </c>
      <c r="FK16" s="62">
        <f t="shared" si="48"/>
        <v>145.54897745089966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2.1</v>
      </c>
      <c r="FZ16" s="13">
        <f>IF('Données projet'!$A$244&gt;35,FZ15+FY16-GH15,IF(A16&lt;'Données projet'!$A$244,$FW$205^A16,IF(A16='Données projet'!$A$244,'Données projet'!$B$244,FZ15+FY16-GH15)))</f>
        <v>11.35303662145153</v>
      </c>
      <c r="GA16" s="18">
        <f>FZ16*VLOOKUP('Données projet'!$B$17,Paramètres!$A$1:$I$89,3,0)*VLOOKUP('Données projet'!$B$17,Paramètres!$A$1:$I$89,5,0)</f>
        <v>10.98065702026792</v>
      </c>
      <c r="GB16" s="14">
        <f t="shared" si="49"/>
        <v>3.8286992592655618</v>
      </c>
      <c r="GC16" s="22">
        <f t="shared" si="25"/>
        <v>25.792962186854144</v>
      </c>
      <c r="GD16" s="62">
        <f t="shared" si="26"/>
        <v>298.34851774240968</v>
      </c>
      <c r="GE16" s="62">
        <f ca="1">AVERAGE(OFFSET($GD$3,0,0,'Données projet'!$E$17+1,1))-AVERAGE(OFFSET($H$3,0,0,'Données projet'!$E$17+1,1))</f>
        <v>455.50822833641354</v>
      </c>
      <c r="GF16" s="62">
        <f t="shared" si="50"/>
        <v>261.14722581688039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3.3333333333333335</v>
      </c>
      <c r="GU16" s="13">
        <f>IF('Données projet'!$A$270&gt;35,GU15+GT16-HC15,IF(A16&lt;'Données projet'!$A$270,$GR$205^A16,IF(A16='Données projet'!$A$270,'Données projet'!$B$270,GU15+GT16-HC15)))</f>
        <v>29.678412748283769</v>
      </c>
      <c r="GV16" s="18">
        <f>GU16*VLOOKUP('Données projet'!$B$18,Paramètres!$A$1:$I$89,3,0)*VLOOKUP('Données projet'!$B$18,Paramètres!$A$1:$I$89,5,0)</f>
        <v>19.90827927154875</v>
      </c>
      <c r="GW16" s="14">
        <f t="shared" si="51"/>
        <v>6.4770651239957129</v>
      </c>
      <c r="GX16" s="22">
        <f t="shared" si="28"/>
        <v>45.954474822239945</v>
      </c>
      <c r="GY16" s="62">
        <f t="shared" si="29"/>
        <v>318.51003037779549</v>
      </c>
      <c r="GZ16" s="62">
        <f ca="1">AVERAGE(OFFSET($GY$3,0,0,'Données projet'!$E$18+1,1))-AVERAGE(OFFSET($H$3,0,0,'Données projet'!$E$18+1,1))</f>
        <v>312.06797204903796</v>
      </c>
      <c r="HA16" s="62">
        <f t="shared" si="52"/>
        <v>258.20189001775151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</row>
    <row r="17" spans="1:218" s="5" customFormat="1" x14ac:dyDescent="0.25">
      <c r="A17" s="11">
        <f t="shared" si="31"/>
        <v>14</v>
      </c>
      <c r="B17" s="76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9">
        <f t="shared" si="1"/>
        <v>256.66666666666669</v>
      </c>
      <c r="I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7.7987854251012134</v>
      </c>
      <c r="N17" s="14">
        <f>IF('Données projet'!$A$36&gt;35,N16+M17-V16,IF(A17&lt;'Données projet'!$A$36,$K$205^A17,IF(A17='Données projet'!$A$36,'Données projet'!$B$36,N16+M17-V16)))</f>
        <v>39.766972318234998</v>
      </c>
      <c r="O17" s="14">
        <f>N17*VLOOKUP('Données projet'!$B$9,Paramètres!$A$1:$I$89,3,0)*VLOOKUP('Données projet'!$B$9,Paramètres!$A$1:$I$89,5,0)</f>
        <v>22.229737525893363</v>
      </c>
      <c r="P17" s="14">
        <f t="shared" si="33"/>
        <v>7.1400827186834128</v>
      </c>
      <c r="Q17" s="22">
        <f t="shared" si="2"/>
        <v>51.152436925971216</v>
      </c>
      <c r="R17" s="62">
        <f t="shared" si="0"/>
        <v>324.93021470374902</v>
      </c>
      <c r="S17" s="62">
        <f ca="1">AVERAGE(OFFSET($R$3,0,0,'Données projet'!$E$9+1,1))-AVERAGE(OFFSET($H$3,0,0,'Données projet'!$E$9+1,1))</f>
        <v>323.98185264074681</v>
      </c>
      <c r="T17" s="62">
        <f t="shared" si="34"/>
        <v>301.22207291854005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2.3805128205128203</v>
      </c>
      <c r="AI17" s="14">
        <f>IF('Données projet'!$A$62&gt;35,AI16+AH17-AQ16,IF(A17&lt;'Données projet'!$A$62,$AF$205^A17,IF(A17='Données projet'!$A$62,'Données projet'!$B$62,AI16+AH17-AQ16)))</f>
        <v>28.134832345956244</v>
      </c>
      <c r="AJ17" s="14">
        <f>AI17*VLOOKUP('Données projet'!$B$10,Paramètres!$A$1:$I$89,3,0)*VLOOKUP('Données projet'!$B$10,Paramètres!$A$1:$I$89,5,0)</f>
        <v>16.824629742881836</v>
      </c>
      <c r="AK17" s="14">
        <f t="shared" si="35"/>
        <v>5.5820988439469144</v>
      </c>
      <c r="AL17" s="22">
        <f t="shared" si="4"/>
        <v>39.025052288726734</v>
      </c>
      <c r="AM17" s="62">
        <f t="shared" si="5"/>
        <v>312.8028300665045</v>
      </c>
      <c r="AN17" s="62">
        <f ca="1">AVERAGE(OFFSET($AM$3,0,0,'Données projet'!$E$10+1,1))-AVERAGE(OFFSET($H$3,0,0,'Données projet'!$E$10+1,1))</f>
        <v>289.12367833861299</v>
      </c>
      <c r="AO17" s="62">
        <f t="shared" si="36"/>
        <v>229.06617320689003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2.1</v>
      </c>
      <c r="BD17" s="13">
        <f>IF('Données projet'!$A$88&gt;35,BD16+BC17-BL16,IF(A17&lt;'Données projet'!$A$88,$BA$205^A17,IF(A17='Données projet'!$A$88,'Données projet'!$B$88,BD16+BC17-BL16)))</f>
        <v>13.685935953338433</v>
      </c>
      <c r="BE17" s="14">
        <f>BD17*VLOOKUP('Données projet'!$B$11,Paramètres!$A$1:$I$89,3,0)*VLOOKUP('Données projet'!$B$11,Paramètres!$A$1:$I$89,5,0)</f>
        <v>12.383034850580612</v>
      </c>
      <c r="BF17" s="14">
        <f t="shared" si="37"/>
        <v>4.2576904771143838</v>
      </c>
      <c r="BG17" s="22">
        <f t="shared" si="7"/>
        <v>28.982596612402116</v>
      </c>
      <c r="BH17" s="62">
        <f t="shared" si="8"/>
        <v>302.76037439017989</v>
      </c>
      <c r="BI17" s="62">
        <f ca="1">AVERAGE(OFFSET($BH$3,0,0,'Données projet'!$E$11+1,1))-AVERAGE(OFFSET($H$3,0,0,'Données projet'!$E$11+1,1))</f>
        <v>428.8489304403459</v>
      </c>
      <c r="BJ17" s="62">
        <f t="shared" si="38"/>
        <v>247.01165577562966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2.4666666666666668</v>
      </c>
      <c r="BY17" s="13">
        <f>IF('Données projet'!$A$114&gt;35,BY16+BX17-CG16,IF(A17&lt;'Données projet'!$A$114,$BV$205^A17,IF(A17='Données projet'!$A$114,'Données projet'!$B$114,BY16+BX17-CG16)))</f>
        <v>29.084054009429774</v>
      </c>
      <c r="BZ17" s="14">
        <f>BY17*VLOOKUP('Données projet'!$B$12,Paramètres!$A$1:$I$89,3,0)*VLOOKUP('Données projet'!$B$12,Paramètres!$A$1:$I$89,5,0)</f>
        <v>21.324428399713909</v>
      </c>
      <c r="CA17" s="14">
        <f t="shared" si="39"/>
        <v>6.8825303376831179</v>
      </c>
      <c r="CB17" s="22">
        <f t="shared" si="10"/>
        <v>49.127119800966483</v>
      </c>
      <c r="CC17" s="62">
        <f t="shared" si="11"/>
        <v>322.90489757874423</v>
      </c>
      <c r="CD17" s="62">
        <f ca="1">AVERAGE(OFFSET($CC$3,0,0,'Données projet'!$E$12+1,1))-AVERAGE(OFFSET($H$3,0,0,'Données projet'!$E$12+1,1))</f>
        <v>290.85271051443431</v>
      </c>
      <c r="CE17" s="62">
        <f t="shared" si="40"/>
        <v>318.66958823451142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2.6666666666666665</v>
      </c>
      <c r="CT17" s="13">
        <f>IF('Données projet'!$A$140&gt;35,CT16+CS17-DB16,IF(A17&lt;'Données projet'!$A$140,$CQ$205^A17,IF(A17='Données projet'!$A$140,'Données projet'!$B$140,CT16+CS17-DB16)))</f>
        <v>31.279225563578599</v>
      </c>
      <c r="CU17" s="18">
        <f>CT17*VLOOKUP('Données projet'!$B$13,Paramètres!$A$1:$I$89,3,0)*VLOOKUP('Données projet'!$B$13,Paramètres!$A$1:$I$89,5,0)</f>
        <v>24.397795939591308</v>
      </c>
      <c r="CV17" s="14">
        <f t="shared" si="41"/>
        <v>7.75202295846145</v>
      </c>
      <c r="CW17" s="22">
        <f t="shared" si="13"/>
        <v>55.994267914108548</v>
      </c>
      <c r="CX17" s="62">
        <f t="shared" si="14"/>
        <v>329.77204569188632</v>
      </c>
      <c r="CY17" s="62">
        <f ca="1">AVERAGE(OFFSET($CX$3,0,0,'Données projet'!$E$13+1,1))-AVERAGE(OFFSET($H$3,0,0,'Données projet'!$E$13+1,1))</f>
        <v>292.57482726862594</v>
      </c>
      <c r="CZ17" s="62">
        <f t="shared" si="42"/>
        <v>283.48738729114024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2.4666666666666668</v>
      </c>
      <c r="DO17" s="13">
        <f>IF('Données projet'!$A$166&gt;35,DO16+DN17-DW16,IF(A17&lt;'Données projet'!$A$166,$DL$205^A17,IF(A17='Données projet'!$A$166,'Données projet'!$B$166,DO16+DN17-DW16)))</f>
        <v>29.084054009429774</v>
      </c>
      <c r="DP17" s="18">
        <f>DO17*VLOOKUP('Données projet'!$B$14,Paramètres!$A$1:$I$89,3,0)*VLOOKUP('Données projet'!$B$14,Paramètres!$A$1:$I$89,5,0)</f>
        <v>23.13927336990233</v>
      </c>
      <c r="DQ17" s="14">
        <f t="shared" si="43"/>
        <v>7.3976107331343286</v>
      </c>
      <c r="DR17" s="22">
        <f t="shared" si="16"/>
        <v>53.185073146122171</v>
      </c>
      <c r="DS17" s="62">
        <f t="shared" si="17"/>
        <v>326.96285092389996</v>
      </c>
      <c r="DT17" s="62">
        <f ca="1">AVERAGE(OFFSET($DS$3,0,0,'Données projet'!$E$14+1,1))-AVERAGE(OFFSET($H$3,0,0,'Données projet'!$E$14+1,1))</f>
        <v>312.53381881960331</v>
      </c>
      <c r="DU17" s="62">
        <f t="shared" si="44"/>
        <v>342.06887933351783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2.4358974358974361</v>
      </c>
      <c r="EJ17" s="13">
        <f>IF('Données projet'!$A$192&gt;35,EJ16+EI17-ER16,IF(A17&lt;'Données projet'!$A$192,$EG$205^A17,IF(A17='Données projet'!$A$192,'Données projet'!$B$192,EJ16+EI17-ER16)))</f>
        <v>28.745304058350921</v>
      </c>
      <c r="EK17" s="18">
        <f>EJ17*VLOOKUP('Données projet'!$B$15,Paramètres!$A$1:$I$89,3,0)*VLOOKUP('Données projet'!$B$15,Paramètres!$A$1:$I$89,5,0)</f>
        <v>27.354031341926738</v>
      </c>
      <c r="EL17" s="14">
        <f t="shared" si="45"/>
        <v>8.5763820870506962</v>
      </c>
      <c r="EM17" s="22">
        <f t="shared" si="19"/>
        <v>62.578803388802356</v>
      </c>
      <c r="EN17" s="62">
        <f t="shared" si="20"/>
        <v>336.3565811665801</v>
      </c>
      <c r="EO17" s="62">
        <f ca="1">AVERAGE(OFFSET($EN$3,0,0,'Données projet'!$E$15+1,1))-AVERAGE(OFFSET($H$3,0,0,'Données projet'!$E$15+1,1))</f>
        <v>363.37916970915211</v>
      </c>
      <c r="EP17" s="62">
        <f t="shared" si="46"/>
        <v>281.52963027844595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3.4425641025641025</v>
      </c>
      <c r="FE17" s="13">
        <f>IF('Données projet'!$A$218&gt;35,FE16+FD17-FM16,IF(A17&lt;'Données projet'!$A$218,$FB$205^A17,IF(A17='Données projet'!$A$218,'Données projet'!$B$218,FE16+FD17-FM16)))</f>
        <v>8.7069931392376674</v>
      </c>
      <c r="FF17" s="18">
        <f>FE17*VLOOKUP('Données projet'!$B$16,Paramètres!$A$1:$I$89,3,0)*VLOOKUP('Données projet'!$B$16,Paramètres!$A$1:$I$89,5,0)</f>
        <v>4.0748727891632281</v>
      </c>
      <c r="FG17" s="14">
        <f t="shared" si="47"/>
        <v>1.5945892948181934</v>
      </c>
      <c r="FH17" s="22">
        <f t="shared" si="22"/>
        <v>9.8743131296009761</v>
      </c>
      <c r="FI17" s="62">
        <f t="shared" si="23"/>
        <v>283.65209090737875</v>
      </c>
      <c r="FJ17" s="62">
        <f ca="1">AVERAGE(OFFSET($FI$3,0,0,'Données projet'!$E$16+1,1))-AVERAGE(OFFSET($H$3,0,0,'Données projet'!$E$16+1,1))</f>
        <v>245.47494516762282</v>
      </c>
      <c r="FK17" s="62">
        <f t="shared" si="48"/>
        <v>145.54897745089966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2.1</v>
      </c>
      <c r="FZ17" s="13">
        <f>IF('Données projet'!$A$244&gt;35,FZ16+FY17-GH16,IF(A17&lt;'Données projet'!$A$244,$FW$205^A17,IF(A17='Données projet'!$A$244,'Données projet'!$B$244,FZ16+FY17-GH16)))</f>
        <v>13.685935953338433</v>
      </c>
      <c r="GA17" s="18">
        <f>FZ17*VLOOKUP('Données projet'!$B$17,Paramètres!$A$1:$I$89,3,0)*VLOOKUP('Données projet'!$B$17,Paramètres!$A$1:$I$89,5,0)</f>
        <v>13.237037254068934</v>
      </c>
      <c r="GB17" s="14">
        <f t="shared" si="49"/>
        <v>4.5161297192961545</v>
      </c>
      <c r="GC17" s="22">
        <f t="shared" si="25"/>
        <v>30.920099145277529</v>
      </c>
      <c r="GD17" s="62">
        <f t="shared" si="26"/>
        <v>304.69787692305528</v>
      </c>
      <c r="GE17" s="62">
        <f ca="1">AVERAGE(OFFSET($GD$3,0,0,'Données projet'!$E$17+1,1))-AVERAGE(OFFSET($H$3,0,0,'Données projet'!$E$17+1,1))</f>
        <v>455.50822833641354</v>
      </c>
      <c r="GF17" s="62">
        <f t="shared" si="50"/>
        <v>261.14722581688039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3.3333333333333335</v>
      </c>
      <c r="GU17" s="13">
        <f>IF('Données projet'!$A$270&gt;35,GU16+GT17-HC16,IF(A17&lt;'Données projet'!$A$270,$GR$205^A17,IF(A17='Données projet'!$A$270,'Données projet'!$B$270,GU16+GT17-HC16)))</f>
        <v>38.521690479704915</v>
      </c>
      <c r="GV17" s="18">
        <f>GU17*VLOOKUP('Données projet'!$B$18,Paramètres!$A$1:$I$89,3,0)*VLOOKUP('Données projet'!$B$18,Paramètres!$A$1:$I$89,5,0)</f>
        <v>25.840349973786058</v>
      </c>
      <c r="GW17" s="14">
        <f t="shared" si="51"/>
        <v>8.1556564542120462</v>
      </c>
      <c r="GX17" s="22">
        <f t="shared" si="28"/>
        <v>59.209711195430032</v>
      </c>
      <c r="GY17" s="62">
        <f t="shared" si="29"/>
        <v>332.9874889732078</v>
      </c>
      <c r="GZ17" s="62">
        <f ca="1">AVERAGE(OFFSET($GY$3,0,0,'Données projet'!$E$18+1,1))-AVERAGE(OFFSET($H$3,0,0,'Données projet'!$E$18+1,1))</f>
        <v>312.06797204903796</v>
      </c>
      <c r="HA17" s="62">
        <f t="shared" si="52"/>
        <v>258.20189001775151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</row>
    <row r="18" spans="1:218" s="5" customFormat="1" x14ac:dyDescent="0.25">
      <c r="A18" s="11">
        <f t="shared" si="31"/>
        <v>15</v>
      </c>
      <c r="B18" s="76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9">
        <f t="shared" si="1"/>
        <v>256.66666666666669</v>
      </c>
      <c r="I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7.7987854251012134</v>
      </c>
      <c r="N18" s="14">
        <f>IF('Données projet'!$A$36&gt;35,N17+M18-V17,IF(A18&lt;'Données projet'!$A$36,$K$205^A18,IF(A18='Données projet'!$A$36,'Données projet'!$B$36,N17+M18-V17)))</f>
        <v>51.73377096531113</v>
      </c>
      <c r="O18" s="14">
        <f>N18*VLOOKUP('Données projet'!$B$9,Paramètres!$A$1:$I$89,3,0)*VLOOKUP('Données projet'!$B$9,Paramètres!$A$1:$I$89,5,0)</f>
        <v>28.919177969608924</v>
      </c>
      <c r="P18" s="14">
        <f t="shared" si="33"/>
        <v>9.0085722278754812</v>
      </c>
      <c r="Q18" s="22">
        <f t="shared" si="2"/>
        <v>66.057498260618672</v>
      </c>
      <c r="R18" s="62">
        <f t="shared" si="0"/>
        <v>341.05749826061867</v>
      </c>
      <c r="S18" s="62">
        <f ca="1">AVERAGE(OFFSET($R$3,0,0,'Données projet'!$E$9+1,1))-AVERAGE(OFFSET($H$3,0,0,'Données projet'!$E$9+1,1))</f>
        <v>323.98185264074681</v>
      </c>
      <c r="T18" s="62">
        <f t="shared" si="34"/>
        <v>301.22207291854005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35.707692307692305</v>
      </c>
      <c r="AG18" s="13">
        <f>VLOOKUP(A18,'Données projet'!$A$61:$I$81,9,0)</f>
        <v>2.3805128205128203</v>
      </c>
      <c r="AH18" s="13">
        <f t="array" ref="AH18">INDEX(AG:AG,MIN(IF(ISNUMBER(AG18:AG214),ROW(AG18:AG214),"")))</f>
        <v>2.3805128205128203</v>
      </c>
      <c r="AI18" s="14">
        <f>IF('Données projet'!$A$62&gt;35,AI17+AH18-AQ17,IF(A18&lt;'Données projet'!$A$62,$AF$205^A18,IF(A18='Données projet'!$A$62,'Données projet'!$B$62,AI17+AH18-AQ17)))</f>
        <v>35.707692307692305</v>
      </c>
      <c r="AJ18" s="14">
        <f>AI18*VLOOKUP('Données projet'!$B$10,Paramètres!$A$1:$I$89,3,0)*VLOOKUP('Données projet'!$B$10,Paramètres!$A$1:$I$89,5,0)</f>
        <v>21.353200000000001</v>
      </c>
      <c r="AK18" s="14">
        <f t="shared" si="35"/>
        <v>6.8907349180546449</v>
      </c>
      <c r="AL18" s="22">
        <f t="shared" si="4"/>
        <v>49.1915199822785</v>
      </c>
      <c r="AM18" s="62">
        <f t="shared" si="5"/>
        <v>324.19151998227852</v>
      </c>
      <c r="AN18" s="62">
        <f ca="1">AVERAGE(OFFSET($AM$3,0,0,'Données projet'!$E$10+1,1))-AVERAGE(OFFSET($H$3,0,0,'Données projet'!$E$10+1,1))</f>
        <v>289.12367833861299</v>
      </c>
      <c r="AO18" s="62">
        <f t="shared" si="36"/>
        <v>229.06617320689003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2.1</v>
      </c>
      <c r="BD18" s="13">
        <f>IF('Données projet'!$A$88&gt;35,BD17+BC18-BL17,IF(A18&lt;'Données projet'!$A$88,$BA$205^A18,IF(A18='Données projet'!$A$88,'Données projet'!$B$88,BD17+BC18-BL17)))</f>
        <v>16.498215337821566</v>
      </c>
      <c r="BE18" s="14">
        <f>BD18*VLOOKUP('Données projet'!$B$11,Paramètres!$A$1:$I$89,3,0)*VLOOKUP('Données projet'!$B$11,Paramètres!$A$1:$I$89,5,0)</f>
        <v>14.927585237660953</v>
      </c>
      <c r="BF18" s="14">
        <f t="shared" si="37"/>
        <v>5.0221449106318534</v>
      </c>
      <c r="BG18" s="22">
        <f t="shared" si="7"/>
        <v>34.745780008276633</v>
      </c>
      <c r="BH18" s="62">
        <f t="shared" si="8"/>
        <v>309.74578000827665</v>
      </c>
      <c r="BI18" s="62">
        <f ca="1">AVERAGE(OFFSET($BH$3,0,0,'Données projet'!$E$11+1,1))-AVERAGE(OFFSET($H$3,0,0,'Données projet'!$E$11+1,1))</f>
        <v>428.8489304403459</v>
      </c>
      <c r="BJ18" s="62">
        <f t="shared" si="38"/>
        <v>247.01165577562966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37</v>
      </c>
      <c r="BW18" s="13">
        <f>VLOOKUP(A18,'Données projet'!$A$113:$I$133,9,0)</f>
        <v>2.4666666666666668</v>
      </c>
      <c r="BX18" s="13">
        <f t="array" ref="BX18">INDEX(BW:BW,MIN(IF(ISNUMBER(BW18:BW214),ROW(BW18:BW214),"")))</f>
        <v>2.4666666666666668</v>
      </c>
      <c r="BY18" s="13">
        <f>IF('Données projet'!$A$114&gt;35,BY17+BX18-CG17,IF(A18&lt;'Données projet'!$A$114,$BV$205^A18,IF(A18='Données projet'!$A$114,'Données projet'!$B$114,BY17+BX18-CG17)))</f>
        <v>37</v>
      </c>
      <c r="BZ18" s="14">
        <f>BY18*VLOOKUP('Données projet'!$B$12,Paramètres!$A$1:$I$89,3,0)*VLOOKUP('Données projet'!$B$12,Paramètres!$A$1:$I$89,5,0)</f>
        <v>27.128400000000003</v>
      </c>
      <c r="CA18" s="14">
        <f t="shared" si="39"/>
        <v>8.5138436537878839</v>
      </c>
      <c r="CB18" s="22">
        <f t="shared" si="10"/>
        <v>62.076907697013901</v>
      </c>
      <c r="CC18" s="62">
        <f t="shared" si="11"/>
        <v>337.07690769701389</v>
      </c>
      <c r="CD18" s="62">
        <f ca="1">AVERAGE(OFFSET($CC$3,0,0,'Données projet'!$E$12+1,1))-AVERAGE(OFFSET($H$3,0,0,'Données projet'!$E$12+1,1))</f>
        <v>290.85271051443431</v>
      </c>
      <c r="CE18" s="62">
        <f t="shared" si="40"/>
        <v>318.66958823451142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40</v>
      </c>
      <c r="CR18" s="13">
        <f>VLOOKUP(A18,'Données projet'!$A$139:$I$159,9,0)</f>
        <v>2.6666666666666665</v>
      </c>
      <c r="CS18" s="13">
        <f t="array" ref="CS18">INDEX(CR:CR,MIN(IF(ISNUMBER(CR18:CR214),ROW(CR18:CR214),"")))</f>
        <v>2.6666666666666665</v>
      </c>
      <c r="CT18" s="13">
        <f>IF('Données projet'!$A$140&gt;35,CT17+CS18-DB17,IF(A18&lt;'Données projet'!$A$140,$CQ$205^A18,IF(A18='Données projet'!$A$140,'Données projet'!$B$140,CT17+CS18-DB17)))</f>
        <v>40</v>
      </c>
      <c r="CU18" s="18">
        <f>CT18*VLOOKUP('Données projet'!$B$13,Paramètres!$A$1:$I$89,3,0)*VLOOKUP('Données projet'!$B$13,Paramètres!$A$1:$I$89,5,0)</f>
        <v>31.200000000000003</v>
      </c>
      <c r="CV18" s="14">
        <f t="shared" si="41"/>
        <v>9.6335657126419925</v>
      </c>
      <c r="CW18" s="22">
        <f t="shared" si="13"/>
        <v>71.118460282851473</v>
      </c>
      <c r="CX18" s="62">
        <f t="shared" si="14"/>
        <v>346.11846028285146</v>
      </c>
      <c r="CY18" s="62">
        <f ca="1">AVERAGE(OFFSET($CX$3,0,0,'Données projet'!$E$13+1,1))-AVERAGE(OFFSET($H$3,0,0,'Données projet'!$E$13+1,1))</f>
        <v>292.57482726862594</v>
      </c>
      <c r="CZ18" s="62">
        <f t="shared" si="42"/>
        <v>283.48738729114024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37</v>
      </c>
      <c r="DM18" s="13">
        <f>VLOOKUP(A18,'Données projet'!$A$165:$I$185,9,0)</f>
        <v>2.4666666666666668</v>
      </c>
      <c r="DN18" s="13">
        <f t="array" ref="DN18">INDEX(DM:DM,MIN(IF(ISNUMBER(DM18:DM214),ROW(DM18:DM214),"")))</f>
        <v>2.4666666666666668</v>
      </c>
      <c r="DO18" s="13">
        <f>IF('Données projet'!$A$166&gt;35,DO17+DN18-DW17,IF(A18&lt;'Données projet'!$A$166,$DL$205^A18,IF(A18='Données projet'!$A$166,'Données projet'!$B$166,DO17+DN18-DW17)))</f>
        <v>37</v>
      </c>
      <c r="DP18" s="18">
        <f>DO18*VLOOKUP('Données projet'!$B$14,Paramètres!$A$1:$I$89,3,0)*VLOOKUP('Données projet'!$B$14,Paramètres!$A$1:$I$89,5,0)</f>
        <v>29.437200000000004</v>
      </c>
      <c r="DQ18" s="14">
        <f t="shared" si="43"/>
        <v>9.1510096001539196</v>
      </c>
      <c r="DR18" s="22">
        <f t="shared" si="16"/>
        <v>67.207798386934755</v>
      </c>
      <c r="DS18" s="62">
        <f t="shared" si="17"/>
        <v>342.20779838693477</v>
      </c>
      <c r="DT18" s="62">
        <f ca="1">AVERAGE(OFFSET($DS$3,0,0,'Données projet'!$E$14+1,1))-AVERAGE(OFFSET($H$3,0,0,'Données projet'!$E$14+1,1))</f>
        <v>312.53381881960331</v>
      </c>
      <c r="DU18" s="62">
        <f t="shared" si="44"/>
        <v>342.06887933351783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36.53846153846154</v>
      </c>
      <c r="EH18" s="13">
        <f>VLOOKUP(A18,'Données projet'!$A$191:$I$211,9,0)</f>
        <v>2.4358974358974361</v>
      </c>
      <c r="EI18" s="13">
        <f t="array" ref="EI18">INDEX(EH:EH,MIN(IF(ISNUMBER(EH18:EH214),ROW(EH18:EH214),"")))</f>
        <v>2.4358974358974361</v>
      </c>
      <c r="EJ18" s="13">
        <f>IF('Données projet'!$A$192&gt;35,EJ17+EI18-ER17,IF(A18&lt;'Données projet'!$A$192,$EG$205^A18,IF(A18='Données projet'!$A$192,'Données projet'!$B$192,EJ17+EI18-ER17)))</f>
        <v>36.53846153846154</v>
      </c>
      <c r="EK18" s="18">
        <f>EJ18*VLOOKUP('Données projet'!$B$15,Paramètres!$A$1:$I$89,3,0)*VLOOKUP('Données projet'!$B$15,Paramètres!$A$1:$I$89,5,0)</f>
        <v>34.770000000000003</v>
      </c>
      <c r="EL18" s="14">
        <f t="shared" si="45"/>
        <v>10.601334297333203</v>
      </c>
      <c r="EM18" s="22">
        <f t="shared" si="19"/>
        <v>79.021740567855332</v>
      </c>
      <c r="EN18" s="62">
        <f t="shared" si="20"/>
        <v>354.02174056785532</v>
      </c>
      <c r="EO18" s="62">
        <f ca="1">AVERAGE(OFFSET($EN$3,0,0,'Données projet'!$E$15+1,1))-AVERAGE(OFFSET($H$3,0,0,'Données projet'!$E$15+1,1))</f>
        <v>363.37916970915211</v>
      </c>
      <c r="EP18" s="62">
        <f t="shared" si="46"/>
        <v>281.52963027844595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3.4425641025641025</v>
      </c>
      <c r="FE18" s="13">
        <f>IF('Données projet'!$A$218&gt;35,FE17+FD18-FM17,IF(A18&lt;'Données projet'!$A$218,$FB$205^A18,IF(A18='Données projet'!$A$218,'Données projet'!$B$218,FE17+FD18-FM17)))</f>
        <v>10.162525428107084</v>
      </c>
      <c r="FF18" s="18">
        <f>FE18*VLOOKUP('Données projet'!$B$16,Paramètres!$A$1:$I$89,3,0)*VLOOKUP('Données projet'!$B$16,Paramètres!$A$1:$I$89,5,0)</f>
        <v>4.7560619003541156</v>
      </c>
      <c r="FG18" s="14">
        <f t="shared" si="47"/>
        <v>1.8279653298016947</v>
      </c>
      <c r="FH18" s="22">
        <f t="shared" si="22"/>
        <v>11.467180759188034</v>
      </c>
      <c r="FI18" s="62">
        <f t="shared" si="23"/>
        <v>286.46718075918801</v>
      </c>
      <c r="FJ18" s="62">
        <f ca="1">AVERAGE(OFFSET($FI$3,0,0,'Données projet'!$E$16+1,1))-AVERAGE(OFFSET($H$3,0,0,'Données projet'!$E$16+1,1))</f>
        <v>245.47494516762282</v>
      </c>
      <c r="FK18" s="62">
        <f t="shared" si="48"/>
        <v>145.54897745089966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2.1</v>
      </c>
      <c r="FZ18" s="13">
        <f>IF('Données projet'!$A$244&gt;35,FZ17+FY18-GH17,IF(A18&lt;'Données projet'!$A$244,$FW$205^A18,IF(A18='Données projet'!$A$244,'Données projet'!$B$244,FZ17+FY18-GH17)))</f>
        <v>16.498215337821566</v>
      </c>
      <c r="GA18" s="18">
        <f>FZ18*VLOOKUP('Données projet'!$B$17,Paramètres!$A$1:$I$89,3,0)*VLOOKUP('Données projet'!$B$17,Paramètres!$A$1:$I$89,5,0)</f>
        <v>15.957073874741019</v>
      </c>
      <c r="GB18" s="14">
        <f t="shared" si="49"/>
        <v>5.3269860755326848</v>
      </c>
      <c r="GC18" s="22">
        <f t="shared" si="25"/>
        <v>37.069737746726702</v>
      </c>
      <c r="GD18" s="62">
        <f t="shared" si="26"/>
        <v>312.06973774672667</v>
      </c>
      <c r="GE18" s="62">
        <f ca="1">AVERAGE(OFFSET($GD$3,0,0,'Données projet'!$E$17+1,1))-AVERAGE(OFFSET($H$3,0,0,'Données projet'!$E$17+1,1))</f>
        <v>455.50822833641354</v>
      </c>
      <c r="GF18" s="62">
        <f t="shared" si="50"/>
        <v>261.14722581688039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>
        <f>VLOOKUP(A18,'Données projet'!$A$269:$I$289,2,0)</f>
        <v>50</v>
      </c>
      <c r="GS18" s="13">
        <f>VLOOKUP(A18,'Données projet'!$A$269:$I$289,9,0)</f>
        <v>3.3333333333333335</v>
      </c>
      <c r="GT18" s="13">
        <f t="array" ref="GT18">INDEX(GS:GS,MIN(IF(ISNUMBER(GS18:GS214),ROW(GS18:GS214),"")))</f>
        <v>3.3333333333333335</v>
      </c>
      <c r="GU18" s="13">
        <f>IF('Données projet'!$A$270&gt;35,GU17+GT18-HC17,IF(A18&lt;'Données projet'!$A$270,$GR$205^A18,IF(A18='Données projet'!$A$270,'Données projet'!$B$270,GU17+GT18-HC17)))</f>
        <v>50</v>
      </c>
      <c r="GV18" s="18">
        <f>GU18*VLOOKUP('Données projet'!$B$18,Paramètres!$A$1:$I$89,3,0)*VLOOKUP('Données projet'!$B$18,Paramètres!$A$1:$I$89,5,0)</f>
        <v>33.54</v>
      </c>
      <c r="GW18" s="14">
        <f t="shared" si="51"/>
        <v>10.269270252156668</v>
      </c>
      <c r="GX18" s="22">
        <f t="shared" si="28"/>
        <v>76.301145689172856</v>
      </c>
      <c r="GY18" s="62">
        <f t="shared" si="29"/>
        <v>351.30114568917287</v>
      </c>
      <c r="GZ18" s="62">
        <f ca="1">AVERAGE(OFFSET($GY$3,0,0,'Données projet'!$E$18+1,1))-AVERAGE(OFFSET($H$3,0,0,'Données projet'!$E$18+1,1))</f>
        <v>312.06797204903796</v>
      </c>
      <c r="HA18" s="62">
        <f t="shared" si="52"/>
        <v>258.20189001775151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</row>
    <row r="19" spans="1:218" s="5" customFormat="1" x14ac:dyDescent="0.25">
      <c r="A19" s="11">
        <f t="shared" si="31"/>
        <v>16</v>
      </c>
      <c r="B19" s="76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9">
        <f t="shared" si="1"/>
        <v>256.66666666666669</v>
      </c>
      <c r="I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7.7987854251012134</v>
      </c>
      <c r="N19" s="14">
        <f>IF('Données projet'!$A$36&gt;35,N18+M19-V18,IF(A19&lt;'Données projet'!$A$36,$K$205^A19,IF(A19='Données projet'!$A$36,'Données projet'!$B$36,N18+M19-V18)))</f>
        <v>67.301655174387619</v>
      </c>
      <c r="O19" s="14">
        <f>N19*VLOOKUP('Données projet'!$B$9,Paramètres!$A$1:$I$89,3,0)*VLOOKUP('Données projet'!$B$9,Paramètres!$A$1:$I$89,5,0)</f>
        <v>37.621625242482679</v>
      </c>
      <c r="P19" s="14">
        <f t="shared" si="33"/>
        <v>11.366027087122298</v>
      </c>
      <c r="Q19" s="22">
        <f t="shared" si="2"/>
        <v>85.320161140728672</v>
      </c>
      <c r="R19" s="62">
        <f t="shared" si="0"/>
        <v>361.54238336295089</v>
      </c>
      <c r="S19" s="62">
        <f ca="1">AVERAGE(OFFSET($R$3,0,0,'Données projet'!$E$9+1,1))-AVERAGE(OFFSET($H$3,0,0,'Données projet'!$E$9+1,1))</f>
        <v>323.98185264074681</v>
      </c>
      <c r="T19" s="62">
        <f t="shared" si="34"/>
        <v>301.22207291854005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13.103846153846154</v>
      </c>
      <c r="AI19" s="14">
        <f>IF('Données projet'!$A$62&gt;35,AI18+AH19-AQ18,IF(A19&lt;'Données projet'!$A$62,$AF$205^A19,IF(A19='Données projet'!$A$62,'Données projet'!$B$62,AI18+AH19-AQ18)))</f>
        <v>48.811538461538461</v>
      </c>
      <c r="AJ19" s="14">
        <f>AI19*VLOOKUP('Données projet'!$B$10,Paramètres!$A$1:$I$89,3,0)*VLOOKUP('Données projet'!$B$10,Paramètres!$A$1:$I$89,5,0)</f>
        <v>29.189300000000003</v>
      </c>
      <c r="AK19" s="14">
        <f t="shared" si="35"/>
        <v>9.0828827639780165</v>
      </c>
      <c r="AL19" s="22">
        <f t="shared" si="4"/>
        <v>66.657384980595054</v>
      </c>
      <c r="AM19" s="62">
        <f t="shared" si="5"/>
        <v>342.87960720281728</v>
      </c>
      <c r="AN19" s="62">
        <f ca="1">AVERAGE(OFFSET($AM$3,0,0,'Données projet'!$E$10+1,1))-AVERAGE(OFFSET($H$3,0,0,'Données projet'!$E$10+1,1))</f>
        <v>289.12367833861299</v>
      </c>
      <c r="AO19" s="62">
        <f t="shared" si="36"/>
        <v>229.06617320689003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2.1</v>
      </c>
      <c r="BD19" s="13">
        <f>IF('Données projet'!$A$88&gt;35,BD18+BC19-BL18,IF(A19&lt;'Données projet'!$A$88,$BA$205^A19,IF(A19='Données projet'!$A$88,'Données projet'!$B$88,BD18+BC19-BL18)))</f>
        <v>19.888381054913147</v>
      </c>
      <c r="BE19" s="14">
        <f>BD19*VLOOKUP('Données projet'!$B$11,Paramètres!$A$1:$I$89,3,0)*VLOOKUP('Données projet'!$B$11,Paramètres!$A$1:$I$89,5,0)</f>
        <v>17.995007178485412</v>
      </c>
      <c r="BF19" s="14">
        <f t="shared" si="37"/>
        <v>5.9238546434872337</v>
      </c>
      <c r="BG19" s="22">
        <f t="shared" si="7"/>
        <v>41.658684339935689</v>
      </c>
      <c r="BH19" s="62">
        <f t="shared" si="8"/>
        <v>317.88090656215792</v>
      </c>
      <c r="BI19" s="62">
        <f ca="1">AVERAGE(OFFSET($BH$3,0,0,'Données projet'!$E$11+1,1))-AVERAGE(OFFSET($H$3,0,0,'Données projet'!$E$11+1,1))</f>
        <v>428.8489304403459</v>
      </c>
      <c r="BJ19" s="62">
        <f t="shared" si="38"/>
        <v>247.01165577562966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11.6</v>
      </c>
      <c r="BY19" s="13">
        <f>IF('Données projet'!$A$114&gt;35,BY18+BX19-CG18,IF(A19&lt;'Données projet'!$A$114,$BV$205^A19,IF(A19='Données projet'!$A$114,'Données projet'!$B$114,BY18+BX19-CG18)))</f>
        <v>48.6</v>
      </c>
      <c r="BZ19" s="14">
        <f>BY19*VLOOKUP('Données projet'!$B$12,Paramètres!$A$1:$I$89,3,0)*VLOOKUP('Données projet'!$B$12,Paramètres!$A$1:$I$89,5,0)</f>
        <v>35.633519999999997</v>
      </c>
      <c r="CA19" s="14">
        <f t="shared" si="39"/>
        <v>10.833640868297282</v>
      </c>
      <c r="CB19" s="22">
        <f t="shared" si="10"/>
        <v>80.930305178951087</v>
      </c>
      <c r="CC19" s="62">
        <f t="shared" si="11"/>
        <v>357.1525274011733</v>
      </c>
      <c r="CD19" s="62">
        <f ca="1">AVERAGE(OFFSET($CC$3,0,0,'Données projet'!$E$12+1,1))-AVERAGE(OFFSET($H$3,0,0,'Données projet'!$E$12+1,1))</f>
        <v>290.85271051443431</v>
      </c>
      <c r="CE19" s="62">
        <f t="shared" si="40"/>
        <v>318.66958823451142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9.6</v>
      </c>
      <c r="CT19" s="13">
        <f>IF('Données projet'!$A$140&gt;35,CT18+CS19-DB18,IF(A19&lt;'Données projet'!$A$140,$CQ$205^A19,IF(A19='Données projet'!$A$140,'Données projet'!$B$140,CT18+CS19-DB18)))</f>
        <v>49.6</v>
      </c>
      <c r="CU19" s="18">
        <f>CT19*VLOOKUP('Données projet'!$B$13,Paramètres!$A$1:$I$89,3,0)*VLOOKUP('Données projet'!$B$13,Paramètres!$A$1:$I$89,5,0)</f>
        <v>38.688000000000002</v>
      </c>
      <c r="CV19" s="14">
        <f t="shared" si="41"/>
        <v>11.650229083154354</v>
      </c>
      <c r="CW19" s="22">
        <f t="shared" si="13"/>
        <v>87.672415653160499</v>
      </c>
      <c r="CX19" s="62">
        <f t="shared" si="14"/>
        <v>363.89463787538273</v>
      </c>
      <c r="CY19" s="62">
        <f ca="1">AVERAGE(OFFSET($CX$3,0,0,'Données projet'!$E$13+1,1))-AVERAGE(OFFSET($H$3,0,0,'Données projet'!$E$13+1,1))</f>
        <v>292.57482726862594</v>
      </c>
      <c r="CZ19" s="62">
        <f t="shared" si="42"/>
        <v>283.48738729114024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11.6</v>
      </c>
      <c r="DO19" s="13">
        <f>IF('Données projet'!$A$166&gt;35,DO18+DN19-DW18,IF(A19&lt;'Données projet'!$A$166,$DL$205^A19,IF(A19='Données projet'!$A$166,'Données projet'!$B$166,DO18+DN19-DW18)))</f>
        <v>48.6</v>
      </c>
      <c r="DP19" s="18">
        <f>DO19*VLOOKUP('Données projet'!$B$14,Paramètres!$A$1:$I$89,3,0)*VLOOKUP('Données projet'!$B$14,Paramètres!$A$1:$I$89,5,0)</f>
        <v>38.666160000000005</v>
      </c>
      <c r="DQ19" s="14">
        <f t="shared" si="43"/>
        <v>11.644417682758437</v>
      </c>
      <c r="DR19" s="22">
        <f t="shared" si="16"/>
        <v>87.624256130804284</v>
      </c>
      <c r="DS19" s="62">
        <f t="shared" si="17"/>
        <v>363.8464783530265</v>
      </c>
      <c r="DT19" s="62">
        <f ca="1">AVERAGE(OFFSET($DS$3,0,0,'Données projet'!$E$14+1,1))-AVERAGE(OFFSET($H$3,0,0,'Données projet'!$E$14+1,1))</f>
        <v>312.53381881960331</v>
      </c>
      <c r="DU19" s="62">
        <f t="shared" si="44"/>
        <v>342.06887933351783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6.2820512820512802</v>
      </c>
      <c r="EJ19" s="13">
        <f>IF('Données projet'!$A$192&gt;35,EJ18+EI19-ER18,IF(A19&lt;'Données projet'!$A$192,$EG$205^A19,IF(A19='Données projet'!$A$192,'Données projet'!$B$192,EJ18+EI19-ER18)))</f>
        <v>42.820512820512818</v>
      </c>
      <c r="EK19" s="18">
        <f>EJ19*VLOOKUP('Données projet'!$B$15,Paramètres!$A$1:$I$89,3,0)*VLOOKUP('Données projet'!$B$15,Paramètres!$A$1:$I$89,5,0)</f>
        <v>40.747999999999998</v>
      </c>
      <c r="EL19" s="14">
        <f t="shared" si="45"/>
        <v>12.196690104400222</v>
      </c>
      <c r="EM19" s="22">
        <f t="shared" si="19"/>
        <v>92.212001931830386</v>
      </c>
      <c r="EN19" s="62">
        <f t="shared" si="20"/>
        <v>368.43422415405263</v>
      </c>
      <c r="EO19" s="62">
        <f ca="1">AVERAGE(OFFSET($EN$3,0,0,'Données projet'!$E$15+1,1))-AVERAGE(OFFSET($H$3,0,0,'Données projet'!$E$15+1,1))</f>
        <v>363.37916970915211</v>
      </c>
      <c r="EP19" s="62">
        <f t="shared" si="46"/>
        <v>281.52963027844595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3.4425641025641025</v>
      </c>
      <c r="FE19" s="13">
        <f>IF('Données projet'!$A$218&gt;35,FE18+FD19-FM18,IF(A19&lt;'Données projet'!$A$218,$FB$205^A19,IF(A19='Données projet'!$A$218,'Données projet'!$B$218,FE18+FD19-FM18)))</f>
        <v>11.861376416102864</v>
      </c>
      <c r="FF19" s="18">
        <f>FE19*VLOOKUP('Données projet'!$B$16,Paramètres!$A$1:$I$89,3,0)*VLOOKUP('Données projet'!$B$16,Paramètres!$A$1:$I$89,5,0)</f>
        <v>5.5511241627361398</v>
      </c>
      <c r="FG19" s="14">
        <f t="shared" si="47"/>
        <v>2.0954971024924585</v>
      </c>
      <c r="FH19" s="22">
        <f t="shared" si="22"/>
        <v>13.31786537027314</v>
      </c>
      <c r="FI19" s="62">
        <f t="shared" si="23"/>
        <v>289.54008759249535</v>
      </c>
      <c r="FJ19" s="62">
        <f ca="1">AVERAGE(OFFSET($FI$3,0,0,'Données projet'!$E$16+1,1))-AVERAGE(OFFSET($H$3,0,0,'Données projet'!$E$16+1,1))</f>
        <v>245.47494516762282</v>
      </c>
      <c r="FK19" s="62">
        <f t="shared" si="48"/>
        <v>145.54897745089966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2.1</v>
      </c>
      <c r="FZ19" s="13">
        <f>IF('Données projet'!$A$244&gt;35,FZ18+FY19-GH18,IF(A19&lt;'Données projet'!$A$244,$FW$205^A19,IF(A19='Données projet'!$A$244,'Données projet'!$B$244,FZ18+FY19-GH18)))</f>
        <v>19.888381054913147</v>
      </c>
      <c r="GA19" s="18">
        <f>FZ19*VLOOKUP('Données projet'!$B$17,Paramètres!$A$1:$I$89,3,0)*VLOOKUP('Données projet'!$B$17,Paramètres!$A$1:$I$89,5,0)</f>
        <v>19.236042156311996</v>
      </c>
      <c r="GB19" s="14">
        <f t="shared" si="49"/>
        <v>6.2834290449348904</v>
      </c>
      <c r="GC19" s="22">
        <f t="shared" si="25"/>
        <v>44.446412342171662</v>
      </c>
      <c r="GD19" s="62">
        <f t="shared" si="26"/>
        <v>320.66863456439387</v>
      </c>
      <c r="GE19" s="62">
        <f ca="1">AVERAGE(OFFSET($GD$3,0,0,'Données projet'!$E$17+1,1))-AVERAGE(OFFSET($H$3,0,0,'Données projet'!$E$17+1,1))</f>
        <v>455.50822833641354</v>
      </c>
      <c r="GF19" s="62">
        <f t="shared" si="50"/>
        <v>261.14722581688039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8.2051282051282044</v>
      </c>
      <c r="GU19" s="13">
        <f>IF('Données projet'!$A$270&gt;35,GU18+GT19-HC18,IF(A19&lt;'Données projet'!$A$270,$GR$205^A19,IF(A19='Données projet'!$A$270,'Données projet'!$B$270,GU18+GT19-HC18)))</f>
        <v>58.205128205128204</v>
      </c>
      <c r="GV19" s="18">
        <f>GU19*VLOOKUP('Données projet'!$B$18,Paramètres!$A$1:$I$89,3,0)*VLOOKUP('Données projet'!$B$18,Paramètres!$A$1:$I$89,5,0)</f>
        <v>39.043999999999997</v>
      </c>
      <c r="GW19" s="14">
        <f t="shared" si="51"/>
        <v>11.744903368873258</v>
      </c>
      <c r="GX19" s="22">
        <f t="shared" si="28"/>
        <v>88.457340034120918</v>
      </c>
      <c r="GY19" s="62">
        <f t="shared" si="29"/>
        <v>364.67956225634316</v>
      </c>
      <c r="GZ19" s="62">
        <f ca="1">AVERAGE(OFFSET($GY$3,0,0,'Données projet'!$E$18+1,1))-AVERAGE(OFFSET($H$3,0,0,'Données projet'!$E$18+1,1))</f>
        <v>312.06797204903796</v>
      </c>
      <c r="HA19" s="62">
        <f t="shared" si="52"/>
        <v>258.20189001775151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</row>
    <row r="20" spans="1:218" s="5" customFormat="1" x14ac:dyDescent="0.25">
      <c r="A20" s="11">
        <f t="shared" si="31"/>
        <v>17</v>
      </c>
      <c r="B20" s="76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9">
        <f t="shared" si="1"/>
        <v>256.66666666666669</v>
      </c>
      <c r="I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7.7987854251012134</v>
      </c>
      <c r="N20" s="14">
        <f>IF('Données projet'!$A$36&gt;35,N19+M20-V19,IF(A20&lt;'Données projet'!$A$36,$K$205^A20,IF(A20='Données projet'!$A$36,'Données projet'!$B$36,N19+M20-V19)))</f>
        <v>87.554274600421721</v>
      </c>
      <c r="O20" s="14">
        <f>N20*VLOOKUP('Données projet'!$B$9,Paramètres!$A$1:$I$89,3,0)*VLOOKUP('Données projet'!$B$9,Paramètres!$A$1:$I$89,5,0)</f>
        <v>48.942839501635746</v>
      </c>
      <c r="P20" s="14">
        <f t="shared" si="33"/>
        <v>14.340404725340607</v>
      </c>
      <c r="Q20" s="22">
        <f t="shared" si="2"/>
        <v>110.21831702865047</v>
      </c>
      <c r="R20" s="62">
        <f t="shared" si="0"/>
        <v>387.66276147309492</v>
      </c>
      <c r="S20" s="62">
        <f ca="1">AVERAGE(OFFSET($R$3,0,0,'Données projet'!$E$9+1,1))-AVERAGE(OFFSET($H$3,0,0,'Données projet'!$E$9+1,1))</f>
        <v>323.98185264074681</v>
      </c>
      <c r="T20" s="62">
        <f t="shared" si="34"/>
        <v>301.22207291854005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13.103846153846154</v>
      </c>
      <c r="AI20" s="14">
        <f>IF('Données projet'!$A$62&gt;35,AI19+AH20-AQ19,IF(A20&lt;'Données projet'!$A$62,$AF$205^A20,IF(A20='Données projet'!$A$62,'Données projet'!$B$62,AI19+AH20-AQ19)))</f>
        <v>61.915384615384617</v>
      </c>
      <c r="AJ20" s="14">
        <f>AI20*VLOOKUP('Données projet'!$B$10,Paramètres!$A$1:$I$89,3,0)*VLOOKUP('Données projet'!$B$10,Paramètres!$A$1:$I$89,5,0)</f>
        <v>37.025400000000005</v>
      </c>
      <c r="AK20" s="14">
        <f t="shared" si="35"/>
        <v>11.206718213534849</v>
      </c>
      <c r="AL20" s="22">
        <f t="shared" si="4"/>
        <v>84.004272555239865</v>
      </c>
      <c r="AM20" s="62">
        <f t="shared" si="5"/>
        <v>361.44871699968434</v>
      </c>
      <c r="AN20" s="62">
        <f ca="1">AVERAGE(OFFSET($AM$3,0,0,'Données projet'!$E$10+1,1))-AVERAGE(OFFSET($H$3,0,0,'Données projet'!$E$10+1,1))</f>
        <v>289.12367833861299</v>
      </c>
      <c r="AO20" s="62">
        <f t="shared" si="36"/>
        <v>229.06617320689003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2.1</v>
      </c>
      <c r="BD20" s="13">
        <f>IF('Données projet'!$A$88&gt;35,BD19+BC20-BL19,IF(A20&lt;'Données projet'!$A$88,$BA$205^A20,IF(A20='Données projet'!$A$88,'Données projet'!$B$88,BD19+BC20-BL19)))</f>
        <v>23.975181126327602</v>
      </c>
      <c r="BE20" s="14">
        <f>BD20*VLOOKUP('Données projet'!$B$11,Paramètres!$A$1:$I$89,3,0)*VLOOKUP('Données projet'!$B$11,Paramètres!$A$1:$I$89,5,0)</f>
        <v>21.692743883101215</v>
      </c>
      <c r="BF20" s="14">
        <f t="shared" si="37"/>
        <v>6.98746341685115</v>
      </c>
      <c r="BG20" s="22">
        <f t="shared" si="7"/>
        <v>49.951361047417038</v>
      </c>
      <c r="BH20" s="62">
        <f t="shared" si="8"/>
        <v>327.39580549186149</v>
      </c>
      <c r="BI20" s="62">
        <f ca="1">AVERAGE(OFFSET($BH$3,0,0,'Données projet'!$E$11+1,1))-AVERAGE(OFFSET($H$3,0,0,'Données projet'!$E$11+1,1))</f>
        <v>428.8489304403459</v>
      </c>
      <c r="BJ20" s="62">
        <f t="shared" si="38"/>
        <v>247.01165577562966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11.6</v>
      </c>
      <c r="BY20" s="13">
        <f>IF('Données projet'!$A$114&gt;35,BY19+BX20-CG19,IF(A20&lt;'Données projet'!$A$114,$BV$205^A20,IF(A20='Données projet'!$A$114,'Données projet'!$B$114,BY19+BX20-CG19)))</f>
        <v>60.2</v>
      </c>
      <c r="BZ20" s="14">
        <f>BY20*VLOOKUP('Données projet'!$B$12,Paramètres!$A$1:$I$89,3,0)*VLOOKUP('Données projet'!$B$12,Paramètres!$A$1:$I$89,5,0)</f>
        <v>44.138640000000002</v>
      </c>
      <c r="CA20" s="14">
        <f t="shared" si="39"/>
        <v>13.089229634046784</v>
      </c>
      <c r="CB20" s="22">
        <f t="shared" si="10"/>
        <v>99.671872945964807</v>
      </c>
      <c r="CC20" s="62">
        <f t="shared" si="11"/>
        <v>377.11631739040928</v>
      </c>
      <c r="CD20" s="62">
        <f ca="1">AVERAGE(OFFSET($CC$3,0,0,'Données projet'!$E$12+1,1))-AVERAGE(OFFSET($H$3,0,0,'Données projet'!$E$12+1,1))</f>
        <v>290.85271051443431</v>
      </c>
      <c r="CE20" s="62">
        <f t="shared" si="40"/>
        <v>318.66958823451142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9.6</v>
      </c>
      <c r="CT20" s="13">
        <f>IF('Données projet'!$A$140&gt;35,CT19+CS20-DB19,IF(A20&lt;'Données projet'!$A$140,$CQ$205^A20,IF(A20='Données projet'!$A$140,'Données projet'!$B$140,CT19+CS20-DB19)))</f>
        <v>59.2</v>
      </c>
      <c r="CU20" s="18">
        <f>CT20*VLOOKUP('Données projet'!$B$13,Paramètres!$A$1:$I$89,3,0)*VLOOKUP('Données projet'!$B$13,Paramètres!$A$1:$I$89,5,0)</f>
        <v>46.176000000000002</v>
      </c>
      <c r="CV20" s="14">
        <f t="shared" si="41"/>
        <v>13.621668778540489</v>
      </c>
      <c r="CW20" s="22">
        <f t="shared" si="13"/>
        <v>104.14760645595801</v>
      </c>
      <c r="CX20" s="62">
        <f t="shared" si="14"/>
        <v>381.59205090040246</v>
      </c>
      <c r="CY20" s="62">
        <f ca="1">AVERAGE(OFFSET($CX$3,0,0,'Données projet'!$E$13+1,1))-AVERAGE(OFFSET($H$3,0,0,'Données projet'!$E$13+1,1))</f>
        <v>292.57482726862594</v>
      </c>
      <c r="CZ20" s="62">
        <f t="shared" si="42"/>
        <v>283.48738729114024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11.6</v>
      </c>
      <c r="DO20" s="13">
        <f>IF('Données projet'!$A$166&gt;35,DO19+DN20-DW19,IF(A20&lt;'Données projet'!$A$166,$DL$205^A20,IF(A20='Données projet'!$A$166,'Données projet'!$B$166,DO19+DN20-DW19)))</f>
        <v>60.2</v>
      </c>
      <c r="DP20" s="18">
        <f>DO20*VLOOKUP('Données projet'!$B$14,Paramètres!$A$1:$I$89,3,0)*VLOOKUP('Données projet'!$B$14,Paramètres!$A$1:$I$89,5,0)</f>
        <v>47.895120000000006</v>
      </c>
      <c r="DQ20" s="14">
        <f t="shared" si="43"/>
        <v>14.068812032564205</v>
      </c>
      <c r="DR20" s="22">
        <f t="shared" si="16"/>
        <v>107.92051495671599</v>
      </c>
      <c r="DS20" s="62">
        <f t="shared" si="17"/>
        <v>385.36495940116043</v>
      </c>
      <c r="DT20" s="62">
        <f ca="1">AVERAGE(OFFSET($DS$3,0,0,'Données projet'!$E$14+1,1))-AVERAGE(OFFSET($H$3,0,0,'Données projet'!$E$14+1,1))</f>
        <v>312.53381881960331</v>
      </c>
      <c r="DU20" s="62">
        <f t="shared" si="44"/>
        <v>342.06887933351783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6.2820512820512802</v>
      </c>
      <c r="EJ20" s="13">
        <f>IF('Données projet'!$A$192&gt;35,EJ19+EI20-ER19,IF(A20&lt;'Données projet'!$A$192,$EG$205^A20,IF(A20='Données projet'!$A$192,'Données projet'!$B$192,EJ19+EI20-ER19)))</f>
        <v>49.102564102564095</v>
      </c>
      <c r="EK20" s="18">
        <f>EJ20*VLOOKUP('Données projet'!$B$15,Paramètres!$A$1:$I$89,3,0)*VLOOKUP('Données projet'!$B$15,Paramètres!$A$1:$I$89,5,0)</f>
        <v>46.725999999999992</v>
      </c>
      <c r="EL20" s="14">
        <f t="shared" si="45"/>
        <v>13.764931291666562</v>
      </c>
      <c r="EM20" s="22">
        <f t="shared" si="19"/>
        <v>105.35503866631923</v>
      </c>
      <c r="EN20" s="62">
        <f t="shared" si="20"/>
        <v>382.79948311076367</v>
      </c>
      <c r="EO20" s="62">
        <f ca="1">AVERAGE(OFFSET($EN$3,0,0,'Données projet'!$E$15+1,1))-AVERAGE(OFFSET($H$3,0,0,'Données projet'!$E$15+1,1))</f>
        <v>363.37916970915211</v>
      </c>
      <c r="EP20" s="62">
        <f t="shared" si="46"/>
        <v>281.52963027844595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3.4425641025641025</v>
      </c>
      <c r="FE20" s="13">
        <f>IF('Données projet'!$A$218&gt;35,FE19+FD20-FM19,IF(A20&lt;'Données projet'!$A$218,$FB$205^A20,IF(A20='Données projet'!$A$218,'Données projet'!$B$218,FE19+FD20-FM19)))</f>
        <v>13.84422124990315</v>
      </c>
      <c r="FF20" s="18">
        <f>FE20*VLOOKUP('Données projet'!$B$16,Paramètres!$A$1:$I$89,3,0)*VLOOKUP('Données projet'!$B$16,Paramètres!$A$1:$I$89,5,0)</f>
        <v>6.4790955449546734</v>
      </c>
      <c r="FG20" s="14">
        <f t="shared" si="47"/>
        <v>2.4021834741420709</v>
      </c>
      <c r="FH20" s="22">
        <f t="shared" si="22"/>
        <v>15.468227624926827</v>
      </c>
      <c r="FI20" s="62">
        <f t="shared" si="23"/>
        <v>292.9126720693713</v>
      </c>
      <c r="FJ20" s="62">
        <f ca="1">AVERAGE(OFFSET($FI$3,0,0,'Données projet'!$E$16+1,1))-AVERAGE(OFFSET($H$3,0,0,'Données projet'!$E$16+1,1))</f>
        <v>245.47494516762282</v>
      </c>
      <c r="FK20" s="62">
        <f t="shared" si="48"/>
        <v>145.54897745089966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2.1</v>
      </c>
      <c r="FZ20" s="13">
        <f>IF('Données projet'!$A$244&gt;35,FZ19+FY20-GH19,IF(A20&lt;'Données projet'!$A$244,$FW$205^A20,IF(A20='Données projet'!$A$244,'Données projet'!$B$244,FZ19+FY20-GH19)))</f>
        <v>23.975181126327602</v>
      </c>
      <c r="GA20" s="18">
        <f>FZ20*VLOOKUP('Données projet'!$B$17,Paramètres!$A$1:$I$89,3,0)*VLOOKUP('Données projet'!$B$17,Paramètres!$A$1:$I$89,5,0)</f>
        <v>23.188795185384055</v>
      </c>
      <c r="GB20" s="14">
        <f t="shared" si="49"/>
        <v>7.4115982288884323</v>
      </c>
      <c r="GC20" s="22">
        <f t="shared" si="25"/>
        <v>53.29568519652458</v>
      </c>
      <c r="GD20" s="62">
        <f t="shared" si="26"/>
        <v>330.74012964096903</v>
      </c>
      <c r="GE20" s="62">
        <f ca="1">AVERAGE(OFFSET($GD$3,0,0,'Données projet'!$E$17+1,1))-AVERAGE(OFFSET($H$3,0,0,'Données projet'!$E$17+1,1))</f>
        <v>455.50822833641354</v>
      </c>
      <c r="GF20" s="62">
        <f t="shared" si="50"/>
        <v>261.14722581688039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8.2051282051282044</v>
      </c>
      <c r="GU20" s="13">
        <f>IF('Données projet'!$A$270&gt;35,GU19+GT20-HC19,IF(A20&lt;'Données projet'!$A$270,$GR$205^A20,IF(A20='Données projet'!$A$270,'Données projet'!$B$270,GU19+GT20-HC19)))</f>
        <v>66.410256410256409</v>
      </c>
      <c r="GV20" s="18">
        <f>GU20*VLOOKUP('Données projet'!$B$18,Paramètres!$A$1:$I$89,3,0)*VLOOKUP('Données projet'!$B$18,Paramètres!$A$1:$I$89,5,0)</f>
        <v>44.548000000000002</v>
      </c>
      <c r="GW20" s="14">
        <f t="shared" si="51"/>
        <v>13.196436493358</v>
      </c>
      <c r="GX20" s="22">
        <f t="shared" si="28"/>
        <v>100.57156022593183</v>
      </c>
      <c r="GY20" s="62">
        <f t="shared" si="29"/>
        <v>378.01600467037628</v>
      </c>
      <c r="GZ20" s="62">
        <f ca="1">AVERAGE(OFFSET($GY$3,0,0,'Données projet'!$E$18+1,1))-AVERAGE(OFFSET($H$3,0,0,'Données projet'!$E$18+1,1))</f>
        <v>312.06797204903796</v>
      </c>
      <c r="HA20" s="62">
        <f t="shared" si="52"/>
        <v>258.20189001775151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</row>
    <row r="21" spans="1:218" s="5" customFormat="1" x14ac:dyDescent="0.25">
      <c r="A21" s="11">
        <f t="shared" si="31"/>
        <v>18</v>
      </c>
      <c r="B21" s="76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9">
        <f t="shared" si="1"/>
        <v>256.66666666666669</v>
      </c>
      <c r="I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7.7987854251012134</v>
      </c>
      <c r="N21" s="14">
        <f>IF('Données projet'!$A$36&gt;35,N20+M21-V20,IF(A21&lt;'Données projet'!$A$36,$K$205^A21,IF(A21='Données projet'!$A$36,'Données projet'!$B$36,N20+M21-V20)))</f>
        <v>113.90137405897467</v>
      </c>
      <c r="O21" s="14">
        <f>N21*VLOOKUP('Données projet'!$B$9,Paramètres!$A$1:$I$89,3,0)*VLOOKUP('Données projet'!$B$9,Paramètres!$A$1:$I$89,5,0)</f>
        <v>63.670868098966835</v>
      </c>
      <c r="P21" s="14">
        <f t="shared" si="33"/>
        <v>18.093147773646375</v>
      </c>
      <c r="Q21" s="22">
        <f t="shared" si="2"/>
        <v>142.40566097813468</v>
      </c>
      <c r="R21" s="62">
        <f t="shared" si="0"/>
        <v>421.07232764480136</v>
      </c>
      <c r="S21" s="62">
        <f ca="1">AVERAGE(OFFSET($R$3,0,0,'Données projet'!$E$9+1,1))-AVERAGE(OFFSET($H$3,0,0,'Données projet'!$E$9+1,1))</f>
        <v>323.98185264074681</v>
      </c>
      <c r="T21" s="62">
        <f t="shared" si="34"/>
        <v>301.22207291854005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13.103846153846154</v>
      </c>
      <c r="AI21" s="14">
        <f>IF('Données projet'!$A$62&gt;35,AI20+AH21-AQ20,IF(A21&lt;'Données projet'!$A$62,$AF$205^A21,IF(A21='Données projet'!$A$62,'Données projet'!$B$62,AI20+AH21-AQ20)))</f>
        <v>75.019230769230774</v>
      </c>
      <c r="AJ21" s="14">
        <f>AI21*VLOOKUP('Données projet'!$B$10,Paramètres!$A$1:$I$89,3,0)*VLOOKUP('Données projet'!$B$10,Paramètres!$A$1:$I$89,5,0)</f>
        <v>44.861500000000007</v>
      </c>
      <c r="AK21" s="14">
        <f t="shared" si="35"/>
        <v>13.278461120637754</v>
      </c>
      <c r="AL21" s="22">
        <f t="shared" si="4"/>
        <v>101.26043228511077</v>
      </c>
      <c r="AM21" s="62">
        <f t="shared" si="5"/>
        <v>379.92709895177745</v>
      </c>
      <c r="AN21" s="62">
        <f ca="1">AVERAGE(OFFSET($AM$3,0,0,'Données projet'!$E$10+1,1))-AVERAGE(OFFSET($H$3,0,0,'Données projet'!$E$10+1,1))</f>
        <v>289.12367833861299</v>
      </c>
      <c r="AO21" s="62">
        <f t="shared" si="36"/>
        <v>229.06617320689003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2.1</v>
      </c>
      <c r="BD21" s="13">
        <f>IF('Données projet'!$A$88&gt;35,BD20+BC21-BL20,IF(A21&lt;'Données projet'!$A$88,$BA$205^A21,IF(A21='Données projet'!$A$88,'Données projet'!$B$88,BD20+BC21-BL20)))</f>
        <v>28.901764726506816</v>
      </c>
      <c r="BE21" s="14">
        <f>BD21*VLOOKUP('Données projet'!$B$11,Paramètres!$A$1:$I$89,3,0)*VLOOKUP('Données projet'!$B$11,Paramètres!$A$1:$I$89,5,0)</f>
        <v>26.150316724543362</v>
      </c>
      <c r="BF21" s="14">
        <f t="shared" si="37"/>
        <v>8.2420396752158016</v>
      </c>
      <c r="BG21" s="22">
        <f t="shared" si="7"/>
        <v>59.900020729580547</v>
      </c>
      <c r="BH21" s="62">
        <f t="shared" si="8"/>
        <v>338.56668739624723</v>
      </c>
      <c r="BI21" s="62">
        <f ca="1">AVERAGE(OFFSET($BH$3,0,0,'Données projet'!$E$11+1,1))-AVERAGE(OFFSET($H$3,0,0,'Données projet'!$E$11+1,1))</f>
        <v>428.8489304403459</v>
      </c>
      <c r="BJ21" s="62">
        <f t="shared" si="38"/>
        <v>247.01165577562966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11.6</v>
      </c>
      <c r="BY21" s="13">
        <f>IF('Données projet'!$A$114&gt;35,BY20+BX21-CG20,IF(A21&lt;'Données projet'!$A$114,$BV$205^A21,IF(A21='Données projet'!$A$114,'Données projet'!$B$114,BY20+BX21-CG20)))</f>
        <v>71.8</v>
      </c>
      <c r="BZ21" s="14">
        <f>BY21*VLOOKUP('Données projet'!$B$12,Paramètres!$A$1:$I$89,3,0)*VLOOKUP('Données projet'!$B$12,Paramètres!$A$1:$I$89,5,0)</f>
        <v>52.643759999999993</v>
      </c>
      <c r="CA21" s="14">
        <f t="shared" si="39"/>
        <v>15.294461344625528</v>
      </c>
      <c r="CB21" s="22">
        <f t="shared" si="10"/>
        <v>118.32573550855612</v>
      </c>
      <c r="CC21" s="62">
        <f t="shared" si="11"/>
        <v>396.99240217522282</v>
      </c>
      <c r="CD21" s="62">
        <f ca="1">AVERAGE(OFFSET($CC$3,0,0,'Données projet'!$E$12+1,1))-AVERAGE(OFFSET($H$3,0,0,'Données projet'!$E$12+1,1))</f>
        <v>290.85271051443431</v>
      </c>
      <c r="CE21" s="62">
        <f t="shared" si="40"/>
        <v>318.66958823451142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9.6</v>
      </c>
      <c r="CT21" s="13">
        <f>IF('Données projet'!$A$140&gt;35,CT20+CS21-DB20,IF(A21&lt;'Données projet'!$A$140,$CQ$205^A21,IF(A21='Données projet'!$A$140,'Données projet'!$B$140,CT20+CS21-DB20)))</f>
        <v>68.8</v>
      </c>
      <c r="CU21" s="18">
        <f>CT21*VLOOKUP('Données projet'!$B$13,Paramètres!$A$1:$I$89,3,0)*VLOOKUP('Données projet'!$B$13,Paramètres!$A$1:$I$89,5,0)</f>
        <v>53.664000000000001</v>
      </c>
      <c r="CV21" s="14">
        <f t="shared" si="41"/>
        <v>15.556073979202782</v>
      </c>
      <c r="CW21" s="22">
        <f t="shared" si="13"/>
        <v>120.55829551377816</v>
      </c>
      <c r="CX21" s="62">
        <f t="shared" si="14"/>
        <v>399.22496218044483</v>
      </c>
      <c r="CY21" s="62">
        <f ca="1">AVERAGE(OFFSET($CX$3,0,0,'Données projet'!$E$13+1,1))-AVERAGE(OFFSET($H$3,0,0,'Données projet'!$E$13+1,1))</f>
        <v>292.57482726862594</v>
      </c>
      <c r="CZ21" s="62">
        <f t="shared" si="42"/>
        <v>283.48738729114024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11.6</v>
      </c>
      <c r="DO21" s="13">
        <f>IF('Données projet'!$A$166&gt;35,DO20+DN21-DW20,IF(A21&lt;'Données projet'!$A$166,$DL$205^A21,IF(A21='Données projet'!$A$166,'Données projet'!$B$166,DO20+DN21-DW20)))</f>
        <v>71.8</v>
      </c>
      <c r="DP21" s="18">
        <f>DO21*VLOOKUP('Données projet'!$B$14,Paramètres!$A$1:$I$89,3,0)*VLOOKUP('Données projet'!$B$14,Paramètres!$A$1:$I$89,5,0)</f>
        <v>57.124080000000006</v>
      </c>
      <c r="DQ21" s="14">
        <f t="shared" si="43"/>
        <v>16.439080665003988</v>
      </c>
      <c r="DR21" s="22">
        <f t="shared" si="16"/>
        <v>128.12250482488196</v>
      </c>
      <c r="DS21" s="62">
        <f t="shared" si="17"/>
        <v>406.78917149154864</v>
      </c>
      <c r="DT21" s="62">
        <f ca="1">AVERAGE(OFFSET($DS$3,0,0,'Données projet'!$E$14+1,1))-AVERAGE(OFFSET($H$3,0,0,'Données projet'!$E$14+1,1))</f>
        <v>312.53381881960331</v>
      </c>
      <c r="DU21" s="62">
        <f t="shared" si="44"/>
        <v>342.06887933351783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6.2820512820512802</v>
      </c>
      <c r="EJ21" s="13">
        <f>IF('Données projet'!$A$192&gt;35,EJ20+EI21-ER20,IF(A21&lt;'Données projet'!$A$192,$EG$205^A21,IF(A21='Données projet'!$A$192,'Données projet'!$B$192,EJ20+EI21-ER20)))</f>
        <v>55.384615384615373</v>
      </c>
      <c r="EK21" s="18">
        <f>EJ21*VLOOKUP('Données projet'!$B$15,Paramètres!$A$1:$I$89,3,0)*VLOOKUP('Données projet'!$B$15,Paramètres!$A$1:$I$89,5,0)</f>
        <v>52.703999999999994</v>
      </c>
      <c r="EL21" s="14">
        <f t="shared" si="45"/>
        <v>15.30992453291827</v>
      </c>
      <c r="EM21" s="22">
        <f t="shared" si="19"/>
        <v>118.45758522816597</v>
      </c>
      <c r="EN21" s="62">
        <f t="shared" si="20"/>
        <v>397.12425189483264</v>
      </c>
      <c r="EO21" s="62">
        <f ca="1">AVERAGE(OFFSET($EN$3,0,0,'Données projet'!$E$15+1,1))-AVERAGE(OFFSET($H$3,0,0,'Données projet'!$E$15+1,1))</f>
        <v>363.37916970915211</v>
      </c>
      <c r="EP21" s="62">
        <f t="shared" si="46"/>
        <v>281.52963027844595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3.4425641025641025</v>
      </c>
      <c r="FE21" s="13">
        <f>IF('Données projet'!$A$218&gt;35,FE20+FD21-FM20,IF(A21&lt;'Données projet'!$A$218,$FB$205^A21,IF(A21='Données projet'!$A$218,'Données projet'!$B$218,FE20+FD21-FM20)))</f>
        <v>16.158534666859676</v>
      </c>
      <c r="FF21" s="18">
        <f>FE21*VLOOKUP('Données projet'!$B$16,Paramètres!$A$1:$I$89,3,0)*VLOOKUP('Données projet'!$B$16,Paramètres!$A$1:$I$89,5,0)</f>
        <v>7.5621942240903284</v>
      </c>
      <c r="FG21" s="14">
        <f t="shared" si="47"/>
        <v>2.7537549140858508</v>
      </c>
      <c r="FH21" s="22">
        <f t="shared" si="22"/>
        <v>17.96694474899018</v>
      </c>
      <c r="FI21" s="62">
        <f t="shared" si="23"/>
        <v>296.63361141565684</v>
      </c>
      <c r="FJ21" s="62">
        <f ca="1">AVERAGE(OFFSET($FI$3,0,0,'Données projet'!$E$16+1,1))-AVERAGE(OFFSET($H$3,0,0,'Données projet'!$E$16+1,1))</f>
        <v>245.47494516762282</v>
      </c>
      <c r="FK21" s="62">
        <f t="shared" si="48"/>
        <v>145.54897745089966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2.1</v>
      </c>
      <c r="FZ21" s="13">
        <f>IF('Données projet'!$A$244&gt;35,FZ20+FY21-GH20,IF(A21&lt;'Données projet'!$A$244,$FW$205^A21,IF(A21='Données projet'!$A$244,'Données projet'!$B$244,FZ20+FY21-GH20)))</f>
        <v>28.901764726506816</v>
      </c>
      <c r="GA21" s="18">
        <f>FZ21*VLOOKUP('Données projet'!$B$17,Paramètres!$A$1:$I$89,3,0)*VLOOKUP('Données projet'!$B$17,Paramètres!$A$1:$I$89,5,0)</f>
        <v>27.953786843477392</v>
      </c>
      <c r="GB21" s="14">
        <f t="shared" si="49"/>
        <v>8.7423265089215931</v>
      </c>
      <c r="GC21" s="22">
        <f t="shared" si="25"/>
        <v>63.912397422094891</v>
      </c>
      <c r="GD21" s="62">
        <f t="shared" si="26"/>
        <v>342.57906408876158</v>
      </c>
      <c r="GE21" s="62">
        <f ca="1">AVERAGE(OFFSET($GD$3,0,0,'Données projet'!$E$17+1,1))-AVERAGE(OFFSET($H$3,0,0,'Données projet'!$E$17+1,1))</f>
        <v>455.50822833641354</v>
      </c>
      <c r="GF21" s="62">
        <f t="shared" si="50"/>
        <v>261.14722581688039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8.2051282051282044</v>
      </c>
      <c r="GU21" s="13">
        <f>IF('Données projet'!$A$270&gt;35,GU20+GT21-HC20,IF(A21&lt;'Données projet'!$A$270,$GR$205^A21,IF(A21='Données projet'!$A$270,'Données projet'!$B$270,GU20+GT21-HC20)))</f>
        <v>74.615384615384613</v>
      </c>
      <c r="GV21" s="18">
        <f>GU21*VLOOKUP('Données projet'!$B$18,Paramètres!$A$1:$I$89,3,0)*VLOOKUP('Données projet'!$B$18,Paramètres!$A$1:$I$89,5,0)</f>
        <v>50.052</v>
      </c>
      <c r="GW21" s="14">
        <f t="shared" si="51"/>
        <v>14.62718807768414</v>
      </c>
      <c r="GX21" s="22">
        <f t="shared" si="28"/>
        <v>112.64958590196655</v>
      </c>
      <c r="GY21" s="62">
        <f t="shared" si="29"/>
        <v>391.31625256863322</v>
      </c>
      <c r="GZ21" s="62">
        <f ca="1">AVERAGE(OFFSET($GY$3,0,0,'Données projet'!$E$18+1,1))-AVERAGE(OFFSET($H$3,0,0,'Données projet'!$E$18+1,1))</f>
        <v>312.06797204903796</v>
      </c>
      <c r="HA21" s="62">
        <f t="shared" si="52"/>
        <v>258.20189001775151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</row>
    <row r="22" spans="1:218" s="5" customFormat="1" x14ac:dyDescent="0.25">
      <c r="A22" s="11">
        <f t="shared" si="31"/>
        <v>19</v>
      </c>
      <c r="B22" s="76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9">
        <f t="shared" si="1"/>
        <v>256.66666666666669</v>
      </c>
      <c r="I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>
        <f>VLOOKUP(A22,'Données projet'!$A$35:$I$55,2,0)</f>
        <v>148.17692307692306</v>
      </c>
      <c r="L22" s="13">
        <f>VLOOKUP(A22,'Données projet'!$A$35:$I$55,9,0)</f>
        <v>7.7987854251012134</v>
      </c>
      <c r="M22" s="13">
        <f t="array" ref="M22">INDEX(L:L,MIN(IF(ISNUMBER(L22:L218),ROW(L22:L218),"")))</f>
        <v>7.7987854251012134</v>
      </c>
      <c r="N22" s="14">
        <f>IF('Données projet'!$A$36&gt;35,N21+M22-V21,IF(A22&lt;'Données projet'!$A$36,$K$205^A22,IF(A22='Données projet'!$A$36,'Données projet'!$B$36,N21+M22-V21)))</f>
        <v>148.17692307692306</v>
      </c>
      <c r="O22" s="14">
        <f>N22*VLOOKUP('Données projet'!$B$9,Paramètres!$A$1:$I$89,3,0)*VLOOKUP('Données projet'!$B$9,Paramètres!$A$1:$I$89,5,0)</f>
        <v>82.830899999999986</v>
      </c>
      <c r="P22" s="14">
        <f t="shared" si="33"/>
        <v>22.827946813839315</v>
      </c>
      <c r="Q22" s="22">
        <f t="shared" si="2"/>
        <v>184.02249153410344</v>
      </c>
      <c r="R22" s="62">
        <f t="shared" si="0"/>
        <v>463.91138042299229</v>
      </c>
      <c r="S22" s="62">
        <f ca="1">AVERAGE(OFFSET($R$3,0,0,'Données projet'!$E$9+1,1))-AVERAGE(OFFSET($H$3,0,0,'Données projet'!$E$9+1,1))</f>
        <v>323.98185264074681</v>
      </c>
      <c r="T22" s="62">
        <f t="shared" si="34"/>
        <v>301.22207291854005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13.103846153846154</v>
      </c>
      <c r="AI22" s="14">
        <f>IF('Données projet'!$A$62&gt;35,AI21+AH22-AQ21,IF(A22&lt;'Données projet'!$A$62,$AF$205^A22,IF(A22='Données projet'!$A$62,'Données projet'!$B$62,AI21+AH22-AQ21)))</f>
        <v>88.123076923076923</v>
      </c>
      <c r="AJ22" s="14">
        <f>AI22*VLOOKUP('Données projet'!$B$10,Paramètres!$A$1:$I$89,3,0)*VLOOKUP('Données projet'!$B$10,Paramètres!$A$1:$I$89,5,0)</f>
        <v>52.697600000000008</v>
      </c>
      <c r="AK22" s="14">
        <f t="shared" si="35"/>
        <v>15.30828179522207</v>
      </c>
      <c r="AL22" s="22">
        <f t="shared" si="4"/>
        <v>118.4435774600118</v>
      </c>
      <c r="AM22" s="62">
        <f t="shared" si="5"/>
        <v>398.33246634890065</v>
      </c>
      <c r="AN22" s="62">
        <f ca="1">AVERAGE(OFFSET($AM$3,0,0,'Données projet'!$E$10+1,1))-AVERAGE(OFFSET($H$3,0,0,'Données projet'!$E$10+1,1))</f>
        <v>289.12367833861299</v>
      </c>
      <c r="AO22" s="62">
        <f t="shared" si="36"/>
        <v>229.06617320689003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2.1</v>
      </c>
      <c r="BD22" s="13">
        <f>IF('Données projet'!$A$88&gt;35,BD21+BC22-BL21,IF(A22&lt;'Données projet'!$A$88,$BA$205^A22,IF(A22='Données projet'!$A$88,'Données projet'!$B$88,BD21+BC22-BL21)))</f>
        <v>34.840696297767764</v>
      </c>
      <c r="BE22" s="14">
        <f>BD22*VLOOKUP('Données projet'!$B$11,Paramètres!$A$1:$I$89,3,0)*VLOOKUP('Données projet'!$B$11,Paramètres!$A$1:$I$89,5,0)</f>
        <v>31.52386201022027</v>
      </c>
      <c r="BF22" s="14">
        <f t="shared" si="37"/>
        <v>9.7218710074397983</v>
      </c>
      <c r="BG22" s="22">
        <f t="shared" si="7"/>
        <v>71.836318339091292</v>
      </c>
      <c r="BH22" s="62">
        <f t="shared" si="8"/>
        <v>351.72520722798015</v>
      </c>
      <c r="BI22" s="62">
        <f ca="1">AVERAGE(OFFSET($BH$3,0,0,'Données projet'!$E$11+1,1))-AVERAGE(OFFSET($H$3,0,0,'Données projet'!$E$11+1,1))</f>
        <v>428.8489304403459</v>
      </c>
      <c r="BJ22" s="62">
        <f t="shared" si="38"/>
        <v>247.01165577562966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11.6</v>
      </c>
      <c r="BY22" s="13">
        <f>IF('Données projet'!$A$114&gt;35,BY21+BX22-CG21,IF(A22&lt;'Données projet'!$A$114,$BV$205^A22,IF(A22='Données projet'!$A$114,'Données projet'!$B$114,BY21+BX22-CG21)))</f>
        <v>83.399999999999991</v>
      </c>
      <c r="BZ22" s="14">
        <f>BY22*VLOOKUP('Données projet'!$B$12,Paramètres!$A$1:$I$89,3,0)*VLOOKUP('Données projet'!$B$12,Paramètres!$A$1:$I$89,5,0)</f>
        <v>61.148879999999991</v>
      </c>
      <c r="CA22" s="14">
        <f t="shared" si="39"/>
        <v>17.458420499151</v>
      </c>
      <c r="CB22" s="22">
        <f t="shared" si="10"/>
        <v>136.9077150360213</v>
      </c>
      <c r="CC22" s="62">
        <f t="shared" si="11"/>
        <v>416.79660392491019</v>
      </c>
      <c r="CD22" s="62">
        <f ca="1">AVERAGE(OFFSET($CC$3,0,0,'Données projet'!$E$12+1,1))-AVERAGE(OFFSET($H$3,0,0,'Données projet'!$E$12+1,1))</f>
        <v>290.85271051443431</v>
      </c>
      <c r="CE22" s="62">
        <f t="shared" si="40"/>
        <v>318.66958823451142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9.6</v>
      </c>
      <c r="CT22" s="13">
        <f>IF('Données projet'!$A$140&gt;35,CT21+CS22-DB21,IF(A22&lt;'Données projet'!$A$140,$CQ$205^A22,IF(A22='Données projet'!$A$140,'Données projet'!$B$140,CT21+CS22-DB21)))</f>
        <v>78.399999999999991</v>
      </c>
      <c r="CU22" s="18">
        <f>CT22*VLOOKUP('Données projet'!$B$13,Paramètres!$A$1:$I$89,3,0)*VLOOKUP('Données projet'!$B$13,Paramètres!$A$1:$I$89,5,0)</f>
        <v>61.151999999999994</v>
      </c>
      <c r="CV22" s="14">
        <f t="shared" si="41"/>
        <v>17.459207591071255</v>
      </c>
      <c r="CW22" s="22">
        <f t="shared" si="13"/>
        <v>136.9145198877824</v>
      </c>
      <c r="CX22" s="62">
        <f t="shared" si="14"/>
        <v>416.80340877667129</v>
      </c>
      <c r="CY22" s="62">
        <f ca="1">AVERAGE(OFFSET($CX$3,0,0,'Données projet'!$E$13+1,1))-AVERAGE(OFFSET($H$3,0,0,'Données projet'!$E$13+1,1))</f>
        <v>292.57482726862594</v>
      </c>
      <c r="CZ22" s="62">
        <f t="shared" si="42"/>
        <v>283.48738729114024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11.6</v>
      </c>
      <c r="DO22" s="13">
        <f>IF('Données projet'!$A$166&gt;35,DO21+DN22-DW21,IF(A22&lt;'Données projet'!$A$166,$DL$205^A22,IF(A22='Données projet'!$A$166,'Données projet'!$B$166,DO21+DN22-DW21)))</f>
        <v>83.399999999999991</v>
      </c>
      <c r="DP22" s="18">
        <f>DO22*VLOOKUP('Données projet'!$B$14,Paramètres!$A$1:$I$89,3,0)*VLOOKUP('Données projet'!$B$14,Paramètres!$A$1:$I$89,5,0)</f>
        <v>66.353040000000007</v>
      </c>
      <c r="DQ22" s="14">
        <f t="shared" si="43"/>
        <v>18.76498795231873</v>
      </c>
      <c r="DR22" s="22">
        <f t="shared" si="16"/>
        <v>148.24723201695511</v>
      </c>
      <c r="DS22" s="62">
        <f t="shared" si="17"/>
        <v>428.136120905844</v>
      </c>
      <c r="DT22" s="62">
        <f ca="1">AVERAGE(OFFSET($DS$3,0,0,'Données projet'!$E$14+1,1))-AVERAGE(OFFSET($H$3,0,0,'Données projet'!$E$14+1,1))</f>
        <v>312.53381881960331</v>
      </c>
      <c r="DU22" s="62">
        <f t="shared" si="44"/>
        <v>342.06887933351783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6.2820512820512802</v>
      </c>
      <c r="EJ22" s="13">
        <f>IF('Données projet'!$A$192&gt;35,EJ21+EI22-ER21,IF(A22&lt;'Données projet'!$A$192,$EG$205^A22,IF(A22='Données projet'!$A$192,'Données projet'!$B$192,EJ21+EI22-ER21)))</f>
        <v>61.66666666666665</v>
      </c>
      <c r="EK22" s="18">
        <f>EJ22*VLOOKUP('Données projet'!$B$15,Paramètres!$A$1:$I$89,3,0)*VLOOKUP('Données projet'!$B$15,Paramètres!$A$1:$I$89,5,0)</f>
        <v>58.681999999999981</v>
      </c>
      <c r="EL22" s="14">
        <f t="shared" si="45"/>
        <v>16.834607713213735</v>
      </c>
      <c r="EM22" s="22">
        <f t="shared" si="19"/>
        <v>131.52475843384721</v>
      </c>
      <c r="EN22" s="62">
        <f t="shared" si="20"/>
        <v>411.4136473227361</v>
      </c>
      <c r="EO22" s="62">
        <f ca="1">AVERAGE(OFFSET($EN$3,0,0,'Données projet'!$E$15+1,1))-AVERAGE(OFFSET($H$3,0,0,'Données projet'!$E$15+1,1))</f>
        <v>363.37916970915211</v>
      </c>
      <c r="EP22" s="62">
        <f t="shared" si="46"/>
        <v>281.52963027844595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3.4425641025641025</v>
      </c>
      <c r="FE22" s="13">
        <f>IF('Données projet'!$A$218&gt;35,FE21+FD22-FM21,IF(A22&lt;'Données projet'!$A$218,$FB$205^A22,IF(A22='Données projet'!$A$218,'Données projet'!$B$218,FE21+FD22-FM21)))</f>
        <v>18.859727670267663</v>
      </c>
      <c r="FF22" s="18">
        <f>FE22*VLOOKUP('Données projet'!$B$16,Paramètres!$A$1:$I$89,3,0)*VLOOKUP('Données projet'!$B$16,Paramètres!$A$1:$I$89,5,0)</f>
        <v>8.8263525496852662</v>
      </c>
      <c r="FG22" s="14">
        <f t="shared" si="47"/>
        <v>3.1567805742066648</v>
      </c>
      <c r="FH22" s="22">
        <f t="shared" si="22"/>
        <v>20.870623524111782</v>
      </c>
      <c r="FI22" s="62">
        <f t="shared" si="23"/>
        <v>300.75951241300066</v>
      </c>
      <c r="FJ22" s="62">
        <f ca="1">AVERAGE(OFFSET($FI$3,0,0,'Données projet'!$E$16+1,1))-AVERAGE(OFFSET($H$3,0,0,'Données projet'!$E$16+1,1))</f>
        <v>245.47494516762282</v>
      </c>
      <c r="FK22" s="62">
        <f t="shared" si="48"/>
        <v>145.54897745089966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2.1</v>
      </c>
      <c r="FZ22" s="13">
        <f>IF('Données projet'!$A$244&gt;35,FZ21+FY22-GH21,IF(A22&lt;'Données projet'!$A$244,$FW$205^A22,IF(A22='Données projet'!$A$244,'Données projet'!$B$244,FZ21+FY22-GH21)))</f>
        <v>34.840696297767764</v>
      </c>
      <c r="GA22" s="18">
        <f>FZ22*VLOOKUP('Données projet'!$B$17,Paramètres!$A$1:$I$89,3,0)*VLOOKUP('Données projet'!$B$17,Paramètres!$A$1:$I$89,5,0)</f>
        <v>33.697921459200977</v>
      </c>
      <c r="GB22" s="14">
        <f t="shared" si="49"/>
        <v>10.31198270984201</v>
      </c>
      <c r="GC22" s="22">
        <f t="shared" si="25"/>
        <v>76.650583094416518</v>
      </c>
      <c r="GD22" s="62">
        <f t="shared" si="26"/>
        <v>356.53947198330536</v>
      </c>
      <c r="GE22" s="62">
        <f ca="1">AVERAGE(OFFSET($GD$3,0,0,'Données projet'!$E$17+1,1))-AVERAGE(OFFSET($H$3,0,0,'Données projet'!$E$17+1,1))</f>
        <v>455.50822833641354</v>
      </c>
      <c r="GF22" s="62">
        <f t="shared" si="50"/>
        <v>261.14722581688039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8.2051282051282044</v>
      </c>
      <c r="GU22" s="13">
        <f>IF('Données projet'!$A$270&gt;35,GU21+GT22-HC21,IF(A22&lt;'Données projet'!$A$270,$GR$205^A22,IF(A22='Données projet'!$A$270,'Données projet'!$B$270,GU21+GT22-HC21)))</f>
        <v>82.820512820512818</v>
      </c>
      <c r="GV22" s="18">
        <f>GU22*VLOOKUP('Données projet'!$B$18,Paramètres!$A$1:$I$89,3,0)*VLOOKUP('Données projet'!$B$18,Paramètres!$A$1:$I$89,5,0)</f>
        <v>55.556000000000004</v>
      </c>
      <c r="GW22" s="14">
        <f t="shared" si="51"/>
        <v>16.039703993592667</v>
      </c>
      <c r="GX22" s="22">
        <f t="shared" si="28"/>
        <v>124.69585112217392</v>
      </c>
      <c r="GY22" s="62">
        <f t="shared" si="29"/>
        <v>404.58474001106276</v>
      </c>
      <c r="GZ22" s="62">
        <f ca="1">AVERAGE(OFFSET($GY$3,0,0,'Données projet'!$E$18+1,1))-AVERAGE(OFFSET($H$3,0,0,'Données projet'!$E$18+1,1))</f>
        <v>312.06797204903796</v>
      </c>
      <c r="HA22" s="62">
        <f t="shared" si="52"/>
        <v>258.20189001775151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</row>
    <row r="23" spans="1:218" s="5" customFormat="1" x14ac:dyDescent="0.25">
      <c r="A23" s="11">
        <f t="shared" si="31"/>
        <v>20</v>
      </c>
      <c r="B23" s="76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9">
        <f t="shared" si="1"/>
        <v>256.66666666666669</v>
      </c>
      <c r="I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15.942307692307708</v>
      </c>
      <c r="N23" s="14">
        <f>IF('Données projet'!$A$36&gt;35,N22+M23-V22,IF(A23&lt;'Données projet'!$A$36,$K$205^A23,IF(A23='Données projet'!$A$36,'Données projet'!$B$36,N22+M23-V22)))</f>
        <v>164.11923076923077</v>
      </c>
      <c r="O23" s="14">
        <f>N23*VLOOKUP('Données projet'!$B$9,Paramètres!$A$1:$I$89,3,0)*VLOOKUP('Données projet'!$B$9,Paramètres!$A$1:$I$89,5,0)</f>
        <v>91.742650000000012</v>
      </c>
      <c r="P23" s="14">
        <f t="shared" si="33"/>
        <v>24.985039964008102</v>
      </c>
      <c r="Q23" s="22">
        <f t="shared" si="2"/>
        <v>203.3007266873141</v>
      </c>
      <c r="R23" s="62">
        <f t="shared" si="0"/>
        <v>484.41183779842527</v>
      </c>
      <c r="S23" s="62">
        <f ca="1">AVERAGE(OFFSET($R$3,0,0,'Données projet'!$E$9+1,1))-AVERAGE(OFFSET($H$3,0,0,'Données projet'!$E$9+1,1))</f>
        <v>323.98185264074681</v>
      </c>
      <c r="T23" s="62">
        <f t="shared" si="34"/>
        <v>301.22207291854005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7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13.103846153846154</v>
      </c>
      <c r="AI23" s="14">
        <f>IF('Données projet'!$A$62&gt;35,AI22+AH23-AQ22,IF(A23&lt;'Données projet'!$A$62,$AF$205^A23,IF(A23='Données projet'!$A$62,'Données projet'!$B$62,AI22+AH23-AQ22)))</f>
        <v>101.22692307692307</v>
      </c>
      <c r="AJ23" s="14">
        <f>AI23*VLOOKUP('Données projet'!$B$10,Paramètres!$A$1:$I$89,3,0)*VLOOKUP('Données projet'!$B$10,Paramètres!$A$1:$I$89,5,0)</f>
        <v>60.533700000000003</v>
      </c>
      <c r="AK23" s="14">
        <f t="shared" si="35"/>
        <v>17.303135492539088</v>
      </c>
      <c r="AL23" s="22">
        <f t="shared" si="4"/>
        <v>135.56582181617225</v>
      </c>
      <c r="AM23" s="62">
        <f t="shared" si="5"/>
        <v>416.67693292728336</v>
      </c>
      <c r="AN23" s="62">
        <f ca="1">AVERAGE(OFFSET($AM$3,0,0,'Données projet'!$E$10+1,1))-AVERAGE(OFFSET($H$3,0,0,'Données projet'!$E$10+1,1))</f>
        <v>289.12367833861299</v>
      </c>
      <c r="AO23" s="62">
        <f t="shared" si="36"/>
        <v>229.06617320689003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42</v>
      </c>
      <c r="BB23" s="13">
        <f>VLOOKUP(A23,'Données projet'!$A$87:$I$107,9,0)</f>
        <v>2.1</v>
      </c>
      <c r="BC23" s="13">
        <f t="array" ref="BC23">INDEX(BB:BB,MIN(IF(ISNUMBER(BB23:BB219),ROW(BB23:BB219),"")))</f>
        <v>2.1</v>
      </c>
      <c r="BD23" s="13">
        <f>IF('Données projet'!$A$88&gt;35,BD22+BC23-BL22,IF(A23&lt;'Données projet'!$A$88,$BA$205^A23,IF(A23='Données projet'!$A$88,'Données projet'!$B$88,BD22+BC23-BL22)))</f>
        <v>42</v>
      </c>
      <c r="BE23" s="14">
        <f>BD23*VLOOKUP('Données projet'!$B$11,Paramètres!$A$1:$I$89,3,0)*VLOOKUP('Données projet'!$B$11,Paramètres!$A$1:$I$89,5,0)</f>
        <v>38.001600000000003</v>
      </c>
      <c r="BF23" s="14">
        <f t="shared" si="37"/>
        <v>11.467401227090512</v>
      </c>
      <c r="BG23" s="22">
        <f t="shared" si="7"/>
        <v>86.158510470515978</v>
      </c>
      <c r="BH23" s="62">
        <f t="shared" si="8"/>
        <v>367.26962158162712</v>
      </c>
      <c r="BI23" s="62">
        <f ca="1">AVERAGE(OFFSET($BH$3,0,0,'Données projet'!$E$11+1,1))-AVERAGE(OFFSET($H$3,0,0,'Données projet'!$E$11+1,1))</f>
        <v>428.8489304403459</v>
      </c>
      <c r="BJ23" s="62">
        <f t="shared" si="38"/>
        <v>247.01165577562966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95</v>
      </c>
      <c r="BW23" s="13">
        <f>VLOOKUP(A23,'Données projet'!$A$113:$I$133,9,0)</f>
        <v>11.6</v>
      </c>
      <c r="BX23" s="13">
        <f t="array" ref="BX23">INDEX(BW:BW,MIN(IF(ISNUMBER(BW23:BW219),ROW(BW23:BW219),"")))</f>
        <v>11.6</v>
      </c>
      <c r="BY23" s="13">
        <f>IF('Données projet'!$A$114&gt;35,BY22+BX23-CG22,IF(A23&lt;'Données projet'!$A$114,$BV$205^A23,IF(A23='Données projet'!$A$114,'Données projet'!$B$114,BY22+BX23-CG22)))</f>
        <v>94.999999999999986</v>
      </c>
      <c r="BZ23" s="14">
        <f>BY23*VLOOKUP('Données projet'!$B$12,Paramètres!$A$1:$I$89,3,0)*VLOOKUP('Données projet'!$B$12,Paramètres!$A$1:$I$89,5,0)</f>
        <v>69.653999999999982</v>
      </c>
      <c r="CA23" s="14">
        <f t="shared" si="39"/>
        <v>19.587508813096782</v>
      </c>
      <c r="CB23" s="22">
        <f t="shared" si="10"/>
        <v>155.42896118281021</v>
      </c>
      <c r="CC23" s="62">
        <f t="shared" si="11"/>
        <v>436.54007229392136</v>
      </c>
      <c r="CD23" s="62">
        <f ca="1">AVERAGE(OFFSET($CC$3,0,0,'Données projet'!$E$12+1,1))-AVERAGE(OFFSET($H$3,0,0,'Données projet'!$E$12+1,1))</f>
        <v>290.85271051443431</v>
      </c>
      <c r="CE23" s="62">
        <f t="shared" si="40"/>
        <v>318.66958823451142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43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88</v>
      </c>
      <c r="CR23" s="13">
        <f>VLOOKUP(A23,'Données projet'!$A$139:$I$159,9,0)</f>
        <v>9.6</v>
      </c>
      <c r="CS23" s="13">
        <f t="array" ref="CS23">INDEX(CR:CR,MIN(IF(ISNUMBER(CR23:CR219),ROW(CR23:CR219),"")))</f>
        <v>9.6</v>
      </c>
      <c r="CT23" s="13">
        <f>IF('Données projet'!$A$140&gt;35,CT22+CS23-DB22,IF(A23&lt;'Données projet'!$A$140,$CQ$205^A23,IF(A23='Données projet'!$A$140,'Données projet'!$B$140,CT22+CS23-DB22)))</f>
        <v>87.999999999999986</v>
      </c>
      <c r="CU23" s="18">
        <f>CT23*VLOOKUP('Données projet'!$B$13,Paramètres!$A$1:$I$89,3,0)*VLOOKUP('Données projet'!$B$13,Paramètres!$A$1:$I$89,5,0)</f>
        <v>68.639999999999986</v>
      </c>
      <c r="CV23" s="14">
        <f t="shared" si="41"/>
        <v>19.335336956640202</v>
      </c>
      <c r="CW23" s="22">
        <f t="shared" si="13"/>
        <v>153.22371186614834</v>
      </c>
      <c r="CX23" s="62">
        <f t="shared" si="14"/>
        <v>434.33482297725948</v>
      </c>
      <c r="CY23" s="62">
        <f ca="1">AVERAGE(OFFSET($CX$3,0,0,'Données projet'!$E$13+1,1))-AVERAGE(OFFSET($H$3,0,0,'Données projet'!$E$13+1,1))</f>
        <v>292.57482726862594</v>
      </c>
      <c r="CZ23" s="62">
        <f t="shared" si="42"/>
        <v>283.48738729114024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95</v>
      </c>
      <c r="DM23" s="13">
        <f>VLOOKUP(A23,'Données projet'!$A$165:$I$185,9,0)</f>
        <v>11.6</v>
      </c>
      <c r="DN23" s="13">
        <f t="array" ref="DN23">INDEX(DM:DM,MIN(IF(ISNUMBER(DM23:DM219),ROW(DM23:DM219),"")))</f>
        <v>11.6</v>
      </c>
      <c r="DO23" s="13">
        <f>IF('Données projet'!$A$166&gt;35,DO22+DN23-DW22,IF(A23&lt;'Données projet'!$A$166,$DL$205^A23,IF(A23='Données projet'!$A$166,'Données projet'!$B$166,DO22+DN23-DW22)))</f>
        <v>94.999999999999986</v>
      </c>
      <c r="DP23" s="18">
        <f>DO23*VLOOKUP('Données projet'!$B$14,Paramètres!$A$1:$I$89,3,0)*VLOOKUP('Données projet'!$B$14,Paramètres!$A$1:$I$89,5,0)</f>
        <v>75.581999999999994</v>
      </c>
      <c r="DQ23" s="14">
        <f t="shared" si="43"/>
        <v>21.053414706764119</v>
      </c>
      <c r="DR23" s="22">
        <f t="shared" si="16"/>
        <v>168.30668061428082</v>
      </c>
      <c r="DS23" s="62">
        <f t="shared" si="17"/>
        <v>449.41779172539196</v>
      </c>
      <c r="DT23" s="62">
        <f ca="1">AVERAGE(OFFSET($DS$3,0,0,'Données projet'!$E$14+1,1))-AVERAGE(OFFSET($H$3,0,0,'Données projet'!$E$14+1,1))</f>
        <v>312.53381881960331</v>
      </c>
      <c r="DU23" s="62">
        <f t="shared" si="44"/>
        <v>342.06887933351783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43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67.948717948717942</v>
      </c>
      <c r="EH23" s="13">
        <f>VLOOKUP(A23,'Données projet'!$A$191:$I$211,9,0)</f>
        <v>6.2820512820512802</v>
      </c>
      <c r="EI23" s="13">
        <f t="array" ref="EI23">INDEX(EH:EH,MIN(IF(ISNUMBER(EH23:EH219),ROW(EH23:EH219),"")))</f>
        <v>6.2820512820512802</v>
      </c>
      <c r="EJ23" s="13">
        <f>IF('Données projet'!$A$192&gt;35,EJ22+EI23-ER22,IF(A23&lt;'Données projet'!$A$192,$EG$205^A23,IF(A23='Données projet'!$A$192,'Données projet'!$B$192,EJ22+EI23-ER22)))</f>
        <v>67.948717948717928</v>
      </c>
      <c r="EK23" s="18">
        <f>EJ23*VLOOKUP('Données projet'!$B$15,Paramètres!$A$1:$I$89,3,0)*VLOOKUP('Données projet'!$B$15,Paramètres!$A$1:$I$89,5,0)</f>
        <v>64.659999999999982</v>
      </c>
      <c r="EL23" s="14">
        <f t="shared" si="45"/>
        <v>18.341285436472681</v>
      </c>
      <c r="EM23" s="22">
        <f t="shared" si="19"/>
        <v>144.56057213518989</v>
      </c>
      <c r="EN23" s="62">
        <f t="shared" si="20"/>
        <v>425.67168324630103</v>
      </c>
      <c r="EO23" s="62">
        <f ca="1">AVERAGE(OFFSET($EN$3,0,0,'Données projet'!$E$15+1,1))-AVERAGE(OFFSET($H$3,0,0,'Données projet'!$E$15+1,1))</f>
        <v>363.37916970915211</v>
      </c>
      <c r="EP23" s="62">
        <f t="shared" si="46"/>
        <v>281.52963027844595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16.666666666666668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3.4425641025641025</v>
      </c>
      <c r="FE23" s="13">
        <f>IF('Données projet'!$A$218&gt;35,FE22+FD23-FM22,IF(A23&lt;'Données projet'!$A$218,$FB$205^A23,IF(A23='Données projet'!$A$218,'Données projet'!$B$218,FE22+FD23-FM22)))</f>
        <v>22.012474220583886</v>
      </c>
      <c r="FF23" s="18">
        <f>FE23*VLOOKUP('Données projet'!$B$16,Paramètres!$A$1:$I$89,3,0)*VLOOKUP('Données projet'!$B$16,Paramètres!$A$1:$I$89,5,0)</f>
        <v>10.301837935233259</v>
      </c>
      <c r="FG23" s="14">
        <f t="shared" si="47"/>
        <v>3.6187910342764393</v>
      </c>
      <c r="FH23" s="22">
        <f t="shared" si="22"/>
        <v>24.245095455229389</v>
      </c>
      <c r="FI23" s="62">
        <f t="shared" si="23"/>
        <v>305.35620656634052</v>
      </c>
      <c r="FJ23" s="62">
        <f ca="1">AVERAGE(OFFSET($FI$3,0,0,'Données projet'!$E$16+1,1))-AVERAGE(OFFSET($H$3,0,0,'Données projet'!$E$16+1,1))</f>
        <v>245.47494516762282</v>
      </c>
      <c r="FK23" s="62">
        <f t="shared" si="48"/>
        <v>145.54897745089966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42</v>
      </c>
      <c r="FX23" s="13">
        <f>VLOOKUP(A23,'Données projet'!$A$243:$I$263,9,0)</f>
        <v>2.1</v>
      </c>
      <c r="FY23" s="13">
        <f t="array" ref="FY23">INDEX(FX:FX,MIN(IF(ISNUMBER(FX23:FX219),ROW(FX23:FX219),"")))</f>
        <v>2.1</v>
      </c>
      <c r="FZ23" s="13">
        <f>IF('Données projet'!$A$244&gt;35,FZ22+FY23-GH22,IF(A23&lt;'Données projet'!$A$244,$FW$205^A23,IF(A23='Données projet'!$A$244,'Données projet'!$B$244,FZ22+FY23-GH22)))</f>
        <v>42</v>
      </c>
      <c r="GA23" s="18">
        <f>FZ23*VLOOKUP('Données projet'!$B$17,Paramètres!$A$1:$I$89,3,0)*VLOOKUP('Données projet'!$B$17,Paramètres!$A$1:$I$89,5,0)</f>
        <v>40.622399999999999</v>
      </c>
      <c r="GB23" s="14">
        <f t="shared" si="49"/>
        <v>12.163465560290264</v>
      </c>
      <c r="GC23" s="22">
        <f t="shared" si="25"/>
        <v>91.935382517505545</v>
      </c>
      <c r="GD23" s="62">
        <f t="shared" si="26"/>
        <v>373.0464936286167</v>
      </c>
      <c r="GE23" s="62">
        <f ca="1">AVERAGE(OFFSET($GD$3,0,0,'Données projet'!$E$17+1,1))-AVERAGE(OFFSET($H$3,0,0,'Données projet'!$E$17+1,1))</f>
        <v>455.50822833641354</v>
      </c>
      <c r="GF23" s="62">
        <f t="shared" si="50"/>
        <v>261.14722581688039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>
        <f>VLOOKUP(A23,'Données projet'!$A$269:$I$289,2,0)</f>
        <v>91.025641025641022</v>
      </c>
      <c r="GS23" s="13">
        <f>VLOOKUP(A23,'Données projet'!$A$269:$I$289,9,0)</f>
        <v>8.2051282051282044</v>
      </c>
      <c r="GT23" s="13">
        <f t="array" ref="GT23">INDEX(GS:GS,MIN(IF(ISNUMBER(GS23:GS219),ROW(GS23:GS219),"")))</f>
        <v>8.2051282051282044</v>
      </c>
      <c r="GU23" s="13">
        <f>IF('Données projet'!$A$270&gt;35,GU22+GT23-HC22,IF(A23&lt;'Données projet'!$A$270,$GR$205^A23,IF(A23='Données projet'!$A$270,'Données projet'!$B$270,GU22+GT23-HC22)))</f>
        <v>91.025641025641022</v>
      </c>
      <c r="GV23" s="18">
        <f>GU23*VLOOKUP('Données projet'!$B$18,Paramètres!$A$1:$I$89,3,0)*VLOOKUP('Données projet'!$B$18,Paramètres!$A$1:$I$89,5,0)</f>
        <v>61.06</v>
      </c>
      <c r="GW23" s="14">
        <f t="shared" si="51"/>
        <v>17.43599650596687</v>
      </c>
      <c r="GX23" s="22">
        <f t="shared" si="28"/>
        <v>136.71386058122562</v>
      </c>
      <c r="GY23" s="62">
        <f t="shared" si="29"/>
        <v>417.82497169233676</v>
      </c>
      <c r="GZ23" s="62">
        <f ca="1">AVERAGE(OFFSET($GY$3,0,0,'Données projet'!$E$18+1,1))-AVERAGE(OFFSET($H$3,0,0,'Données projet'!$E$18+1,1))</f>
        <v>312.06797204903796</v>
      </c>
      <c r="HA23" s="62">
        <f t="shared" si="52"/>
        <v>258.20189001775151</v>
      </c>
      <c r="HB23" s="16">
        <f>IF(ISNA(VLOOKUP(A23,'Données projet'!$A$269:$I$289,3,0)),0,VLOOKUP(A23,'Données projet'!$A$269:$I$289,3,0))</f>
        <v>1</v>
      </c>
      <c r="HC23" s="16">
        <f>IF(ISNA(VLOOKUP(A23,'Données projet'!$A$269:$I$289,4,0)),0,VLOOKUP(A23,'Données projet'!$A$269:$I$289,4,0))</f>
        <v>24.358974358974358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</row>
    <row r="24" spans="1:218" s="5" customFormat="1" x14ac:dyDescent="0.25">
      <c r="A24" s="11">
        <f t="shared" si="31"/>
        <v>21</v>
      </c>
      <c r="B24" s="76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9">
        <f t="shared" si="1"/>
        <v>256.66666666666669</v>
      </c>
      <c r="I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>
        <f>VLOOKUP(A24,'Données projet'!$A$35:$I$55,2,0)</f>
        <v>180.06153846153848</v>
      </c>
      <c r="L24" s="13">
        <f>VLOOKUP(A24,'Données projet'!$A$35:$I$55,9,0)</f>
        <v>15.942307692307708</v>
      </c>
      <c r="M24" s="13">
        <f t="array" ref="M24">INDEX(L:L,MIN(IF(ISNUMBER(L24:L220),ROW(L24:L220),"")))</f>
        <v>15.942307692307708</v>
      </c>
      <c r="N24" s="14">
        <f>IF('Données projet'!$A$36&gt;35,N23+M24-V23,IF(A24&lt;'Données projet'!$A$36,$K$205^A24,IF(A24='Données projet'!$A$36,'Données projet'!$B$36,N23+M24-V23)))</f>
        <v>180.06153846153848</v>
      </c>
      <c r="O24" s="14">
        <f>N24*VLOOKUP('Données projet'!$B$9,Paramètres!$A$1:$I$89,3,0)*VLOOKUP('Données projet'!$B$9,Paramètres!$A$1:$I$89,5,0)</f>
        <v>100.65440000000001</v>
      </c>
      <c r="P24" s="14">
        <f t="shared" si="33"/>
        <v>27.117840091618859</v>
      </c>
      <c r="Q24" s="22">
        <f t="shared" si="2"/>
        <v>222.53665149290285</v>
      </c>
      <c r="R24" s="62">
        <f t="shared" si="0"/>
        <v>504.86998482623619</v>
      </c>
      <c r="S24" s="62">
        <f ca="1">AVERAGE(OFFSET($R$3,0,0,'Données projet'!$E$9+1,1))-AVERAGE(OFFSET($H$3,0,0,'Données projet'!$E$9+1,1))</f>
        <v>323.98185264074681</v>
      </c>
      <c r="T24" s="62">
        <f t="shared" si="34"/>
        <v>301.22207291854005</v>
      </c>
      <c r="U24" s="16">
        <f>IF(ISNA(VLOOKUP(A24,'Données projet'!$A$35:$I$55,3,0)),0,VLOOKUP(A24,'Données projet'!$A$35:$I$55,3,0))</f>
        <v>1</v>
      </c>
      <c r="V24" s="16">
        <f>IF(ISNA(VLOOKUP(A24,'Données projet'!$A$35:$I$55,4,0)),0,VLOOKUP(A24,'Données projet'!$A$35:$I$55,4,0))</f>
        <v>61.169230769230765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0.11000000000000001</v>
      </c>
      <c r="Y24" s="17">
        <f>IF(ISNA(VLOOKUP(A24,'Données projet'!$A$35:$I$55,7,0)),0%,VLOOKUP(A24,'Données projet'!$A$35:$I$55,7,0))</f>
        <v>0.4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4.9699556173792603</v>
      </c>
      <c r="AB24" s="23">
        <f>EXP(-LN(2)/2)*AB23+(1-EXP(-LN(2)/2))/(LN(2)/2)*V24*Y24*VLOOKUP('Données projet'!$B$9,Paramètres!$A$1:$I$89,3,0)*0.475*44/12</f>
        <v>15.486039315480385</v>
      </c>
      <c r="AC24" s="24">
        <f t="shared" si="3"/>
        <v>20.455994932859646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>
        <f>VLOOKUP(A24,'Données projet'!$A$61:$I$81,2,0)</f>
        <v>114.33076923076922</v>
      </c>
      <c r="AG24" s="13">
        <f>VLOOKUP(A24,'Données projet'!$A$61:$I$81,9,0)</f>
        <v>13.103846153846154</v>
      </c>
      <c r="AH24" s="13">
        <f t="array" ref="AH24">INDEX(AG:AG,MIN(IF(ISNUMBER(AG24:AG220),ROW(AG24:AG220),"")))</f>
        <v>13.103846153846154</v>
      </c>
      <c r="AI24" s="14">
        <f>IF('Données projet'!$A$62&gt;35,AI23+AH24-AQ23,IF(A24&lt;'Données projet'!$A$62,$AF$205^A24,IF(A24='Données projet'!$A$62,'Données projet'!$B$62,AI23+AH24-AQ23)))</f>
        <v>114.33076923076922</v>
      </c>
      <c r="AJ24" s="14">
        <f>AI24*VLOOKUP('Données projet'!$B$10,Paramètres!$A$1:$I$89,3,0)*VLOOKUP('Données projet'!$B$10,Paramètres!$A$1:$I$89,5,0)</f>
        <v>68.369799999999998</v>
      </c>
      <c r="AK24" s="14">
        <f t="shared" si="35"/>
        <v>19.268067928266802</v>
      </c>
      <c r="AL24" s="22">
        <f t="shared" si="4"/>
        <v>152.635953308398</v>
      </c>
      <c r="AM24" s="62">
        <f t="shared" si="5"/>
        <v>434.96928664173129</v>
      </c>
      <c r="AN24" s="62">
        <f ca="1">AVERAGE(OFFSET($AM$3,0,0,'Données projet'!$E$10+1,1))-AVERAGE(OFFSET($H$3,0,0,'Données projet'!$E$10+1,1))</f>
        <v>289.12367833861299</v>
      </c>
      <c r="AO24" s="62">
        <f t="shared" si="36"/>
        <v>229.06617320689003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5.6</v>
      </c>
      <c r="BD24" s="13">
        <f>IF('Données projet'!$A$88&gt;35,BD23+BC24-BL23,IF(A24&lt;'Données projet'!$A$88,$BA$205^A24,IF(A24='Données projet'!$A$88,'Données projet'!$B$88,BD23+BC24-BL23)))</f>
        <v>47.6</v>
      </c>
      <c r="BE24" s="14">
        <f>BD24*VLOOKUP('Données projet'!$B$11,Paramètres!$A$1:$I$89,3,0)*VLOOKUP('Données projet'!$B$11,Paramètres!$A$1:$I$89,5,0)</f>
        <v>43.068480000000001</v>
      </c>
      <c r="BF24" s="14">
        <f t="shared" si="37"/>
        <v>12.808416415102187</v>
      </c>
      <c r="BG24" s="22">
        <f t="shared" si="7"/>
        <v>97.318927922969635</v>
      </c>
      <c r="BH24" s="62">
        <f t="shared" si="8"/>
        <v>379.65226125630295</v>
      </c>
      <c r="BI24" s="62">
        <f ca="1">AVERAGE(OFFSET($BH$3,0,0,'Données projet'!$E$11+1,1))-AVERAGE(OFFSET($H$3,0,0,'Données projet'!$E$11+1,1))</f>
        <v>428.8489304403459</v>
      </c>
      <c r="BJ24" s="62">
        <f t="shared" si="38"/>
        <v>247.01165577562966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12.6</v>
      </c>
      <c r="BY24" s="13">
        <f>IF('Données projet'!$A$114&gt;35,BY23+BX24-CG23,IF(A24&lt;'Données projet'!$A$114,$BV$205^A24,IF(A24='Données projet'!$A$114,'Données projet'!$B$114,BY23+BX24-CG23)))</f>
        <v>64.59999999999998</v>
      </c>
      <c r="BZ24" s="14">
        <f>BY24*VLOOKUP('Données projet'!$B$12,Paramètres!$A$1:$I$89,3,0)*VLOOKUP('Données projet'!$B$12,Paramètres!$A$1:$I$89,5,0)</f>
        <v>47.364719999999984</v>
      </c>
      <c r="CA24" s="14">
        <f t="shared" si="39"/>
        <v>13.931057351916726</v>
      </c>
      <c r="CB24" s="22">
        <f t="shared" si="10"/>
        <v>106.75681222125495</v>
      </c>
      <c r="CC24" s="62">
        <f t="shared" si="11"/>
        <v>389.09014555458828</v>
      </c>
      <c r="CD24" s="62">
        <f ca="1">AVERAGE(OFFSET($CC$3,0,0,'Données projet'!$E$12+1,1))-AVERAGE(OFFSET($H$3,0,0,'Données projet'!$E$12+1,1))</f>
        <v>290.85271051443431</v>
      </c>
      <c r="CE24" s="62">
        <f t="shared" si="40"/>
        <v>318.66958823451142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10.6</v>
      </c>
      <c r="CT24" s="13">
        <f>IF('Données projet'!$A$140&gt;35,CT23+CS24-DB23,IF(A24&lt;'Données projet'!$A$140,$CQ$205^A24,IF(A24='Données projet'!$A$140,'Données projet'!$B$140,CT23+CS24-DB23)))</f>
        <v>98.59999999999998</v>
      </c>
      <c r="CU24" s="18">
        <f>CT24*VLOOKUP('Données projet'!$B$13,Paramètres!$A$1:$I$89,3,0)*VLOOKUP('Données projet'!$B$13,Paramètres!$A$1:$I$89,5,0)</f>
        <v>76.907999999999987</v>
      </c>
      <c r="CV24" s="14">
        <f t="shared" si="41"/>
        <v>21.379448490435635</v>
      </c>
      <c r="CW24" s="22">
        <f t="shared" si="13"/>
        <v>171.18397278750868</v>
      </c>
      <c r="CX24" s="62">
        <f t="shared" si="14"/>
        <v>453.51730612084202</v>
      </c>
      <c r="CY24" s="62">
        <f ca="1">AVERAGE(OFFSET($CX$3,0,0,'Données projet'!$E$13+1,1))-AVERAGE(OFFSET($H$3,0,0,'Données projet'!$E$13+1,1))</f>
        <v>292.57482726862594</v>
      </c>
      <c r="CZ24" s="62">
        <f t="shared" si="42"/>
        <v>283.48738729114024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12.6</v>
      </c>
      <c r="DO24" s="13">
        <f>IF('Données projet'!$A$166&gt;35,DO23+DN24-DW23,IF(A24&lt;'Données projet'!$A$166,$DL$205^A24,IF(A24='Données projet'!$A$166,'Données projet'!$B$166,DO23+DN24-DW23)))</f>
        <v>64.59999999999998</v>
      </c>
      <c r="DP24" s="18">
        <f>DO24*VLOOKUP('Données projet'!$B$14,Paramètres!$A$1:$I$89,3,0)*VLOOKUP('Données projet'!$B$14,Paramètres!$A$1:$I$89,5,0)</f>
        <v>51.395759999999989</v>
      </c>
      <c r="DQ24" s="14">
        <f t="shared" si="43"/>
        <v>14.973641136922506</v>
      </c>
      <c r="DR24" s="22">
        <f t="shared" si="16"/>
        <v>115.59337364680665</v>
      </c>
      <c r="DS24" s="62">
        <f t="shared" si="17"/>
        <v>397.92670698013995</v>
      </c>
      <c r="DT24" s="62">
        <f ca="1">AVERAGE(OFFSET($DS$3,0,0,'Données projet'!$E$14+1,1))-AVERAGE(OFFSET($H$3,0,0,'Données projet'!$E$14+1,1))</f>
        <v>312.53381881960331</v>
      </c>
      <c r="DU24" s="62">
        <f t="shared" si="44"/>
        <v>342.06887933351783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6.5384615384615419</v>
      </c>
      <c r="EJ24" s="13">
        <f>IF('Données projet'!$A$192&gt;35,EJ23+EI24-ER23,IF(A24&lt;'Données projet'!$A$192,$EG$205^A24,IF(A24='Données projet'!$A$192,'Données projet'!$B$192,EJ23+EI24-ER23)))</f>
        <v>57.820512820512803</v>
      </c>
      <c r="EK24" s="18">
        <f>EJ24*VLOOKUP('Données projet'!$B$15,Paramètres!$A$1:$I$89,3,0)*VLOOKUP('Données projet'!$B$15,Paramètres!$A$1:$I$89,5,0)</f>
        <v>55.021999999999977</v>
      </c>
      <c r="EL24" s="14">
        <f t="shared" si="45"/>
        <v>15.903400778596186</v>
      </c>
      <c r="EM24" s="22">
        <f t="shared" si="19"/>
        <v>123.52840635605497</v>
      </c>
      <c r="EN24" s="62">
        <f t="shared" si="20"/>
        <v>405.86173968938829</v>
      </c>
      <c r="EO24" s="62">
        <f ca="1">AVERAGE(OFFSET($EN$3,0,0,'Données projet'!$E$15+1,1))-AVERAGE(OFFSET($H$3,0,0,'Données projet'!$E$15+1,1))</f>
        <v>363.37916970915211</v>
      </c>
      <c r="EP24" s="62">
        <f t="shared" si="46"/>
        <v>281.52963027844595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3.4425641025641025</v>
      </c>
      <c r="FE24" s="13">
        <f>IF('Données projet'!$A$218&gt;35,FE23+FD24-FM23,IF(A24&lt;'Données projet'!$A$218,$FB$205^A24,IF(A24='Données projet'!$A$218,'Données projet'!$B$218,FE23+FD24-FM23)))</f>
        <v>25.692259707215236</v>
      </c>
      <c r="FF24" s="18">
        <f>FE24*VLOOKUP('Données projet'!$B$16,Paramètres!$A$1:$I$89,3,0)*VLOOKUP('Données projet'!$B$16,Paramètres!$A$1:$I$89,5,0)</f>
        <v>12.023977542976729</v>
      </c>
      <c r="FG24" s="14">
        <f t="shared" si="47"/>
        <v>4.1484190116858626</v>
      </c>
      <c r="FH24" s="22">
        <f t="shared" si="22"/>
        <v>28.166923999370677</v>
      </c>
      <c r="FI24" s="62">
        <f t="shared" si="23"/>
        <v>310.500257332704</v>
      </c>
      <c r="FJ24" s="62">
        <f ca="1">AVERAGE(OFFSET($FI$3,0,0,'Données projet'!$E$16+1,1))-AVERAGE(OFFSET($H$3,0,0,'Données projet'!$E$16+1,1))</f>
        <v>245.47494516762282</v>
      </c>
      <c r="FK24" s="62">
        <f t="shared" si="48"/>
        <v>145.54897745089966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5.6</v>
      </c>
      <c r="FZ24" s="13">
        <f>IF('Données projet'!$A$244&gt;35,FZ23+FY24-GH23,IF(A24&lt;'Données projet'!$A$244,$FW$205^A24,IF(A24='Données projet'!$A$244,'Données projet'!$B$244,FZ23+FY24-GH23)))</f>
        <v>47.6</v>
      </c>
      <c r="GA24" s="18">
        <f>FZ24*VLOOKUP('Données projet'!$B$17,Paramètres!$A$1:$I$89,3,0)*VLOOKUP('Données projet'!$B$17,Paramètres!$A$1:$I$89,5,0)</f>
        <v>46.038720000000005</v>
      </c>
      <c r="GB24" s="14">
        <f t="shared" si="49"/>
        <v>13.585879560828786</v>
      </c>
      <c r="GC24" s="22">
        <f t="shared" si="25"/>
        <v>103.84617756844348</v>
      </c>
      <c r="GD24" s="62">
        <f t="shared" si="26"/>
        <v>386.17951090177678</v>
      </c>
      <c r="GE24" s="62">
        <f ca="1">AVERAGE(OFFSET($GD$3,0,0,'Données projet'!$E$17+1,1))-AVERAGE(OFFSET($H$3,0,0,'Données projet'!$E$17+1,1))</f>
        <v>455.50822833641354</v>
      </c>
      <c r="GF24" s="62">
        <f t="shared" si="50"/>
        <v>261.14722581688039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8.4615384615384617</v>
      </c>
      <c r="GU24" s="13">
        <f>IF('Données projet'!$A$270&gt;35,GU23+GT24-HC23,IF(A24&lt;'Données projet'!$A$270,$GR$205^A24,IF(A24='Données projet'!$A$270,'Données projet'!$B$270,GU23+GT24-HC23)))</f>
        <v>75.128205128205138</v>
      </c>
      <c r="GV24" s="18">
        <f>GU24*VLOOKUP('Données projet'!$B$18,Paramètres!$A$1:$I$89,3,0)*VLOOKUP('Données projet'!$B$18,Paramètres!$A$1:$I$89,5,0)</f>
        <v>50.396000000000001</v>
      </c>
      <c r="GW24" s="14">
        <f t="shared" si="51"/>
        <v>14.71598138852033</v>
      </c>
      <c r="GX24" s="22">
        <f t="shared" si="28"/>
        <v>113.40336758500625</v>
      </c>
      <c r="GY24" s="62">
        <f t="shared" si="29"/>
        <v>395.73670091833958</v>
      </c>
      <c r="GZ24" s="62">
        <f ca="1">AVERAGE(OFFSET($GY$3,0,0,'Données projet'!$E$18+1,1))-AVERAGE(OFFSET($H$3,0,0,'Données projet'!$E$18+1,1))</f>
        <v>312.06797204903796</v>
      </c>
      <c r="HA24" s="62">
        <f t="shared" si="52"/>
        <v>258.20189001775151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</row>
    <row r="25" spans="1:218" s="5" customFormat="1" x14ac:dyDescent="0.25">
      <c r="A25" s="11">
        <f t="shared" si="31"/>
        <v>22</v>
      </c>
      <c r="B25" s="76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9">
        <f t="shared" si="1"/>
        <v>256.66666666666669</v>
      </c>
      <c r="I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16.687912087912085</v>
      </c>
      <c r="N25" s="14">
        <f>IF('Données projet'!$A$36&gt;35,N24+M25-V24,IF(A25&lt;'Données projet'!$A$36,$K$205^A25,IF(A25='Données projet'!$A$36,'Données projet'!$B$36,N24+M25-V24)))</f>
        <v>135.58021978021981</v>
      </c>
      <c r="O25" s="14">
        <f>N25*VLOOKUP('Données projet'!$B$9,Paramètres!$A$1:$I$89,3,0)*VLOOKUP('Données projet'!$B$9,Paramètres!$A$1:$I$89,5,0)</f>
        <v>75.78934285714287</v>
      </c>
      <c r="P25" s="14">
        <f t="shared" si="33"/>
        <v>21.104439314832948</v>
      </c>
      <c r="Q25" s="22">
        <f t="shared" si="2"/>
        <v>168.7566706161912</v>
      </c>
      <c r="R25" s="62">
        <f t="shared" si="0"/>
        <v>452.31222617174672</v>
      </c>
      <c r="S25" s="62">
        <f ca="1">AVERAGE(OFFSET($R$3,0,0,'Données projet'!$E$9+1,1))-AVERAGE(OFFSET($H$3,0,0,'Données projet'!$E$9+1,1))</f>
        <v>323.98185264074681</v>
      </c>
      <c r="T25" s="62">
        <f t="shared" si="34"/>
        <v>301.22207291854005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4.8340519196634171</v>
      </c>
      <c r="AB25" s="23">
        <f>EXP(-LN(2)/2)*AB24+(1-EXP(-LN(2)/2))/(LN(2)/2)*V25*Y25*VLOOKUP('Données projet'!$B$9,Paramètres!$A$1:$I$89,3,0)*0.475*44/12</f>
        <v>10.950283413697662</v>
      </c>
      <c r="AC25" s="24">
        <f t="shared" si="3"/>
        <v>15.784335333361078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>
        <f>VLOOKUP(A25,'Données projet'!$A$61:$I$81,2,0)</f>
        <v>129.98461538461538</v>
      </c>
      <c r="AG25" s="13">
        <f>VLOOKUP(A25,'Données projet'!$A$61:$I$81,9,0)</f>
        <v>15.65384615384616</v>
      </c>
      <c r="AH25" s="13">
        <f t="array" ref="AH25">INDEX(AG:AG,MIN(IF(ISNUMBER(AG25:AG221),ROW(AG25:AG221),"")))</f>
        <v>15.65384615384616</v>
      </c>
      <c r="AI25" s="14">
        <f>IF('Données projet'!$A$62&gt;35,AI24+AH25-AQ24,IF(A25&lt;'Données projet'!$A$62,$AF$205^A25,IF(A25='Données projet'!$A$62,'Données projet'!$B$62,AI24+AH25-AQ24)))</f>
        <v>129.98461538461538</v>
      </c>
      <c r="AJ25" s="14">
        <f>AI25*VLOOKUP('Données projet'!$B$10,Paramètres!$A$1:$I$89,3,0)*VLOOKUP('Données projet'!$B$10,Paramètres!$A$1:$I$89,5,0)</f>
        <v>77.730800000000002</v>
      </c>
      <c r="AK25" s="14">
        <f t="shared" si="35"/>
        <v>21.581427176601697</v>
      </c>
      <c r="AL25" s="22">
        <f t="shared" si="4"/>
        <v>172.96879566591463</v>
      </c>
      <c r="AM25" s="62">
        <f t="shared" si="5"/>
        <v>456.52435122147017</v>
      </c>
      <c r="AN25" s="62">
        <f ca="1">AVERAGE(OFFSET($AM$3,0,0,'Données projet'!$E$10+1,1))-AVERAGE(OFFSET($H$3,0,0,'Données projet'!$E$10+1,1))</f>
        <v>289.12367833861299</v>
      </c>
      <c r="AO25" s="62">
        <f t="shared" si="36"/>
        <v>229.06617320689003</v>
      </c>
      <c r="AP25" s="16">
        <f>IF(ISNA(VLOOKUP(A25,'Données projet'!$A$61:$I$81,3,0)),0,VLOOKUP(A25,'Données projet'!$A$61:$I$81,3,0))</f>
        <v>1</v>
      </c>
      <c r="AQ25" s="16">
        <f>IF(ISNA(VLOOKUP(A25,'Données projet'!$A$61:$I$81,4,0)),0,VLOOKUP(A25,'Données projet'!$A$61:$I$81,4,0))</f>
        <v>52.746153846153838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5.6</v>
      </c>
      <c r="BD25" s="13">
        <f>IF('Données projet'!$A$88&gt;35,BD24+BC25-BL24,IF(A25&lt;'Données projet'!$A$88,$BA$205^A25,IF(A25='Données projet'!$A$88,'Données projet'!$B$88,BD24+BC25-BL24)))</f>
        <v>53.2</v>
      </c>
      <c r="BE25" s="14">
        <f>BD25*VLOOKUP('Données projet'!$B$11,Paramètres!$A$1:$I$89,3,0)*VLOOKUP('Données projet'!$B$11,Paramètres!$A$1:$I$89,5,0)</f>
        <v>48.135359999999999</v>
      </c>
      <c r="BF25" s="14">
        <f t="shared" si="37"/>
        <v>14.131148275361113</v>
      </c>
      <c r="BG25" s="22">
        <f t="shared" si="7"/>
        <v>108.4475019129206</v>
      </c>
      <c r="BH25" s="62">
        <f t="shared" si="8"/>
        <v>392.00305746847613</v>
      </c>
      <c r="BI25" s="62">
        <f ca="1">AVERAGE(OFFSET($BH$3,0,0,'Données projet'!$E$11+1,1))-AVERAGE(OFFSET($H$3,0,0,'Données projet'!$E$11+1,1))</f>
        <v>428.8489304403459</v>
      </c>
      <c r="BJ25" s="62">
        <f t="shared" si="38"/>
        <v>247.01165577562966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12.6</v>
      </c>
      <c r="BY25" s="13">
        <f>IF('Données projet'!$A$114&gt;35,BY24+BX25-CG24,IF(A25&lt;'Données projet'!$A$114,$BV$205^A25,IF(A25='Données projet'!$A$114,'Données projet'!$B$114,BY24+BX25-CG24)))</f>
        <v>77.199999999999974</v>
      </c>
      <c r="BZ25" s="14">
        <f>BY25*VLOOKUP('Données projet'!$B$12,Paramètres!$A$1:$I$89,3,0)*VLOOKUP('Données projet'!$B$12,Paramètres!$A$1:$I$89,5,0)</f>
        <v>56.603039999999979</v>
      </c>
      <c r="CA25" s="14">
        <f t="shared" si="39"/>
        <v>16.306519487923971</v>
      </c>
      <c r="CB25" s="22">
        <f t="shared" si="10"/>
        <v>126.98414944146755</v>
      </c>
      <c r="CC25" s="62">
        <f t="shared" si="11"/>
        <v>410.53970499702308</v>
      </c>
      <c r="CD25" s="62">
        <f ca="1">AVERAGE(OFFSET($CC$3,0,0,'Données projet'!$E$12+1,1))-AVERAGE(OFFSET($H$3,0,0,'Données projet'!$E$12+1,1))</f>
        <v>290.85271051443431</v>
      </c>
      <c r="CE25" s="62">
        <f t="shared" si="40"/>
        <v>318.66958823451142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10.6</v>
      </c>
      <c r="CT25" s="13">
        <f>IF('Données projet'!$A$140&gt;35,CT24+CS25-DB24,IF(A25&lt;'Données projet'!$A$140,$CQ$205^A25,IF(A25='Données projet'!$A$140,'Données projet'!$B$140,CT24+CS25-DB24)))</f>
        <v>109.19999999999997</v>
      </c>
      <c r="CU25" s="18">
        <f>CT25*VLOOKUP('Données projet'!$B$13,Paramètres!$A$1:$I$89,3,0)*VLOOKUP('Données projet'!$B$13,Paramètres!$A$1:$I$89,5,0)</f>
        <v>85.175999999999988</v>
      </c>
      <c r="CV25" s="14">
        <f t="shared" si="41"/>
        <v>23.398088487656434</v>
      </c>
      <c r="CW25" s="22">
        <f t="shared" si="13"/>
        <v>189.09987078266826</v>
      </c>
      <c r="CX25" s="62">
        <f t="shared" si="14"/>
        <v>472.65542633822383</v>
      </c>
      <c r="CY25" s="62">
        <f ca="1">AVERAGE(OFFSET($CX$3,0,0,'Données projet'!$E$13+1,1))-AVERAGE(OFFSET($H$3,0,0,'Données projet'!$E$13+1,1))</f>
        <v>292.57482726862594</v>
      </c>
      <c r="CZ25" s="62">
        <f t="shared" si="42"/>
        <v>283.48738729114024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12.6</v>
      </c>
      <c r="DO25" s="13">
        <f>IF('Données projet'!$A$166&gt;35,DO24+DN25-DW24,IF(A25&lt;'Données projet'!$A$166,$DL$205^A25,IF(A25='Données projet'!$A$166,'Données projet'!$B$166,DO24+DN25-DW24)))</f>
        <v>77.199999999999974</v>
      </c>
      <c r="DP25" s="18">
        <f>DO25*VLOOKUP('Données projet'!$B$14,Paramètres!$A$1:$I$89,3,0)*VLOOKUP('Données projet'!$B$14,Paramètres!$A$1:$I$89,5,0)</f>
        <v>61.420319999999982</v>
      </c>
      <c r="DQ25" s="14">
        <f t="shared" si="43"/>
        <v>17.526880037631354</v>
      </c>
      <c r="DR25" s="22">
        <f t="shared" si="16"/>
        <v>137.4997067322079</v>
      </c>
      <c r="DS25" s="62">
        <f t="shared" si="17"/>
        <v>421.05526228776341</v>
      </c>
      <c r="DT25" s="62">
        <f ca="1">AVERAGE(OFFSET($DS$3,0,0,'Données projet'!$E$14+1,1))-AVERAGE(OFFSET($H$3,0,0,'Données projet'!$E$14+1,1))</f>
        <v>312.53381881960331</v>
      </c>
      <c r="DU25" s="62">
        <f t="shared" si="44"/>
        <v>342.06887933351783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6.5384615384615419</v>
      </c>
      <c r="EJ25" s="13">
        <f>IF('Données projet'!$A$192&gt;35,EJ24+EI25-ER24,IF(A25&lt;'Données projet'!$A$192,$EG$205^A25,IF(A25='Données projet'!$A$192,'Données projet'!$B$192,EJ24+EI25-ER24)))</f>
        <v>64.358974358974351</v>
      </c>
      <c r="EK25" s="18">
        <f>EJ25*VLOOKUP('Données projet'!$B$15,Paramètres!$A$1:$I$89,3,0)*VLOOKUP('Données projet'!$B$15,Paramètres!$A$1:$I$89,5,0)</f>
        <v>61.244</v>
      </c>
      <c r="EL25" s="14">
        <f t="shared" si="45"/>
        <v>17.482414611857141</v>
      </c>
      <c r="EM25" s="22">
        <f t="shared" si="19"/>
        <v>137.11517211565118</v>
      </c>
      <c r="EN25" s="62">
        <f t="shared" si="20"/>
        <v>420.67072767120669</v>
      </c>
      <c r="EO25" s="62">
        <f ca="1">AVERAGE(OFFSET($EN$3,0,0,'Données projet'!$E$15+1,1))-AVERAGE(OFFSET($H$3,0,0,'Données projet'!$E$15+1,1))</f>
        <v>363.37916970915211</v>
      </c>
      <c r="EP25" s="62">
        <f t="shared" si="46"/>
        <v>281.52963027844595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3.4425641025641025</v>
      </c>
      <c r="FE25" s="13">
        <f>IF('Données projet'!$A$218&gt;35,FE24+FD25-FM24,IF(A25&lt;'Données projet'!$A$218,$FB$205^A25,IF(A25='Données projet'!$A$218,'Données projet'!$B$218,FE24+FD25-FM24)))</f>
        <v>29.987188275534368</v>
      </c>
      <c r="FF25" s="18">
        <f>FE25*VLOOKUP('Données projet'!$B$16,Paramètres!$A$1:$I$89,3,0)*VLOOKUP('Données projet'!$B$16,Paramètres!$A$1:$I$89,5,0)</f>
        <v>14.034004112950084</v>
      </c>
      <c r="FG25" s="14">
        <f t="shared" si="47"/>
        <v>4.7555606647394173</v>
      </c>
      <c r="FH25" s="22">
        <f t="shared" si="22"/>
        <v>32.725158654475884</v>
      </c>
      <c r="FI25" s="62">
        <f t="shared" si="23"/>
        <v>316.28071421003142</v>
      </c>
      <c r="FJ25" s="62">
        <f ca="1">AVERAGE(OFFSET($FI$3,0,0,'Données projet'!$E$16+1,1))-AVERAGE(OFFSET($H$3,0,0,'Données projet'!$E$16+1,1))</f>
        <v>245.47494516762282</v>
      </c>
      <c r="FK25" s="62">
        <f t="shared" si="48"/>
        <v>145.54897745089966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5.6</v>
      </c>
      <c r="FZ25" s="13">
        <f>IF('Données projet'!$A$244&gt;35,FZ24+FY25-GH24,IF(A25&lt;'Données projet'!$A$244,$FW$205^A25,IF(A25='Données projet'!$A$244,'Données projet'!$B$244,FZ24+FY25-GH24)))</f>
        <v>53.2</v>
      </c>
      <c r="GA25" s="18">
        <f>FZ25*VLOOKUP('Données projet'!$B$17,Paramètres!$A$1:$I$89,3,0)*VLOOKUP('Données projet'!$B$17,Paramètres!$A$1:$I$89,5,0)</f>
        <v>51.455040000000004</v>
      </c>
      <c r="GB25" s="14">
        <f t="shared" si="49"/>
        <v>14.988900446655085</v>
      </c>
      <c r="GC25" s="22">
        <f t="shared" si="25"/>
        <v>115.72319627792427</v>
      </c>
      <c r="GD25" s="62">
        <f t="shared" si="26"/>
        <v>399.27875183347982</v>
      </c>
      <c r="GE25" s="62">
        <f ca="1">AVERAGE(OFFSET($GD$3,0,0,'Données projet'!$E$17+1,1))-AVERAGE(OFFSET($H$3,0,0,'Données projet'!$E$17+1,1))</f>
        <v>455.50822833641354</v>
      </c>
      <c r="GF25" s="62">
        <f t="shared" si="50"/>
        <v>261.14722581688039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8.4615384615384617</v>
      </c>
      <c r="GU25" s="13">
        <f>IF('Données projet'!$A$270&gt;35,GU24+GT25-HC24,IF(A25&lt;'Données projet'!$A$270,$GR$205^A25,IF(A25='Données projet'!$A$270,'Données projet'!$B$270,GU24+GT25-HC24)))</f>
        <v>83.589743589743605</v>
      </c>
      <c r="GV25" s="18">
        <f>GU25*VLOOKUP('Données projet'!$B$18,Paramètres!$A$1:$I$89,3,0)*VLOOKUP('Données projet'!$B$18,Paramètres!$A$1:$I$89,5,0)</f>
        <v>56.07200000000001</v>
      </c>
      <c r="GW25" s="14">
        <f t="shared" si="51"/>
        <v>16.17126790367621</v>
      </c>
      <c r="GX25" s="22">
        <f t="shared" si="28"/>
        <v>125.82369159890273</v>
      </c>
      <c r="GY25" s="62">
        <f t="shared" si="29"/>
        <v>409.37924715445826</v>
      </c>
      <c r="GZ25" s="62">
        <f ca="1">AVERAGE(OFFSET($GY$3,0,0,'Données projet'!$E$18+1,1))-AVERAGE(OFFSET($H$3,0,0,'Données projet'!$E$18+1,1))</f>
        <v>312.06797204903796</v>
      </c>
      <c r="HA25" s="62">
        <f t="shared" si="52"/>
        <v>258.20189001775151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</row>
    <row r="26" spans="1:218" s="5" customFormat="1" x14ac:dyDescent="0.25">
      <c r="A26" s="11">
        <f t="shared" si="31"/>
        <v>23</v>
      </c>
      <c r="B26" s="76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9">
        <f t="shared" si="1"/>
        <v>256.66666666666669</v>
      </c>
      <c r="I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16.687912087912085</v>
      </c>
      <c r="N26" s="14">
        <f>IF('Données projet'!$A$36&gt;35,N25+M26-V25,IF(A26&lt;'Données projet'!$A$36,$K$205^A26,IF(A26='Données projet'!$A$36,'Données projet'!$B$36,N25+M26-V25)))</f>
        <v>152.26813186813189</v>
      </c>
      <c r="O26" s="14">
        <f>N26*VLOOKUP('Données projet'!$B$9,Paramètres!$A$1:$I$89,3,0)*VLOOKUP('Données projet'!$B$9,Paramètres!$A$1:$I$89,5,0)</f>
        <v>85.11788571428572</v>
      </c>
      <c r="P26" s="14">
        <f t="shared" si="33"/>
        <v>23.383981996566973</v>
      </c>
      <c r="Q26" s="22">
        <f t="shared" si="2"/>
        <v>188.97408626306844</v>
      </c>
      <c r="R26" s="62">
        <f t="shared" si="0"/>
        <v>473.75186404084621</v>
      </c>
      <c r="S26" s="62">
        <f ca="1">AVERAGE(OFFSET($R$3,0,0,'Données projet'!$E$9+1,1))-AVERAGE(OFFSET($H$3,0,0,'Données projet'!$E$9+1,1))</f>
        <v>323.98185264074681</v>
      </c>
      <c r="T26" s="62">
        <f t="shared" si="34"/>
        <v>301.22207291854005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4.7018645157084791</v>
      </c>
      <c r="AB26" s="23">
        <f>EXP(-LN(2)/2)*AB25+(1-EXP(-LN(2)/2))/(LN(2)/2)*V26*Y26*VLOOKUP('Données projet'!$B$9,Paramètres!$A$1:$I$89,3,0)*0.475*44/12</f>
        <v>7.7430196577401933</v>
      </c>
      <c r="AC26" s="24">
        <f t="shared" si="3"/>
        <v>12.444884173448672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11.242307692307683</v>
      </c>
      <c r="AI26" s="14">
        <f>IF('Données projet'!$A$62&gt;35,AI25+AH26-AQ25,IF(A26&lt;'Données projet'!$A$62,$AF$205^A26,IF(A26='Données projet'!$A$62,'Données projet'!$B$62,AI25+AH26-AQ25)))</f>
        <v>88.480769230769226</v>
      </c>
      <c r="AJ26" s="14">
        <f>AI26*VLOOKUP('Données projet'!$B$10,Paramètres!$A$1:$I$89,3,0)*VLOOKUP('Données projet'!$B$10,Paramètres!$A$1:$I$89,5,0)</f>
        <v>52.911499999999997</v>
      </c>
      <c r="AK26" s="14">
        <f t="shared" si="35"/>
        <v>15.363172606616901</v>
      </c>
      <c r="AL26" s="22">
        <f t="shared" si="4"/>
        <v>118.91172145652443</v>
      </c>
      <c r="AM26" s="62">
        <f t="shared" si="5"/>
        <v>403.68949923430222</v>
      </c>
      <c r="AN26" s="62">
        <f ca="1">AVERAGE(OFFSET($AM$3,0,0,'Données projet'!$E$10+1,1))-AVERAGE(OFFSET($H$3,0,0,'Données projet'!$E$10+1,1))</f>
        <v>289.12367833861299</v>
      </c>
      <c r="AO26" s="62">
        <f t="shared" si="36"/>
        <v>229.06617320689003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5.6</v>
      </c>
      <c r="BD26" s="13">
        <f>IF('Données projet'!$A$88&gt;35,BD25+BC26-BL25,IF(A26&lt;'Données projet'!$A$88,$BA$205^A26,IF(A26='Données projet'!$A$88,'Données projet'!$B$88,BD25+BC26-BL25)))</f>
        <v>58.800000000000004</v>
      </c>
      <c r="BE26" s="14">
        <f>BD26*VLOOKUP('Données projet'!$B$11,Paramètres!$A$1:$I$89,3,0)*VLOOKUP('Données projet'!$B$11,Paramètres!$A$1:$I$89,5,0)</f>
        <v>53.202240000000003</v>
      </c>
      <c r="BF26" s="14">
        <f t="shared" si="37"/>
        <v>15.437740642425908</v>
      </c>
      <c r="BG26" s="22">
        <f t="shared" si="7"/>
        <v>119.54796628555846</v>
      </c>
      <c r="BH26" s="62">
        <f t="shared" si="8"/>
        <v>404.32574406333623</v>
      </c>
      <c r="BI26" s="62">
        <f ca="1">AVERAGE(OFFSET($BH$3,0,0,'Données projet'!$E$11+1,1))-AVERAGE(OFFSET($H$3,0,0,'Données projet'!$E$11+1,1))</f>
        <v>428.8489304403459</v>
      </c>
      <c r="BJ26" s="62">
        <f t="shared" si="38"/>
        <v>247.01165577562966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12.6</v>
      </c>
      <c r="BY26" s="13">
        <f>IF('Données projet'!$A$114&gt;35,BY25+BX26-CG25,IF(A26&lt;'Données projet'!$A$114,$BV$205^A26,IF(A26='Données projet'!$A$114,'Données projet'!$B$114,BY25+BX26-CG25)))</f>
        <v>89.799999999999969</v>
      </c>
      <c r="BZ26" s="14">
        <f>BY26*VLOOKUP('Données projet'!$B$12,Paramètres!$A$1:$I$89,3,0)*VLOOKUP('Données projet'!$B$12,Paramètres!$A$1:$I$89,5,0)</f>
        <v>65.84135999999998</v>
      </c>
      <c r="CA26" s="14">
        <f t="shared" si="39"/>
        <v>18.637068365902625</v>
      </c>
      <c r="CB26" s="22">
        <f t="shared" si="10"/>
        <v>147.13326273728035</v>
      </c>
      <c r="CC26" s="62">
        <f t="shared" si="11"/>
        <v>431.91104051505812</v>
      </c>
      <c r="CD26" s="62">
        <f ca="1">AVERAGE(OFFSET($CC$3,0,0,'Données projet'!$E$12+1,1))-AVERAGE(OFFSET($H$3,0,0,'Données projet'!$E$12+1,1))</f>
        <v>290.85271051443431</v>
      </c>
      <c r="CE26" s="62">
        <f t="shared" si="40"/>
        <v>318.66958823451142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10.6</v>
      </c>
      <c r="CT26" s="13">
        <f>IF('Données projet'!$A$140&gt;35,CT25+CS26-DB25,IF(A26&lt;'Données projet'!$A$140,$CQ$205^A26,IF(A26='Données projet'!$A$140,'Données projet'!$B$140,CT25+CS26-DB25)))</f>
        <v>119.79999999999997</v>
      </c>
      <c r="CU26" s="18">
        <f>CT26*VLOOKUP('Données projet'!$B$13,Paramètres!$A$1:$I$89,3,0)*VLOOKUP('Données projet'!$B$13,Paramètres!$A$1:$I$89,5,0)</f>
        <v>93.443999999999974</v>
      </c>
      <c r="CV26" s="14">
        <f t="shared" si="41"/>
        <v>25.394010816431489</v>
      </c>
      <c r="CW26" s="22">
        <f t="shared" si="13"/>
        <v>206.97620217195148</v>
      </c>
      <c r="CX26" s="62">
        <f t="shared" si="14"/>
        <v>491.75397994972923</v>
      </c>
      <c r="CY26" s="62">
        <f ca="1">AVERAGE(OFFSET($CX$3,0,0,'Données projet'!$E$13+1,1))-AVERAGE(OFFSET($H$3,0,0,'Données projet'!$E$13+1,1))</f>
        <v>292.57482726862594</v>
      </c>
      <c r="CZ26" s="62">
        <f t="shared" si="42"/>
        <v>283.48738729114024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12.6</v>
      </c>
      <c r="DO26" s="13">
        <f>IF('Données projet'!$A$166&gt;35,DO25+DN26-DW25,IF(A26&lt;'Données projet'!$A$166,$DL$205^A26,IF(A26='Données projet'!$A$166,'Données projet'!$B$166,DO25+DN26-DW25)))</f>
        <v>89.799999999999969</v>
      </c>
      <c r="DP26" s="18">
        <f>DO26*VLOOKUP('Données projet'!$B$14,Paramètres!$A$1:$I$89,3,0)*VLOOKUP('Données projet'!$B$14,Paramètres!$A$1:$I$89,5,0)</f>
        <v>71.444879999999984</v>
      </c>
      <c r="DQ26" s="14">
        <f t="shared" si="43"/>
        <v>20.03184442542841</v>
      </c>
      <c r="DR26" s="22">
        <f t="shared" si="16"/>
        <v>159.32196170762111</v>
      </c>
      <c r="DS26" s="62">
        <f t="shared" si="17"/>
        <v>444.09973948539891</v>
      </c>
      <c r="DT26" s="62">
        <f ca="1">AVERAGE(OFFSET($DS$3,0,0,'Données projet'!$E$14+1,1))-AVERAGE(OFFSET($H$3,0,0,'Données projet'!$E$14+1,1))</f>
        <v>312.53381881960331</v>
      </c>
      <c r="DU26" s="62">
        <f t="shared" si="44"/>
        <v>342.06887933351783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6.5384615384615419</v>
      </c>
      <c r="EJ26" s="13">
        <f>IF('Données projet'!$A$192&gt;35,EJ25+EI26-ER25,IF(A26&lt;'Données projet'!$A$192,$EG$205^A26,IF(A26='Données projet'!$A$192,'Données projet'!$B$192,EJ25+EI26-ER25)))</f>
        <v>70.897435897435898</v>
      </c>
      <c r="EK26" s="18">
        <f>EJ26*VLOOKUP('Données projet'!$B$15,Paramètres!$A$1:$I$89,3,0)*VLOOKUP('Données projet'!$B$15,Paramètres!$A$1:$I$89,5,0)</f>
        <v>67.466000000000008</v>
      </c>
      <c r="EL26" s="14">
        <f t="shared" si="45"/>
        <v>19.042832056451115</v>
      </c>
      <c r="EM26" s="22">
        <f t="shared" si="19"/>
        <v>150.66954916498568</v>
      </c>
      <c r="EN26" s="62">
        <f t="shared" si="20"/>
        <v>435.44732694276342</v>
      </c>
      <c r="EO26" s="62">
        <f ca="1">AVERAGE(OFFSET($EN$3,0,0,'Données projet'!$E$15+1,1))-AVERAGE(OFFSET($H$3,0,0,'Données projet'!$E$15+1,1))</f>
        <v>363.37916970915211</v>
      </c>
      <c r="EP26" s="62">
        <f t="shared" si="46"/>
        <v>281.52963027844595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3.4425641025641025</v>
      </c>
      <c r="FE26" s="13">
        <f>IF('Données projet'!$A$218&gt;35,FE25+FD26-FM25,IF(A26&lt;'Données projet'!$A$218,$FB$205^A26,IF(A26='Données projet'!$A$218,'Données projet'!$B$218,FE25+FD26-FM25)))</f>
        <v>35.000092281482424</v>
      </c>
      <c r="FF26" s="18">
        <f>FE26*VLOOKUP('Données projet'!$B$16,Paramètres!$A$1:$I$89,3,0)*VLOOKUP('Données projet'!$B$16,Paramètres!$A$1:$I$89,5,0)</f>
        <v>16.380043187733772</v>
      </c>
      <c r="FG26" s="14">
        <f t="shared" si="47"/>
        <v>5.4515605034859353</v>
      </c>
      <c r="FH26" s="22">
        <f t="shared" si="22"/>
        <v>38.023376428874322</v>
      </c>
      <c r="FI26" s="62">
        <f t="shared" si="23"/>
        <v>322.80115420665209</v>
      </c>
      <c r="FJ26" s="62">
        <f ca="1">AVERAGE(OFFSET($FI$3,0,0,'Données projet'!$E$16+1,1))-AVERAGE(OFFSET($H$3,0,0,'Données projet'!$E$16+1,1))</f>
        <v>245.47494516762282</v>
      </c>
      <c r="FK26" s="62">
        <f t="shared" si="48"/>
        <v>145.54897745089966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5.6</v>
      </c>
      <c r="FZ26" s="13">
        <f>IF('Données projet'!$A$244&gt;35,FZ25+FY26-GH25,IF(A26&lt;'Données projet'!$A$244,$FW$205^A26,IF(A26='Données projet'!$A$244,'Données projet'!$B$244,FZ25+FY26-GH25)))</f>
        <v>58.800000000000004</v>
      </c>
      <c r="GA26" s="18">
        <f>FZ26*VLOOKUP('Données projet'!$B$17,Paramètres!$A$1:$I$89,3,0)*VLOOKUP('Données projet'!$B$17,Paramètres!$A$1:$I$89,5,0)</f>
        <v>56.87136000000001</v>
      </c>
      <c r="GB26" s="14">
        <f t="shared" si="49"/>
        <v>16.374802181791551</v>
      </c>
      <c r="GC26" s="22">
        <f t="shared" si="25"/>
        <v>127.57039913328697</v>
      </c>
      <c r="GD26" s="62">
        <f t="shared" si="26"/>
        <v>412.34817691106474</v>
      </c>
      <c r="GE26" s="62">
        <f ca="1">AVERAGE(OFFSET($GD$3,0,0,'Données projet'!$E$17+1,1))-AVERAGE(OFFSET($H$3,0,0,'Données projet'!$E$17+1,1))</f>
        <v>455.50822833641354</v>
      </c>
      <c r="GF26" s="62">
        <f t="shared" si="50"/>
        <v>261.14722581688039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8.4615384615384617</v>
      </c>
      <c r="GU26" s="13">
        <f>IF('Données projet'!$A$270&gt;35,GU25+GT26-HC25,IF(A26&lt;'Données projet'!$A$270,$GR$205^A26,IF(A26='Données projet'!$A$270,'Données projet'!$B$270,GU25+GT26-HC25)))</f>
        <v>92.051282051282072</v>
      </c>
      <c r="GV26" s="18">
        <f>GU26*VLOOKUP('Données projet'!$B$18,Paramètres!$A$1:$I$89,3,0)*VLOOKUP('Données projet'!$B$18,Paramètres!$A$1:$I$89,5,0)</f>
        <v>61.748000000000012</v>
      </c>
      <c r="GW26" s="14">
        <f t="shared" si="51"/>
        <v>17.609476905605174</v>
      </c>
      <c r="GX26" s="22">
        <f t="shared" si="28"/>
        <v>138.21427227726235</v>
      </c>
      <c r="GY26" s="62">
        <f t="shared" si="29"/>
        <v>422.99205005504012</v>
      </c>
      <c r="GZ26" s="62">
        <f ca="1">AVERAGE(OFFSET($GY$3,0,0,'Données projet'!$E$18+1,1))-AVERAGE(OFFSET($H$3,0,0,'Données projet'!$E$18+1,1))</f>
        <v>312.06797204903796</v>
      </c>
      <c r="HA26" s="62">
        <f t="shared" si="52"/>
        <v>258.20189001775151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</row>
    <row r="27" spans="1:218" s="5" customFormat="1" x14ac:dyDescent="0.25">
      <c r="A27" s="11">
        <f t="shared" si="31"/>
        <v>24</v>
      </c>
      <c r="B27" s="76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9">
        <f t="shared" si="1"/>
        <v>256.66666666666669</v>
      </c>
      <c r="I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16.687912087912085</v>
      </c>
      <c r="N27" s="14">
        <f>IF('Données projet'!$A$36&gt;35,N26+M27-V26,IF(A27&lt;'Données projet'!$A$36,$K$205^A27,IF(A27='Données projet'!$A$36,'Données projet'!$B$36,N26+M27-V26)))</f>
        <v>168.95604395604397</v>
      </c>
      <c r="O27" s="14">
        <f>N27*VLOOKUP('Données projet'!$B$9,Paramètres!$A$1:$I$89,3,0)*VLOOKUP('Données projet'!$B$9,Paramètres!$A$1:$I$89,5,0)</f>
        <v>94.446428571428584</v>
      </c>
      <c r="P27" s="14">
        <f t="shared" si="33"/>
        <v>25.634568296511581</v>
      </c>
      <c r="Q27" s="22">
        <f t="shared" si="2"/>
        <v>209.14106954499582</v>
      </c>
      <c r="R27" s="62">
        <f t="shared" si="0"/>
        <v>495.14106954499584</v>
      </c>
      <c r="S27" s="62">
        <f ca="1">AVERAGE(OFFSET($R$3,0,0,'Données projet'!$E$9+1,1))-AVERAGE(OFFSET($H$3,0,0,'Données projet'!$E$9+1,1))</f>
        <v>323.98185264074681</v>
      </c>
      <c r="T27" s="62">
        <f t="shared" si="34"/>
        <v>301.22207291854005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4.5732917832661224</v>
      </c>
      <c r="AB27" s="23">
        <f>EXP(-LN(2)/2)*AB26+(1-EXP(-LN(2)/2))/(LN(2)/2)*V27*Y27*VLOOKUP('Données projet'!$B$9,Paramètres!$A$1:$I$89,3,0)*0.475*44/12</f>
        <v>5.4751417068488317</v>
      </c>
      <c r="AC27" s="24">
        <f t="shared" si="3"/>
        <v>10.048433490114954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>
        <f>VLOOKUP(A27,'Données projet'!$A$61:$I$81,2,0)</f>
        <v>99.723076923076903</v>
      </c>
      <c r="AG27" s="13">
        <f>VLOOKUP(A27,'Données projet'!$A$61:$I$81,9,0)</f>
        <v>11.242307692307683</v>
      </c>
      <c r="AH27" s="13">
        <f t="array" ref="AH27">INDEX(AG:AG,MIN(IF(ISNUMBER(AG27:AG223),ROW(AG27:AG223),"")))</f>
        <v>11.242307692307683</v>
      </c>
      <c r="AI27" s="14">
        <f>IF('Données projet'!$A$62&gt;35,AI26+AH27-AQ26,IF(A27&lt;'Données projet'!$A$62,$AF$205^A27,IF(A27='Données projet'!$A$62,'Données projet'!$B$62,AI26+AH27-AQ26)))</f>
        <v>99.723076923076917</v>
      </c>
      <c r="AJ27" s="14">
        <f>AI27*VLOOKUP('Données projet'!$B$10,Paramètres!$A$1:$I$89,3,0)*VLOOKUP('Données projet'!$B$10,Paramètres!$A$1:$I$89,5,0)</f>
        <v>59.634400000000007</v>
      </c>
      <c r="AK27" s="14">
        <f t="shared" si="35"/>
        <v>17.075801006767037</v>
      </c>
      <c r="AL27" s="22">
        <f t="shared" si="4"/>
        <v>133.60360008678595</v>
      </c>
      <c r="AM27" s="62">
        <f t="shared" si="5"/>
        <v>419.60360008678595</v>
      </c>
      <c r="AN27" s="62">
        <f ca="1">AVERAGE(OFFSET($AM$3,0,0,'Données projet'!$E$10+1,1))-AVERAGE(OFFSET($H$3,0,0,'Données projet'!$E$10+1,1))</f>
        <v>289.12367833861299</v>
      </c>
      <c r="AO27" s="62">
        <f t="shared" si="36"/>
        <v>229.06617320689003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5.6</v>
      </c>
      <c r="BD27" s="13">
        <f>IF('Données projet'!$A$88&gt;35,BD26+BC27-BL26,IF(A27&lt;'Données projet'!$A$88,$BA$205^A27,IF(A27='Données projet'!$A$88,'Données projet'!$B$88,BD26+BC27-BL26)))</f>
        <v>64.400000000000006</v>
      </c>
      <c r="BE27" s="14">
        <f>BD27*VLOOKUP('Données projet'!$B$11,Paramètres!$A$1:$I$89,3,0)*VLOOKUP('Données projet'!$B$11,Paramètres!$A$1:$I$89,5,0)</f>
        <v>58.269120000000008</v>
      </c>
      <c r="BF27" s="14">
        <f t="shared" si="37"/>
        <v>16.729905486873804</v>
      </c>
      <c r="BG27" s="22">
        <f t="shared" si="7"/>
        <v>130.62330272297189</v>
      </c>
      <c r="BH27" s="62">
        <f t="shared" si="8"/>
        <v>416.62330272297186</v>
      </c>
      <c r="BI27" s="62">
        <f ca="1">AVERAGE(OFFSET($BH$3,0,0,'Données projet'!$E$11+1,1))-AVERAGE(OFFSET($H$3,0,0,'Données projet'!$E$11+1,1))</f>
        <v>428.8489304403459</v>
      </c>
      <c r="BJ27" s="62">
        <f t="shared" si="38"/>
        <v>247.01165577562966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12.6</v>
      </c>
      <c r="BY27" s="13">
        <f>IF('Données projet'!$A$114&gt;35,BY26+BX27-CG26,IF(A27&lt;'Données projet'!$A$114,$BV$205^A27,IF(A27='Données projet'!$A$114,'Données projet'!$B$114,BY26+BX27-CG26)))</f>
        <v>102.39999999999996</v>
      </c>
      <c r="BZ27" s="14">
        <f>BY27*VLOOKUP('Données projet'!$B$12,Paramètres!$A$1:$I$89,3,0)*VLOOKUP('Données projet'!$B$12,Paramètres!$A$1:$I$89,5,0)</f>
        <v>75.079679999999968</v>
      </c>
      <c r="CA27" s="14">
        <f t="shared" si="39"/>
        <v>20.929732076759169</v>
      </c>
      <c r="CB27" s="22">
        <f t="shared" si="10"/>
        <v>167.21639270035547</v>
      </c>
      <c r="CC27" s="62">
        <f t="shared" si="11"/>
        <v>453.21639270035547</v>
      </c>
      <c r="CD27" s="62">
        <f ca="1">AVERAGE(OFFSET($CC$3,0,0,'Données projet'!$E$12+1,1))-AVERAGE(OFFSET($H$3,0,0,'Données projet'!$E$12+1,1))</f>
        <v>290.85271051443431</v>
      </c>
      <c r="CE27" s="62">
        <f t="shared" si="40"/>
        <v>318.66958823451142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10.6</v>
      </c>
      <c r="CT27" s="13">
        <f>IF('Données projet'!$A$140&gt;35,CT26+CS27-DB26,IF(A27&lt;'Données projet'!$A$140,$CQ$205^A27,IF(A27='Données projet'!$A$140,'Données projet'!$B$140,CT26+CS27-DB26)))</f>
        <v>130.39999999999998</v>
      </c>
      <c r="CU27" s="18">
        <f>CT27*VLOOKUP('Données projet'!$B$13,Paramètres!$A$1:$I$89,3,0)*VLOOKUP('Données projet'!$B$13,Paramètres!$A$1:$I$89,5,0)</f>
        <v>101.71199999999999</v>
      </c>
      <c r="CV27" s="14">
        <f t="shared" si="41"/>
        <v>27.369454120725656</v>
      </c>
      <c r="CW27" s="22">
        <f t="shared" si="13"/>
        <v>224.81686592693052</v>
      </c>
      <c r="CX27" s="62">
        <f t="shared" si="14"/>
        <v>510.81686592693052</v>
      </c>
      <c r="CY27" s="62">
        <f ca="1">AVERAGE(OFFSET($CX$3,0,0,'Données projet'!$E$13+1,1))-AVERAGE(OFFSET($H$3,0,0,'Données projet'!$E$13+1,1))</f>
        <v>292.57482726862594</v>
      </c>
      <c r="CZ27" s="62">
        <f t="shared" si="42"/>
        <v>283.48738729114024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12.6</v>
      </c>
      <c r="DO27" s="13">
        <f>IF('Données projet'!$A$166&gt;35,DO26+DN27-DW26,IF(A27&lt;'Données projet'!$A$166,$DL$205^A27,IF(A27='Données projet'!$A$166,'Données projet'!$B$166,DO26+DN27-DW26)))</f>
        <v>102.39999999999996</v>
      </c>
      <c r="DP27" s="18">
        <f>DO27*VLOOKUP('Données projet'!$B$14,Paramètres!$A$1:$I$89,3,0)*VLOOKUP('Données projet'!$B$14,Paramètres!$A$1:$I$89,5,0)</f>
        <v>81.469439999999977</v>
      </c>
      <c r="DQ27" s="14">
        <f t="shared" si="43"/>
        <v>22.496088365195671</v>
      </c>
      <c r="DR27" s="22">
        <f t="shared" si="16"/>
        <v>181.07329523604912</v>
      </c>
      <c r="DS27" s="62">
        <f t="shared" si="17"/>
        <v>467.07329523604915</v>
      </c>
      <c r="DT27" s="62">
        <f ca="1">AVERAGE(OFFSET($DS$3,0,0,'Données projet'!$E$14+1,1))-AVERAGE(OFFSET($H$3,0,0,'Données projet'!$E$14+1,1))</f>
        <v>312.53381881960331</v>
      </c>
      <c r="DU27" s="62">
        <f t="shared" si="44"/>
        <v>342.06887933351783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6.5384615384615419</v>
      </c>
      <c r="EJ27" s="13">
        <f>IF('Données projet'!$A$192&gt;35,EJ26+EI27-ER26,IF(A27&lt;'Données projet'!$A$192,$EG$205^A27,IF(A27='Données projet'!$A$192,'Données projet'!$B$192,EJ26+EI27-ER26)))</f>
        <v>77.435897435897445</v>
      </c>
      <c r="EK27" s="18">
        <f>EJ27*VLOOKUP('Données projet'!$B$15,Paramètres!$A$1:$I$89,3,0)*VLOOKUP('Données projet'!$B$15,Paramètres!$A$1:$I$89,5,0)</f>
        <v>73.688000000000017</v>
      </c>
      <c r="EL27" s="14">
        <f t="shared" si="45"/>
        <v>20.586563216136717</v>
      </c>
      <c r="EM27" s="22">
        <f t="shared" si="19"/>
        <v>164.19486426810479</v>
      </c>
      <c r="EN27" s="62">
        <f t="shared" si="20"/>
        <v>450.19486426810477</v>
      </c>
      <c r="EO27" s="62">
        <f ca="1">AVERAGE(OFFSET($EN$3,0,0,'Données projet'!$E$15+1,1))-AVERAGE(OFFSET($H$3,0,0,'Données projet'!$E$15+1,1))</f>
        <v>363.37916970915211</v>
      </c>
      <c r="EP27" s="62">
        <f t="shared" si="46"/>
        <v>281.52963027844595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3.4425641025641025</v>
      </c>
      <c r="FE27" s="13">
        <f>IF('Données projet'!$A$218&gt;35,FE26+FD27-FM26,IF(A27&lt;'Données projet'!$A$218,$FB$205^A27,IF(A27='Données projet'!$A$218,'Données projet'!$B$218,FE26+FD27-FM26)))</f>
        <v>40.850994379880916</v>
      </c>
      <c r="FF27" s="18">
        <f>FE27*VLOOKUP('Données projet'!$B$16,Paramètres!$A$1:$I$89,3,0)*VLOOKUP('Données projet'!$B$16,Paramètres!$A$1:$I$89,5,0)</f>
        <v>19.118265369784268</v>
      </c>
      <c r="FG27" s="14">
        <f t="shared" si="47"/>
        <v>6.2494233631643379</v>
      </c>
      <c r="FH27" s="22">
        <f t="shared" si="22"/>
        <v>44.182057876552157</v>
      </c>
      <c r="FI27" s="62">
        <f t="shared" si="23"/>
        <v>330.18205787655216</v>
      </c>
      <c r="FJ27" s="62">
        <f ca="1">AVERAGE(OFFSET($FI$3,0,0,'Données projet'!$E$16+1,1))-AVERAGE(OFFSET($H$3,0,0,'Données projet'!$E$16+1,1))</f>
        <v>245.47494516762282</v>
      </c>
      <c r="FK27" s="62">
        <f t="shared" si="48"/>
        <v>145.54897745089966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5.6</v>
      </c>
      <c r="FZ27" s="13">
        <f>IF('Données projet'!$A$244&gt;35,FZ26+FY27-GH26,IF(A27&lt;'Données projet'!$A$244,$FW$205^A27,IF(A27='Données projet'!$A$244,'Données projet'!$B$244,FZ26+FY27-GH26)))</f>
        <v>64.400000000000006</v>
      </c>
      <c r="GA27" s="18">
        <f>FZ27*VLOOKUP('Données projet'!$B$17,Paramètres!$A$1:$I$89,3,0)*VLOOKUP('Données projet'!$B$17,Paramètres!$A$1:$I$89,5,0)</f>
        <v>62.287680000000009</v>
      </c>
      <c r="GB27" s="14">
        <f t="shared" si="49"/>
        <v>17.745400652396182</v>
      </c>
      <c r="GC27" s="22">
        <f t="shared" si="25"/>
        <v>139.39094880292336</v>
      </c>
      <c r="GD27" s="62">
        <f t="shared" si="26"/>
        <v>425.39094880292339</v>
      </c>
      <c r="GE27" s="62">
        <f ca="1">AVERAGE(OFFSET($GD$3,0,0,'Données projet'!$E$17+1,1))-AVERAGE(OFFSET($H$3,0,0,'Données projet'!$E$17+1,1))</f>
        <v>455.50822833641354</v>
      </c>
      <c r="GF27" s="62">
        <f t="shared" si="50"/>
        <v>261.14722581688039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8.4615384615384617</v>
      </c>
      <c r="GU27" s="13">
        <f>IF('Données projet'!$A$270&gt;35,GU26+GT27-HC26,IF(A27&lt;'Données projet'!$A$270,$GR$205^A27,IF(A27='Données projet'!$A$270,'Données projet'!$B$270,GU26+GT27-HC26)))</f>
        <v>100.51282051282054</v>
      </c>
      <c r="GV27" s="18">
        <f>GU27*VLOOKUP('Données projet'!$B$18,Paramètres!$A$1:$I$89,3,0)*VLOOKUP('Données projet'!$B$18,Paramètres!$A$1:$I$89,5,0)</f>
        <v>67.424000000000021</v>
      </c>
      <c r="GW27" s="14">
        <f t="shared" si="51"/>
        <v>19.032356736143235</v>
      </c>
      <c r="GX27" s="22">
        <f t="shared" si="28"/>
        <v>150.57815464878283</v>
      </c>
      <c r="GY27" s="62">
        <f t="shared" si="29"/>
        <v>436.57815464878286</v>
      </c>
      <c r="GZ27" s="62">
        <f ca="1">AVERAGE(OFFSET($GY$3,0,0,'Données projet'!$E$18+1,1))-AVERAGE(OFFSET($H$3,0,0,'Données projet'!$E$18+1,1))</f>
        <v>312.06797204903796</v>
      </c>
      <c r="HA27" s="62">
        <f t="shared" si="52"/>
        <v>258.20189001775151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</row>
    <row r="28" spans="1:218" s="5" customFormat="1" x14ac:dyDescent="0.25">
      <c r="A28" s="11">
        <f t="shared" si="31"/>
        <v>25</v>
      </c>
      <c r="B28" s="76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9">
        <f t="shared" si="1"/>
        <v>256.66666666666669</v>
      </c>
      <c r="I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16.687912087912085</v>
      </c>
      <c r="N28" s="14">
        <f>IF('Données projet'!$A$36&gt;35,N27+M28-V27,IF(A28&lt;'Données projet'!$A$36,$K$205^A28,IF(A28='Données projet'!$A$36,'Données projet'!$B$36,N27+M28-V27)))</f>
        <v>185.64395604395605</v>
      </c>
      <c r="O28" s="14">
        <f>N28*VLOOKUP('Données projet'!$B$9,Paramètres!$A$1:$I$89,3,0)*VLOOKUP('Données projet'!$B$9,Paramètres!$A$1:$I$89,5,0)</f>
        <v>103.77497142857143</v>
      </c>
      <c r="P28" s="14">
        <f t="shared" si="33"/>
        <v>27.859383782043167</v>
      </c>
      <c r="Q28" s="22">
        <f t="shared" si="2"/>
        <v>229.2631686584871</v>
      </c>
      <c r="R28" s="62">
        <f t="shared" si="0"/>
        <v>516.48539088070936</v>
      </c>
      <c r="S28" s="62">
        <f ca="1">AVERAGE(OFFSET($R$3,0,0,'Données projet'!$E$9+1,1))-AVERAGE(OFFSET($H$3,0,0,'Données projet'!$E$9+1,1))</f>
        <v>323.98185264074681</v>
      </c>
      <c r="T28" s="62">
        <f t="shared" si="34"/>
        <v>301.22207291854005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4.4482348789537474</v>
      </c>
      <c r="AB28" s="23">
        <f>EXP(-LN(2)/2)*AB27+(1-EXP(-LN(2)/2))/(LN(2)/2)*V28*Y28*VLOOKUP('Données projet'!$B$9,Paramètres!$A$1:$I$89,3,0)*0.475*44/12</f>
        <v>3.8715098288700975</v>
      </c>
      <c r="AC28" s="24">
        <f t="shared" si="3"/>
        <v>8.319744707823844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13.664102564102569</v>
      </c>
      <c r="AI28" s="14">
        <f>IF('Données projet'!$A$62&gt;35,AI27+AH28-AQ27,IF(A28&lt;'Données projet'!$A$62,$AF$205^A28,IF(A28='Données projet'!$A$62,'Données projet'!$B$62,AI27+AH28-AQ27)))</f>
        <v>113.38717948717948</v>
      </c>
      <c r="AJ28" s="14">
        <f>AI28*VLOOKUP('Données projet'!$B$10,Paramètres!$A$1:$I$89,3,0)*VLOOKUP('Données projet'!$B$10,Paramètres!$A$1:$I$89,5,0)</f>
        <v>67.805533333333329</v>
      </c>
      <c r="AK28" s="14">
        <f t="shared" si="35"/>
        <v>19.12748805046628</v>
      </c>
      <c r="AL28" s="22">
        <f t="shared" si="4"/>
        <v>151.40834557678431</v>
      </c>
      <c r="AM28" s="62">
        <f t="shared" si="5"/>
        <v>438.63056779900654</v>
      </c>
      <c r="AN28" s="62">
        <f ca="1">AVERAGE(OFFSET($AM$3,0,0,'Données projet'!$E$10+1,1))-AVERAGE(OFFSET($H$3,0,0,'Données projet'!$E$10+1,1))</f>
        <v>289.12367833861299</v>
      </c>
      <c r="AO28" s="62">
        <f t="shared" si="36"/>
        <v>229.06617320689003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70</v>
      </c>
      <c r="BB28" s="13">
        <f>VLOOKUP(A28,'Données projet'!$A$87:$I$107,9,0)</f>
        <v>5.6</v>
      </c>
      <c r="BC28" s="13">
        <f t="array" ref="BC28">INDEX(BB:BB,MIN(IF(ISNUMBER(BB28:BB224),ROW(BB28:BB224),"")))</f>
        <v>5.6</v>
      </c>
      <c r="BD28" s="13">
        <f>IF('Données projet'!$A$88&gt;35,BD27+BC28-BL27,IF(A28&lt;'Données projet'!$A$88,$BA$205^A28,IF(A28='Données projet'!$A$88,'Données projet'!$B$88,BD27+BC28-BL27)))</f>
        <v>70</v>
      </c>
      <c r="BE28" s="14">
        <f>BD28*VLOOKUP('Données projet'!$B$11,Paramètres!$A$1:$I$89,3,0)*VLOOKUP('Données projet'!$B$11,Paramètres!$A$1:$I$89,5,0)</f>
        <v>63.335999999999991</v>
      </c>
      <c r="BF28" s="14">
        <f t="shared" si="37"/>
        <v>18.009040022946227</v>
      </c>
      <c r="BG28" s="22">
        <f t="shared" si="7"/>
        <v>141.67594470663133</v>
      </c>
      <c r="BH28" s="62">
        <f t="shared" si="8"/>
        <v>428.89816692885358</v>
      </c>
      <c r="BI28" s="62">
        <f ca="1">AVERAGE(OFFSET($BH$3,0,0,'Données projet'!$E$11+1,1))-AVERAGE(OFFSET($H$3,0,0,'Données projet'!$E$11+1,1))</f>
        <v>428.8489304403459</v>
      </c>
      <c r="BJ28" s="62">
        <f t="shared" si="38"/>
        <v>247.01165577562966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115</v>
      </c>
      <c r="BW28" s="13">
        <f>VLOOKUP(A28,'Données projet'!$A$113:$I$133,9,0)</f>
        <v>12.6</v>
      </c>
      <c r="BX28" s="13">
        <f t="array" ref="BX28">INDEX(BW:BW,MIN(IF(ISNUMBER(BW28:BW224),ROW(BW28:BW224),"")))</f>
        <v>12.6</v>
      </c>
      <c r="BY28" s="13">
        <f>IF('Données projet'!$A$114&gt;35,BY27+BX28-CG27,IF(A28&lt;'Données projet'!$A$114,$BV$205^A28,IF(A28='Données projet'!$A$114,'Données projet'!$B$114,BY27+BX28-CG27)))</f>
        <v>114.99999999999996</v>
      </c>
      <c r="BZ28" s="14">
        <f>BY28*VLOOKUP('Données projet'!$B$12,Paramètres!$A$1:$I$89,3,0)*VLOOKUP('Données projet'!$B$12,Paramètres!$A$1:$I$89,5,0)</f>
        <v>84.317999999999969</v>
      </c>
      <c r="CA28" s="14">
        <f t="shared" si="39"/>
        <v>23.189705803157239</v>
      </c>
      <c r="CB28" s="22">
        <f t="shared" si="10"/>
        <v>187.24258760716546</v>
      </c>
      <c r="CC28" s="62">
        <f t="shared" si="11"/>
        <v>474.46480982938772</v>
      </c>
      <c r="CD28" s="62">
        <f ca="1">AVERAGE(OFFSET($CC$3,0,0,'Données projet'!$E$12+1,1))-AVERAGE(OFFSET($H$3,0,0,'Données projet'!$E$12+1,1))</f>
        <v>290.85271051443431</v>
      </c>
      <c r="CE28" s="62">
        <f t="shared" si="40"/>
        <v>318.66958823451142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141</v>
      </c>
      <c r="CR28" s="13">
        <f>VLOOKUP(A28,'Données projet'!$A$139:$I$159,9,0)</f>
        <v>10.6</v>
      </c>
      <c r="CS28" s="13">
        <f t="array" ref="CS28">INDEX(CR:CR,MIN(IF(ISNUMBER(CR28:CR224),ROW(CR28:CR224),"")))</f>
        <v>10.6</v>
      </c>
      <c r="CT28" s="13">
        <f>IF('Données projet'!$A$140&gt;35,CT27+CS28-DB27,IF(A28&lt;'Données projet'!$A$140,$CQ$205^A28,IF(A28='Données projet'!$A$140,'Données projet'!$B$140,CT27+CS28-DB27)))</f>
        <v>140.99999999999997</v>
      </c>
      <c r="CU28" s="18">
        <f>CT28*VLOOKUP('Données projet'!$B$13,Paramètres!$A$1:$I$89,3,0)*VLOOKUP('Données projet'!$B$13,Paramètres!$A$1:$I$89,5,0)</f>
        <v>109.97999999999998</v>
      </c>
      <c r="CV28" s="14">
        <f t="shared" si="41"/>
        <v>29.326272366698234</v>
      </c>
      <c r="CW28" s="22">
        <f t="shared" si="13"/>
        <v>242.62509103866606</v>
      </c>
      <c r="CX28" s="62">
        <f t="shared" si="14"/>
        <v>529.84731326088831</v>
      </c>
      <c r="CY28" s="62">
        <f ca="1">AVERAGE(OFFSET($CX$3,0,0,'Données projet'!$E$13+1,1))-AVERAGE(OFFSET($H$3,0,0,'Données projet'!$E$13+1,1))</f>
        <v>292.57482726862594</v>
      </c>
      <c r="CZ28" s="62">
        <f t="shared" si="42"/>
        <v>283.48738729114024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55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115</v>
      </c>
      <c r="DM28" s="13">
        <f>VLOOKUP(A28,'Données projet'!$A$165:$I$185,9,0)</f>
        <v>12.6</v>
      </c>
      <c r="DN28" s="13">
        <f t="array" ref="DN28">INDEX(DM:DM,MIN(IF(ISNUMBER(DM28:DM224),ROW(DM28:DM224),"")))</f>
        <v>12.6</v>
      </c>
      <c r="DO28" s="13">
        <f>IF('Données projet'!$A$166&gt;35,DO27+DN28-DW27,IF(A28&lt;'Données projet'!$A$166,$DL$205^A28,IF(A28='Données projet'!$A$166,'Données projet'!$B$166,DO27+DN28-DW27)))</f>
        <v>114.99999999999996</v>
      </c>
      <c r="DP28" s="18">
        <f>DO28*VLOOKUP('Données projet'!$B$14,Paramètres!$A$1:$I$89,3,0)*VLOOKUP('Données projet'!$B$14,Paramètres!$A$1:$I$89,5,0)</f>
        <v>91.493999999999971</v>
      </c>
      <c r="DQ28" s="14">
        <f t="shared" si="43"/>
        <v>24.925195840896517</v>
      </c>
      <c r="DR28" s="22">
        <f t="shared" si="16"/>
        <v>202.76343275622807</v>
      </c>
      <c r="DS28" s="62">
        <f t="shared" si="17"/>
        <v>489.98565497845027</v>
      </c>
      <c r="DT28" s="62">
        <f ca="1">AVERAGE(OFFSET($DS$3,0,0,'Données projet'!$E$14+1,1))-AVERAGE(OFFSET($H$3,0,0,'Données projet'!$E$14+1,1))</f>
        <v>312.53381881960331</v>
      </c>
      <c r="DU28" s="62">
        <f t="shared" si="44"/>
        <v>342.06887933351783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83.974358974358978</v>
      </c>
      <c r="EH28" s="13">
        <f>VLOOKUP(A28,'Données projet'!$A$191:$I$211,9,0)</f>
        <v>6.5384615384615419</v>
      </c>
      <c r="EI28" s="13">
        <f t="array" ref="EI28">INDEX(EH:EH,MIN(IF(ISNUMBER(EH28:EH224),ROW(EH28:EH224),"")))</f>
        <v>6.5384615384615419</v>
      </c>
      <c r="EJ28" s="13">
        <f>IF('Données projet'!$A$192&gt;35,EJ27+EI28-ER27,IF(A28&lt;'Données projet'!$A$192,$EG$205^A28,IF(A28='Données projet'!$A$192,'Données projet'!$B$192,EJ27+EI28-ER27)))</f>
        <v>83.974358974358992</v>
      </c>
      <c r="EK28" s="18">
        <f>EJ28*VLOOKUP('Données projet'!$B$15,Paramètres!$A$1:$I$89,3,0)*VLOOKUP('Données projet'!$B$15,Paramètres!$A$1:$I$89,5,0)</f>
        <v>79.910000000000025</v>
      </c>
      <c r="EL28" s="14">
        <f t="shared" si="45"/>
        <v>22.115177219366689</v>
      </c>
      <c r="EM28" s="22">
        <f t="shared" si="19"/>
        <v>177.69385032373035</v>
      </c>
      <c r="EN28" s="62">
        <f t="shared" si="20"/>
        <v>464.9160725459526</v>
      </c>
      <c r="EO28" s="62">
        <f ca="1">AVERAGE(OFFSET($EN$3,0,0,'Données projet'!$E$15+1,1))-AVERAGE(OFFSET($H$3,0,0,'Données projet'!$E$15+1,1))</f>
        <v>363.37916970915211</v>
      </c>
      <c r="EP28" s="62">
        <f t="shared" si="46"/>
        <v>281.52963027844595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3.4425641025641025</v>
      </c>
      <c r="FE28" s="13">
        <f>IF('Données projet'!$A$218&gt;35,FE27+FD28-FM27,IF(A28&lt;'Données projet'!$A$218,$FB$205^A28,IF(A28='Données projet'!$A$218,'Données projet'!$B$218,FE27+FD28-FM27)))</f>
        <v>47.679981195591871</v>
      </c>
      <c r="FF28" s="18">
        <f>FE28*VLOOKUP('Données projet'!$B$16,Paramètres!$A$1:$I$89,3,0)*VLOOKUP('Données projet'!$B$16,Paramètres!$A$1:$I$89,5,0)</f>
        <v>22.314231199536998</v>
      </c>
      <c r="FG28" s="14">
        <f t="shared" si="47"/>
        <v>7.1640574010122027</v>
      </c>
      <c r="FH28" s="22">
        <f t="shared" si="22"/>
        <v>51.341352645956526</v>
      </c>
      <c r="FI28" s="62">
        <f t="shared" si="23"/>
        <v>338.56357486817876</v>
      </c>
      <c r="FJ28" s="62">
        <f ca="1">AVERAGE(OFFSET($FI$3,0,0,'Données projet'!$E$16+1,1))-AVERAGE(OFFSET($H$3,0,0,'Données projet'!$E$16+1,1))</f>
        <v>245.47494516762282</v>
      </c>
      <c r="FK28" s="62">
        <f t="shared" si="48"/>
        <v>145.54897745089966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70</v>
      </c>
      <c r="FX28" s="13">
        <f>VLOOKUP(A28,'Données projet'!$A$243:$I$263,9,0)</f>
        <v>5.6</v>
      </c>
      <c r="FY28" s="13">
        <f t="array" ref="FY28">INDEX(FX:FX,MIN(IF(ISNUMBER(FX28:FX224),ROW(FX28:FX224),"")))</f>
        <v>5.6</v>
      </c>
      <c r="FZ28" s="13">
        <f>IF('Données projet'!$A$244&gt;35,FZ27+FY28-GH27,IF(A28&lt;'Données projet'!$A$244,$FW$205^A28,IF(A28='Données projet'!$A$244,'Données projet'!$B$244,FZ27+FY28-GH27)))</f>
        <v>70</v>
      </c>
      <c r="GA28" s="18">
        <f>FZ28*VLOOKUP('Données projet'!$B$17,Paramètres!$A$1:$I$89,3,0)*VLOOKUP('Données projet'!$B$17,Paramètres!$A$1:$I$89,5,0)</f>
        <v>67.703999999999994</v>
      </c>
      <c r="GB28" s="14">
        <f t="shared" si="49"/>
        <v>19.102177882771514</v>
      </c>
      <c r="GC28" s="22">
        <f t="shared" si="25"/>
        <v>151.18742647916039</v>
      </c>
      <c r="GD28" s="62">
        <f t="shared" si="26"/>
        <v>438.40964870138259</v>
      </c>
      <c r="GE28" s="62">
        <f ca="1">AVERAGE(OFFSET($GD$3,0,0,'Données projet'!$E$17+1,1))-AVERAGE(OFFSET($H$3,0,0,'Données projet'!$E$17+1,1))</f>
        <v>455.50822833641354</v>
      </c>
      <c r="GF28" s="62">
        <f t="shared" si="50"/>
        <v>261.14722581688039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>
        <f>VLOOKUP(A28,'Données projet'!$A$269:$I$289,2,0)</f>
        <v>108.97435897435896</v>
      </c>
      <c r="GS28" s="13">
        <f>VLOOKUP(A28,'Données projet'!$A$269:$I$289,9,0)</f>
        <v>8.4615384615384617</v>
      </c>
      <c r="GT28" s="13">
        <f t="array" ref="GT28">INDEX(GS:GS,MIN(IF(ISNUMBER(GS28:GS224),ROW(GS28:GS224),"")))</f>
        <v>8.4615384615384617</v>
      </c>
      <c r="GU28" s="13">
        <f>IF('Données projet'!$A$270&gt;35,GU27+GT28-HC27,IF(A28&lt;'Données projet'!$A$270,$GR$205^A28,IF(A28='Données projet'!$A$270,'Données projet'!$B$270,GU27+GT28-HC27)))</f>
        <v>108.97435897435901</v>
      </c>
      <c r="GV28" s="18">
        <f>GU28*VLOOKUP('Données projet'!$B$18,Paramètres!$A$1:$I$89,3,0)*VLOOKUP('Données projet'!$B$18,Paramètres!$A$1:$I$89,5,0)</f>
        <v>73.100000000000023</v>
      </c>
      <c r="GW28" s="14">
        <f t="shared" si="51"/>
        <v>20.44134457781275</v>
      </c>
      <c r="GX28" s="22">
        <f t="shared" si="28"/>
        <v>162.91784180635725</v>
      </c>
      <c r="GY28" s="62">
        <f t="shared" si="29"/>
        <v>450.14006402857945</v>
      </c>
      <c r="GZ28" s="62">
        <f ca="1">AVERAGE(OFFSET($GY$3,0,0,'Données projet'!$E$18+1,1))-AVERAGE(OFFSET($H$3,0,0,'Données projet'!$E$18+1,1))</f>
        <v>312.06797204903796</v>
      </c>
      <c r="HA28" s="62">
        <f t="shared" si="52"/>
        <v>258.20189001775151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</row>
    <row r="29" spans="1:218" s="5" customFormat="1" x14ac:dyDescent="0.25">
      <c r="A29" s="11">
        <f t="shared" si="31"/>
        <v>26</v>
      </c>
      <c r="B29" s="76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9">
        <f t="shared" si="1"/>
        <v>256.66666666666669</v>
      </c>
      <c r="I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16.687912087912085</v>
      </c>
      <c r="N29" s="14">
        <f>IF('Données projet'!$A$36&gt;35,N28+M29-V28,IF(A29&lt;'Données projet'!$A$36,$K$205^A29,IF(A29='Données projet'!$A$36,'Données projet'!$B$36,N28+M29-V28)))</f>
        <v>202.33186813186813</v>
      </c>
      <c r="O29" s="14">
        <f>N29*VLOOKUP('Données projet'!$B$9,Paramètres!$A$1:$I$89,3,0)*VLOOKUP('Données projet'!$B$9,Paramètres!$A$1:$I$89,5,0)</f>
        <v>113.1035142857143</v>
      </c>
      <c r="P29" s="14">
        <f t="shared" si="33"/>
        <v>30.061008485627202</v>
      </c>
      <c r="Q29" s="22">
        <f t="shared" si="2"/>
        <v>249.34487716008644</v>
      </c>
      <c r="R29" s="62">
        <f t="shared" si="0"/>
        <v>537.78932160453087</v>
      </c>
      <c r="S29" s="62">
        <f ca="1">AVERAGE(OFFSET($R$3,0,0,'Données projet'!$E$9+1,1))-AVERAGE(OFFSET($H$3,0,0,'Données projet'!$E$9+1,1))</f>
        <v>323.98185264074681</v>
      </c>
      <c r="T29" s="62">
        <f t="shared" si="34"/>
        <v>301.22207291854005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4.3265976622662512</v>
      </c>
      <c r="AB29" s="23">
        <f>EXP(-LN(2)/2)*AB28+(1-EXP(-LN(2)/2))/(LN(2)/2)*V29*Y29*VLOOKUP('Données projet'!$B$9,Paramètres!$A$1:$I$89,3,0)*0.475*44/12</f>
        <v>2.7375708534244163</v>
      </c>
      <c r="AC29" s="24">
        <f t="shared" si="3"/>
        <v>7.0641685156906675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13.664102564102569</v>
      </c>
      <c r="AI29" s="14">
        <f>IF('Données projet'!$A$62&gt;35,AI28+AH29-AQ28,IF(A29&lt;'Données projet'!$A$62,$AF$205^A29,IF(A29='Données projet'!$A$62,'Données projet'!$B$62,AI28+AH29-AQ28)))</f>
        <v>127.05128205128204</v>
      </c>
      <c r="AJ29" s="14">
        <f>AI29*VLOOKUP('Données projet'!$B$10,Paramètres!$A$1:$I$89,3,0)*VLOOKUP('Données projet'!$B$10,Paramètres!$A$1:$I$89,5,0)</f>
        <v>75.976666666666659</v>
      </c>
      <c r="AK29" s="14">
        <f t="shared" si="35"/>
        <v>21.150523503463145</v>
      </c>
      <c r="AL29" s="22">
        <f t="shared" si="4"/>
        <v>169.16318954630938</v>
      </c>
      <c r="AM29" s="62">
        <f t="shared" si="5"/>
        <v>457.60763399075381</v>
      </c>
      <c r="AN29" s="62">
        <f ca="1">AVERAGE(OFFSET($AM$3,0,0,'Données projet'!$E$10+1,1))-AVERAGE(OFFSET($H$3,0,0,'Données projet'!$E$10+1,1))</f>
        <v>289.12367833861299</v>
      </c>
      <c r="AO29" s="62">
        <f t="shared" si="36"/>
        <v>229.06617320689003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7</v>
      </c>
      <c r="BD29" s="13">
        <f>IF('Données projet'!$A$88&gt;35,BD28+BC29-BL28,IF(A29&lt;'Données projet'!$A$88,$BA$205^A29,IF(A29='Données projet'!$A$88,'Données projet'!$B$88,BD28+BC29-BL28)))</f>
        <v>77</v>
      </c>
      <c r="BE29" s="14">
        <f>BD29*VLOOKUP('Données projet'!$B$11,Paramètres!$A$1:$I$89,3,0)*VLOOKUP('Données projet'!$B$11,Paramètres!$A$1:$I$89,5,0)</f>
        <v>69.669600000000003</v>
      </c>
      <c r="BF29" s="14">
        <f t="shared" si="37"/>
        <v>19.591385027476957</v>
      </c>
      <c r="BG29" s="22">
        <f t="shared" si="7"/>
        <v>155.46288225618903</v>
      </c>
      <c r="BH29" s="62">
        <f t="shared" si="8"/>
        <v>443.90732670063346</v>
      </c>
      <c r="BI29" s="62">
        <f ca="1">AVERAGE(OFFSET($BH$3,0,0,'Données projet'!$E$11+1,1))-AVERAGE(OFFSET($H$3,0,0,'Données projet'!$E$11+1,1))</f>
        <v>428.8489304403459</v>
      </c>
      <c r="BJ29" s="62">
        <f t="shared" si="38"/>
        <v>247.01165577562966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12</v>
      </c>
      <c r="BY29" s="13">
        <f>IF('Données projet'!$A$114&gt;35,BY28+BX29-CG28,IF(A29&lt;'Données projet'!$A$114,$BV$205^A29,IF(A29='Données projet'!$A$114,'Données projet'!$B$114,BY28+BX29-CG28)))</f>
        <v>126.99999999999996</v>
      </c>
      <c r="BZ29" s="14">
        <f>BY29*VLOOKUP('Données projet'!$B$12,Paramètres!$A$1:$I$89,3,0)*VLOOKUP('Données projet'!$B$12,Paramètres!$A$1:$I$89,5,0)</f>
        <v>93.11639999999997</v>
      </c>
      <c r="CA29" s="14">
        <f t="shared" si="39"/>
        <v>25.315330119156503</v>
      </c>
      <c r="CB29" s="22">
        <f t="shared" si="10"/>
        <v>206.2685966241975</v>
      </c>
      <c r="CC29" s="62">
        <f t="shared" si="11"/>
        <v>494.71304106864193</v>
      </c>
      <c r="CD29" s="62">
        <f ca="1">AVERAGE(OFFSET($CC$3,0,0,'Données projet'!$E$12+1,1))-AVERAGE(OFFSET($H$3,0,0,'Données projet'!$E$12+1,1))</f>
        <v>290.85271051443431</v>
      </c>
      <c r="CE29" s="62">
        <f t="shared" si="40"/>
        <v>318.66958823451142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11.5</v>
      </c>
      <c r="CT29" s="13">
        <f>IF('Données projet'!$A$140&gt;35,CT28+CS29-DB28,IF(A29&lt;'Données projet'!$A$140,$CQ$205^A29,IF(A29='Données projet'!$A$140,'Données projet'!$B$140,CT28+CS29-DB28)))</f>
        <v>97.499999999999972</v>
      </c>
      <c r="CU29" s="18">
        <f>CT29*VLOOKUP('Données projet'!$B$13,Paramètres!$A$1:$I$89,3,0)*VLOOKUP('Données projet'!$B$13,Paramètres!$A$1:$I$89,5,0)</f>
        <v>76.049999999999983</v>
      </c>
      <c r="CV29" s="14">
        <f t="shared" si="41"/>
        <v>21.168560890749262</v>
      </c>
      <c r="CW29" s="22">
        <f t="shared" si="13"/>
        <v>169.32232688472158</v>
      </c>
      <c r="CX29" s="62">
        <f t="shared" si="14"/>
        <v>457.76677132916603</v>
      </c>
      <c r="CY29" s="62">
        <f ca="1">AVERAGE(OFFSET($CX$3,0,0,'Données projet'!$E$13+1,1))-AVERAGE(OFFSET($H$3,0,0,'Données projet'!$E$13+1,1))</f>
        <v>292.57482726862594</v>
      </c>
      <c r="CZ29" s="62">
        <f t="shared" si="42"/>
        <v>283.48738729114024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12</v>
      </c>
      <c r="DO29" s="13">
        <f>IF('Données projet'!$A$166&gt;35,DO28+DN29-DW28,IF(A29&lt;'Données projet'!$A$166,$DL$205^A29,IF(A29='Données projet'!$A$166,'Données projet'!$B$166,DO28+DN29-DW28)))</f>
        <v>126.99999999999996</v>
      </c>
      <c r="DP29" s="18">
        <f>DO29*VLOOKUP('Données projet'!$B$14,Paramètres!$A$1:$I$89,3,0)*VLOOKUP('Données projet'!$B$14,Paramètres!$A$1:$I$89,5,0)</f>
        <v>101.04119999999998</v>
      </c>
      <c r="DQ29" s="14">
        <f t="shared" si="43"/>
        <v>27.209899355903595</v>
      </c>
      <c r="DR29" s="22">
        <f t="shared" si="16"/>
        <v>223.37066471153204</v>
      </c>
      <c r="DS29" s="62">
        <f t="shared" si="17"/>
        <v>511.81510915597653</v>
      </c>
      <c r="DT29" s="62">
        <f ca="1">AVERAGE(OFFSET($DS$3,0,0,'Données projet'!$E$14+1,1))-AVERAGE(OFFSET($H$3,0,0,'Données projet'!$E$14+1,1))</f>
        <v>312.53381881960331</v>
      </c>
      <c r="DU29" s="62">
        <f t="shared" si="44"/>
        <v>342.06887933351783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6.5384615384615357</v>
      </c>
      <c r="EJ29" s="13">
        <f>IF('Données projet'!$A$192&gt;35,EJ28+EI29-ER28,IF(A29&lt;'Données projet'!$A$192,$EG$205^A29,IF(A29='Données projet'!$A$192,'Données projet'!$B$192,EJ28+EI29-ER28)))</f>
        <v>90.512820512820525</v>
      </c>
      <c r="EK29" s="18">
        <f>EJ29*VLOOKUP('Données projet'!$B$15,Paramètres!$A$1:$I$89,3,0)*VLOOKUP('Données projet'!$B$15,Paramètres!$A$1:$I$89,5,0)</f>
        <v>86.132000000000019</v>
      </c>
      <c r="EL29" s="14">
        <f t="shared" si="45"/>
        <v>23.629984954025307</v>
      </c>
      <c r="EM29" s="22">
        <f t="shared" si="19"/>
        <v>191.16879046159409</v>
      </c>
      <c r="EN29" s="62">
        <f t="shared" si="20"/>
        <v>479.61323490603854</v>
      </c>
      <c r="EO29" s="62">
        <f ca="1">AVERAGE(OFFSET($EN$3,0,0,'Données projet'!$E$15+1,1))-AVERAGE(OFFSET($H$3,0,0,'Données projet'!$E$15+1,1))</f>
        <v>363.37916970915211</v>
      </c>
      <c r="EP29" s="62">
        <f t="shared" si="46"/>
        <v>281.52963027844595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3.4425641025641025</v>
      </c>
      <c r="FE29" s="13">
        <f>IF('Données projet'!$A$218&gt;35,FE28+FD29-FM28,IF(A29&lt;'Données projet'!$A$218,$FB$205^A29,IF(A29='Données projet'!$A$218,'Données projet'!$B$218,FE28+FD29-FM28)))</f>
        <v>55.650557381086244</v>
      </c>
      <c r="FF29" s="18">
        <f>FE29*VLOOKUP('Données projet'!$B$16,Paramètres!$A$1:$I$89,3,0)*VLOOKUP('Données projet'!$B$16,Paramètres!$A$1:$I$89,5,0)</f>
        <v>26.044460854348362</v>
      </c>
      <c r="FG29" s="14">
        <f t="shared" si="47"/>
        <v>8.2125526568599181</v>
      </c>
      <c r="FH29" s="22">
        <f t="shared" si="22"/>
        <v>59.664298532021071</v>
      </c>
      <c r="FI29" s="62">
        <f t="shared" si="23"/>
        <v>348.10874297646552</v>
      </c>
      <c r="FJ29" s="62">
        <f ca="1">AVERAGE(OFFSET($FI$3,0,0,'Données projet'!$E$16+1,1))-AVERAGE(OFFSET($H$3,0,0,'Données projet'!$E$16+1,1))</f>
        <v>245.47494516762282</v>
      </c>
      <c r="FK29" s="62">
        <f t="shared" si="48"/>
        <v>145.54897745089966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7</v>
      </c>
      <c r="FZ29" s="13">
        <f>IF('Données projet'!$A$244&gt;35,FZ28+FY29-GH28,IF(A29&lt;'Données projet'!$A$244,$FW$205^A29,IF(A29='Données projet'!$A$244,'Données projet'!$B$244,FZ28+FY29-GH28)))</f>
        <v>77</v>
      </c>
      <c r="GA29" s="18">
        <f>FZ29*VLOOKUP('Données projet'!$B$17,Paramètres!$A$1:$I$89,3,0)*VLOOKUP('Données projet'!$B$17,Paramètres!$A$1:$I$89,5,0)</f>
        <v>74.474400000000003</v>
      </c>
      <c r="GB29" s="14">
        <f t="shared" si="49"/>
        <v>20.780570274034375</v>
      </c>
      <c r="GC29" s="22">
        <f t="shared" si="25"/>
        <v>165.90240656060988</v>
      </c>
      <c r="GD29" s="62">
        <f t="shared" si="26"/>
        <v>454.3468510050543</v>
      </c>
      <c r="GE29" s="62">
        <f ca="1">AVERAGE(OFFSET($GD$3,0,0,'Données projet'!$E$17+1,1))-AVERAGE(OFFSET($H$3,0,0,'Données projet'!$E$17+1,1))</f>
        <v>455.50822833641354</v>
      </c>
      <c r="GF29" s="62">
        <f t="shared" si="50"/>
        <v>261.14722581688039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8.0769230769230802</v>
      </c>
      <c r="GU29" s="13">
        <f>IF('Données projet'!$A$270&gt;35,GU28+GT29-HC28,IF(A29&lt;'Données projet'!$A$270,$GR$205^A29,IF(A29='Données projet'!$A$270,'Données projet'!$B$270,GU28+GT29-HC28)))</f>
        <v>117.05128205128209</v>
      </c>
      <c r="GV29" s="18">
        <f>GU29*VLOOKUP('Données projet'!$B$18,Paramètres!$A$1:$I$89,3,0)*VLOOKUP('Données projet'!$B$18,Paramètres!$A$1:$I$89,5,0)</f>
        <v>78.518000000000029</v>
      </c>
      <c r="GW29" s="14">
        <f t="shared" si="51"/>
        <v>21.774434027551713</v>
      </c>
      <c r="GX29" s="22">
        <f t="shared" si="28"/>
        <v>174.6759892646526</v>
      </c>
      <c r="GY29" s="62">
        <f t="shared" si="29"/>
        <v>463.12043370909703</v>
      </c>
      <c r="GZ29" s="62">
        <f ca="1">AVERAGE(OFFSET($GY$3,0,0,'Données projet'!$E$18+1,1))-AVERAGE(OFFSET($H$3,0,0,'Données projet'!$E$18+1,1))</f>
        <v>312.06797204903796</v>
      </c>
      <c r="HA29" s="62">
        <f t="shared" si="52"/>
        <v>258.20189001775151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</row>
    <row r="30" spans="1:218" s="5" customFormat="1" x14ac:dyDescent="0.25">
      <c r="A30" s="11">
        <f t="shared" si="31"/>
        <v>27</v>
      </c>
      <c r="B30" s="76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9">
        <f t="shared" si="1"/>
        <v>256.66666666666669</v>
      </c>
      <c r="I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16.687912087912085</v>
      </c>
      <c r="N30" s="14">
        <f>IF('Données projet'!$A$36&gt;35,N29+M30-V29,IF(A30&lt;'Données projet'!$A$36,$K$205^A30,IF(A30='Données projet'!$A$36,'Données projet'!$B$36,N29+M30-V29)))</f>
        <v>219.01978021978022</v>
      </c>
      <c r="O30" s="14">
        <f>N30*VLOOKUP('Données projet'!$B$9,Paramètres!$A$1:$I$89,3,0)*VLOOKUP('Données projet'!$B$9,Paramètres!$A$1:$I$89,5,0)</f>
        <v>122.43205714285713</v>
      </c>
      <c r="P30" s="14">
        <f t="shared" si="33"/>
        <v>32.241572593058322</v>
      </c>
      <c r="Q30" s="22">
        <f t="shared" si="2"/>
        <v>269.38990512338609</v>
      </c>
      <c r="R30" s="62">
        <f t="shared" si="0"/>
        <v>559.05657179005277</v>
      </c>
      <c r="S30" s="62">
        <f ca="1">AVERAGE(OFFSET($R$3,0,0,'Données projet'!$E$9+1,1))-AVERAGE(OFFSET($H$3,0,0,'Données projet'!$E$9+1,1))</f>
        <v>323.98185264074681</v>
      </c>
      <c r="T30" s="62">
        <f t="shared" si="34"/>
        <v>301.22207291854005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4.2082866216656978</v>
      </c>
      <c r="AB30" s="23">
        <f>EXP(-LN(2)/2)*AB29+(1-EXP(-LN(2)/2))/(LN(2)/2)*V30*Y30*VLOOKUP('Données projet'!$B$9,Paramètres!$A$1:$I$89,3,0)*0.475*44/12</f>
        <v>1.935754914435049</v>
      </c>
      <c r="AC30" s="24">
        <f t="shared" si="3"/>
        <v>6.1440415361007465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>
        <f>VLOOKUP(A30,'Données projet'!$A$61:$I$81,2,0)</f>
        <v>140.71538461538461</v>
      </c>
      <c r="AG30" s="13">
        <f>VLOOKUP(A30,'Données projet'!$A$61:$I$81,9,0)</f>
        <v>13.664102564102569</v>
      </c>
      <c r="AH30" s="13">
        <f t="array" ref="AH30">INDEX(AG:AG,MIN(IF(ISNUMBER(AG30:AG226),ROW(AG30:AG226),"")))</f>
        <v>13.664102564102569</v>
      </c>
      <c r="AI30" s="14">
        <f>IF('Données projet'!$A$62&gt;35,AI29+AH30-AQ29,IF(A30&lt;'Données projet'!$A$62,$AF$205^A30,IF(A30='Données projet'!$A$62,'Données projet'!$B$62,AI29+AH30-AQ29)))</f>
        <v>140.71538461538461</v>
      </c>
      <c r="AJ30" s="14">
        <f>AI30*VLOOKUP('Données projet'!$B$10,Paramètres!$A$1:$I$89,3,0)*VLOOKUP('Données projet'!$B$10,Paramètres!$A$1:$I$89,5,0)</f>
        <v>84.147799999999989</v>
      </c>
      <c r="AK30" s="14">
        <f t="shared" si="35"/>
        <v>23.148340019013887</v>
      </c>
      <c r="AL30" s="22">
        <f t="shared" si="4"/>
        <v>186.87411053311584</v>
      </c>
      <c r="AM30" s="62">
        <f t="shared" si="5"/>
        <v>476.5407771997825</v>
      </c>
      <c r="AN30" s="62">
        <f ca="1">AVERAGE(OFFSET($AM$3,0,0,'Données projet'!$E$10+1,1))-AVERAGE(OFFSET($H$3,0,0,'Données projet'!$E$10+1,1))</f>
        <v>289.12367833861299</v>
      </c>
      <c r="AO30" s="62">
        <f t="shared" si="36"/>
        <v>229.06617320689003</v>
      </c>
      <c r="AP30" s="16">
        <f>IF(ISNA(VLOOKUP(A30,'Données projet'!$A$61:$I$81,3,0)),0,VLOOKUP(A30,'Données projet'!$A$61:$I$81,3,0))</f>
        <v>2</v>
      </c>
      <c r="AQ30" s="16">
        <f>IF(ISNA(VLOOKUP(A30,'Données projet'!$A$61:$I$81,4,0)),0,VLOOKUP(A30,'Données projet'!$A$61:$I$81,4,0))</f>
        <v>34.646153846153844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0.5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11.729020816536163</v>
      </c>
      <c r="AX30" s="23">
        <f t="shared" si="6"/>
        <v>11.729020816536163</v>
      </c>
      <c r="AY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7</v>
      </c>
      <c r="BD30" s="13">
        <f>IF('Données projet'!$A$88&gt;35,BD29+BC30-BL29,IF(A30&lt;'Données projet'!$A$88,$BA$205^A30,IF(A30='Données projet'!$A$88,'Données projet'!$B$88,BD29+BC30-BL29)))</f>
        <v>84</v>
      </c>
      <c r="BE30" s="14">
        <f>BD30*VLOOKUP('Données projet'!$B$11,Paramètres!$A$1:$I$89,3,0)*VLOOKUP('Données projet'!$B$11,Paramètres!$A$1:$I$89,5,0)</f>
        <v>76.003200000000007</v>
      </c>
      <c r="BF30" s="14">
        <f t="shared" si="37"/>
        <v>21.157049992000456</v>
      </c>
      <c r="BG30" s="22">
        <f t="shared" si="7"/>
        <v>169.22076873606747</v>
      </c>
      <c r="BH30" s="62">
        <f t="shared" si="8"/>
        <v>458.88743540273413</v>
      </c>
      <c r="BI30" s="62">
        <f ca="1">AVERAGE(OFFSET($BH$3,0,0,'Données projet'!$E$11+1,1))-AVERAGE(OFFSET($H$3,0,0,'Données projet'!$E$11+1,1))</f>
        <v>428.8489304403459</v>
      </c>
      <c r="BJ30" s="62">
        <f t="shared" si="38"/>
        <v>247.01165577562966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12</v>
      </c>
      <c r="BY30" s="13">
        <f>IF('Données projet'!$A$114&gt;35,BY29+BX30-CG29,IF(A30&lt;'Données projet'!$A$114,$BV$205^A30,IF(A30='Données projet'!$A$114,'Données projet'!$B$114,BY29+BX30-CG29)))</f>
        <v>138.99999999999994</v>
      </c>
      <c r="BZ30" s="14">
        <f>BY30*VLOOKUP('Données projet'!$B$12,Paramètres!$A$1:$I$89,3,0)*VLOOKUP('Données projet'!$B$12,Paramètres!$A$1:$I$89,5,0)</f>
        <v>101.91479999999996</v>
      </c>
      <c r="CA30" s="14">
        <f t="shared" si="39"/>
        <v>27.417667462779292</v>
      </c>
      <c r="CB30" s="22">
        <f t="shared" si="10"/>
        <v>225.25404749767384</v>
      </c>
      <c r="CC30" s="62">
        <f t="shared" si="11"/>
        <v>514.92071416434055</v>
      </c>
      <c r="CD30" s="62">
        <f ca="1">AVERAGE(OFFSET($CC$3,0,0,'Données projet'!$E$12+1,1))-AVERAGE(OFFSET($H$3,0,0,'Données projet'!$E$12+1,1))</f>
        <v>290.85271051443431</v>
      </c>
      <c r="CE30" s="62">
        <f t="shared" si="40"/>
        <v>318.66958823451142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11.5</v>
      </c>
      <c r="CT30" s="13">
        <f>IF('Données projet'!$A$140&gt;35,CT29+CS30-DB29,IF(A30&lt;'Données projet'!$A$140,$CQ$205^A30,IF(A30='Données projet'!$A$140,'Données projet'!$B$140,CT29+CS30-DB29)))</f>
        <v>108.99999999999997</v>
      </c>
      <c r="CU30" s="18">
        <f>CT30*VLOOKUP('Données projet'!$B$13,Paramètres!$A$1:$I$89,3,0)*VLOOKUP('Données projet'!$B$13,Paramètres!$A$1:$I$89,5,0)</f>
        <v>85.019999999999982</v>
      </c>
      <c r="CV30" s="14">
        <f t="shared" si="41"/>
        <v>23.360218970693108</v>
      </c>
      <c r="CW30" s="22">
        <f t="shared" si="13"/>
        <v>188.76221470729047</v>
      </c>
      <c r="CX30" s="62">
        <f t="shared" si="14"/>
        <v>478.42888137395715</v>
      </c>
      <c r="CY30" s="62">
        <f ca="1">AVERAGE(OFFSET($CX$3,0,0,'Données projet'!$E$13+1,1))-AVERAGE(OFFSET($H$3,0,0,'Données projet'!$E$13+1,1))</f>
        <v>292.57482726862594</v>
      </c>
      <c r="CZ30" s="62">
        <f t="shared" si="42"/>
        <v>283.48738729114024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12</v>
      </c>
      <c r="DO30" s="13">
        <f>IF('Données projet'!$A$166&gt;35,DO29+DN30-DW29,IF(A30&lt;'Données projet'!$A$166,$DL$205^A30,IF(A30='Données projet'!$A$166,'Données projet'!$B$166,DO29+DN30-DW29)))</f>
        <v>138.99999999999994</v>
      </c>
      <c r="DP30" s="18">
        <f>DO30*VLOOKUP('Données projet'!$B$14,Paramètres!$A$1:$I$89,3,0)*VLOOKUP('Données projet'!$B$14,Paramètres!$A$1:$I$89,5,0)</f>
        <v>110.58839999999996</v>
      </c>
      <c r="DQ30" s="14">
        <f t="shared" si="43"/>
        <v>29.469573129181644</v>
      </c>
      <c r="DR30" s="22">
        <f t="shared" si="16"/>
        <v>243.93430319999132</v>
      </c>
      <c r="DS30" s="62">
        <f t="shared" si="17"/>
        <v>533.60096986665803</v>
      </c>
      <c r="DT30" s="62">
        <f ca="1">AVERAGE(OFFSET($DS$3,0,0,'Données projet'!$E$14+1,1))-AVERAGE(OFFSET($H$3,0,0,'Données projet'!$E$14+1,1))</f>
        <v>312.53381881960331</v>
      </c>
      <c r="DU30" s="62">
        <f t="shared" si="44"/>
        <v>342.06887933351783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6.5384615384615357</v>
      </c>
      <c r="EJ30" s="13">
        <f>IF('Données projet'!$A$192&gt;35,EJ29+EI30-ER29,IF(A30&lt;'Données projet'!$A$192,$EG$205^A30,IF(A30='Données projet'!$A$192,'Données projet'!$B$192,EJ29+EI30-ER29)))</f>
        <v>97.051282051282058</v>
      </c>
      <c r="EK30" s="18">
        <f>EJ30*VLOOKUP('Données projet'!$B$15,Paramètres!$A$1:$I$89,3,0)*VLOOKUP('Données projet'!$B$15,Paramètres!$A$1:$I$89,5,0)</f>
        <v>92.354000000000013</v>
      </c>
      <c r="EL30" s="14">
        <f t="shared" si="45"/>
        <v>25.132097180965346</v>
      </c>
      <c r="EM30" s="22">
        <f t="shared" si="19"/>
        <v>204.62161925684799</v>
      </c>
      <c r="EN30" s="62">
        <f t="shared" si="20"/>
        <v>494.28828592351465</v>
      </c>
      <c r="EO30" s="62">
        <f ca="1">AVERAGE(OFFSET($EN$3,0,0,'Données projet'!$E$15+1,1))-AVERAGE(OFFSET($H$3,0,0,'Données projet'!$E$15+1,1))</f>
        <v>363.37916970915211</v>
      </c>
      <c r="EP30" s="62">
        <f t="shared" si="46"/>
        <v>281.52963027844595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3.4425641025641025</v>
      </c>
      <c r="FE30" s="13">
        <f>IF('Données projet'!$A$218&gt;35,FE29+FD30-FM29,IF(A30&lt;'Données projet'!$A$218,$FB$205^A30,IF(A30='Données projet'!$A$218,'Données projet'!$B$218,FE29+FD30-FM29)))</f>
        <v>64.953560365747308</v>
      </c>
      <c r="FF30" s="18">
        <f>FE30*VLOOKUP('Données projet'!$B$16,Paramètres!$A$1:$I$89,3,0)*VLOOKUP('Données projet'!$B$16,Paramètres!$A$1:$I$89,5,0)</f>
        <v>30.398266251169741</v>
      </c>
      <c r="FG30" s="14">
        <f t="shared" si="47"/>
        <v>9.4145003824463398</v>
      </c>
      <c r="FH30" s="22">
        <f t="shared" si="22"/>
        <v>69.340568553547996</v>
      </c>
      <c r="FI30" s="62">
        <f t="shared" si="23"/>
        <v>359.00723522021468</v>
      </c>
      <c r="FJ30" s="62">
        <f ca="1">AVERAGE(OFFSET($FI$3,0,0,'Données projet'!$E$16+1,1))-AVERAGE(OFFSET($H$3,0,0,'Données projet'!$E$16+1,1))</f>
        <v>245.47494516762282</v>
      </c>
      <c r="FK30" s="62">
        <f t="shared" si="48"/>
        <v>145.54897745089966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7</v>
      </c>
      <c r="FZ30" s="13">
        <f>IF('Données projet'!$A$244&gt;35,FZ29+FY30-GH29,IF(A30&lt;'Données projet'!$A$244,$FW$205^A30,IF(A30='Données projet'!$A$244,'Données projet'!$B$244,FZ29+FY30-GH29)))</f>
        <v>84</v>
      </c>
      <c r="GA30" s="18">
        <f>FZ30*VLOOKUP('Données projet'!$B$17,Paramètres!$A$1:$I$89,3,0)*VLOOKUP('Données projet'!$B$17,Paramètres!$A$1:$I$89,5,0)</f>
        <v>81.244799999999998</v>
      </c>
      <c r="GB30" s="14">
        <f t="shared" si="49"/>
        <v>22.441270156928962</v>
      </c>
      <c r="GC30" s="22">
        <f t="shared" si="25"/>
        <v>180.58657218998462</v>
      </c>
      <c r="GD30" s="62">
        <f t="shared" si="26"/>
        <v>470.25323885665131</v>
      </c>
      <c r="GE30" s="62">
        <f ca="1">AVERAGE(OFFSET($GD$3,0,0,'Données projet'!$E$17+1,1))-AVERAGE(OFFSET($H$3,0,0,'Données projet'!$E$17+1,1))</f>
        <v>455.50822833641354</v>
      </c>
      <c r="GF30" s="62">
        <f t="shared" si="50"/>
        <v>261.14722581688039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8.0769230769230802</v>
      </c>
      <c r="GU30" s="13">
        <f>IF('Données projet'!$A$270&gt;35,GU29+GT30-HC29,IF(A30&lt;'Données projet'!$A$270,$GR$205^A30,IF(A30='Données projet'!$A$270,'Données projet'!$B$270,GU29+GT30-HC29)))</f>
        <v>125.12820512820517</v>
      </c>
      <c r="GV30" s="18">
        <f>GU30*VLOOKUP('Données projet'!$B$18,Paramètres!$A$1:$I$89,3,0)*VLOOKUP('Données projet'!$B$18,Paramètres!$A$1:$I$89,5,0)</f>
        <v>83.936000000000021</v>
      </c>
      <c r="GW30" s="14">
        <f t="shared" si="51"/>
        <v>23.096850074431298</v>
      </c>
      <c r="GX30" s="22">
        <f t="shared" si="28"/>
        <v>186.41554721296791</v>
      </c>
      <c r="GY30" s="62">
        <f t="shared" si="29"/>
        <v>476.08221387963459</v>
      </c>
      <c r="GZ30" s="62">
        <f ca="1">AVERAGE(OFFSET($GY$3,0,0,'Données projet'!$E$18+1,1))-AVERAGE(OFFSET($H$3,0,0,'Données projet'!$E$18+1,1))</f>
        <v>312.06797204903796</v>
      </c>
      <c r="HA30" s="62">
        <f t="shared" si="52"/>
        <v>258.20189001775151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</row>
    <row r="31" spans="1:218" s="5" customFormat="1" x14ac:dyDescent="0.25">
      <c r="A31" s="11">
        <f t="shared" si="31"/>
        <v>28</v>
      </c>
      <c r="B31" s="76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9">
        <f t="shared" si="1"/>
        <v>256.66666666666669</v>
      </c>
      <c r="I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>
        <f>VLOOKUP(A31,'Données projet'!$A$35:$I$55,2,0)</f>
        <v>235.7076923076923</v>
      </c>
      <c r="L31" s="13">
        <f>VLOOKUP(A31,'Données projet'!$A$35:$I$55,9,0)</f>
        <v>16.687912087912085</v>
      </c>
      <c r="M31" s="13">
        <f t="array" ref="M31">INDEX(L:L,MIN(IF(ISNUMBER(L31:L227),ROW(L31:L227),"")))</f>
        <v>16.687912087912085</v>
      </c>
      <c r="N31" s="14">
        <f>IF('Données projet'!$A$36&gt;35,N30+M31-V30,IF(A31&lt;'Données projet'!$A$36,$K$205^A31,IF(A31='Données projet'!$A$36,'Données projet'!$B$36,N30+M31-V30)))</f>
        <v>235.7076923076923</v>
      </c>
      <c r="O31" s="14">
        <f>N31*VLOOKUP('Données projet'!$B$9,Paramètres!$A$1:$I$89,3,0)*VLOOKUP('Données projet'!$B$9,Paramètres!$A$1:$I$89,5,0)</f>
        <v>131.76059999999998</v>
      </c>
      <c r="P31" s="14">
        <f t="shared" si="33"/>
        <v>34.402863243711892</v>
      </c>
      <c r="Q31" s="22">
        <f t="shared" si="2"/>
        <v>289.40136514946488</v>
      </c>
      <c r="R31" s="62">
        <f t="shared" si="0"/>
        <v>580.29025403835374</v>
      </c>
      <c r="S31" s="62">
        <f ca="1">AVERAGE(OFFSET($R$3,0,0,'Données projet'!$E$9+1,1))-AVERAGE(OFFSET($H$3,0,0,'Données projet'!$E$9+1,1))</f>
        <v>323.98185264074681</v>
      </c>
      <c r="T31" s="62">
        <f t="shared" si="34"/>
        <v>301.22207291854005</v>
      </c>
      <c r="U31" s="16">
        <f>IF(ISNA(VLOOKUP(A31,'Données projet'!$A$35:$I$55,3,0)),0,VLOOKUP(A31,'Données projet'!$A$35:$I$55,3,0))</f>
        <v>2</v>
      </c>
      <c r="V31" s="16">
        <f>IF(ISNA(VLOOKUP(A31,'Données projet'!$A$35:$I$55,4,0)),0,VLOOKUP(A31,'Données projet'!$A$35:$I$55,4,0))</f>
        <v>56.91538461538461</v>
      </c>
      <c r="W31" s="17">
        <f>IF(ISNA(VLOOKUP(A31,'Données projet'!$A$35:$I$55,5,0)),0%,VLOOKUP(A31,'Données projet'!$A$35:$I$55,5,0)*VLOOKUP('Données projet'!$B$9,Paramètres!$A$1:$I$89,7,0))</f>
        <v>0.11000000000000001</v>
      </c>
      <c r="X31" s="17">
        <f>IF(ISNA(VLOOKUP(A31,'Données projet'!$A$35:$I$55,6,0)),0%,VLOOKUP(A31,'Données projet'!$A$35:$I$55,6,0)*VLOOKUP('Données projet'!$B$9,Paramètres!$A$1:$I$89,7,0))</f>
        <v>0.11000000000000001</v>
      </c>
      <c r="Y31" s="17">
        <f>IF(ISNA(VLOOKUP(A31,'Données projet'!$A$35:$I$55,7,0)),0%,VLOOKUP(A31,'Données projet'!$A$35:$I$55,7,0))</f>
        <v>0.3</v>
      </c>
      <c r="Z31" s="23">
        <f>EXP(-LN(2)/35)*Z30+(1-EXP(-LN(2)/35))/(LN(2)/35)*V31*W31*VLOOKUP('Données projet'!$B$9,Paramètres!$A$1:$I$89,3,0)*0.475*44/12</f>
        <v>4.6426134419420562</v>
      </c>
      <c r="AA31" s="23">
        <f>EXP(-LN(2)/25)*AA30+(1-EXP(-LN(2)/25))/(LN(2)/25)*Calculateur!V31*Calculateur!X31*VLOOKUP('Données projet'!$B$9,Paramètres!$A$1:$I$89,3,0)*0.475*44/12</f>
        <v>8.7175445065387969</v>
      </c>
      <c r="AB31" s="23">
        <f>EXP(-LN(2)/2)*AB30+(1-EXP(-LN(2)/2))/(LN(2)/2)*V31*Y31*VLOOKUP('Données projet'!$B$9,Paramètres!$A$1:$I$89,3,0)*0.475*44/12</f>
        <v>12.175614359236038</v>
      </c>
      <c r="AC31" s="24">
        <f t="shared" si="3"/>
        <v>25.53577230771689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12.971794871794875</v>
      </c>
      <c r="AI31" s="14">
        <f>IF('Données projet'!$A$62&gt;35,AI30+AH31-AQ30,IF(A31&lt;'Données projet'!$A$62,$AF$205^A31,IF(A31='Données projet'!$A$62,'Données projet'!$B$62,AI30+AH31-AQ30)))</f>
        <v>119.04102564102564</v>
      </c>
      <c r="AJ31" s="14">
        <f>AI31*VLOOKUP('Données projet'!$B$10,Paramètres!$A$1:$I$89,3,0)*VLOOKUP('Données projet'!$B$10,Paramètres!$A$1:$I$89,5,0)</f>
        <v>71.18653333333333</v>
      </c>
      <c r="AK31" s="14">
        <f t="shared" si="35"/>
        <v>19.967826748678</v>
      </c>
      <c r="AL31" s="22">
        <f t="shared" si="4"/>
        <v>158.76051047616974</v>
      </c>
      <c r="AM31" s="62">
        <f t="shared" si="5"/>
        <v>449.64939936505857</v>
      </c>
      <c r="AN31" s="62">
        <f ca="1">AVERAGE(OFFSET($AM$3,0,0,'Données projet'!$E$10+1,1))-AVERAGE(OFFSET($H$3,0,0,'Données projet'!$E$10+1,1))</f>
        <v>289.12367833861299</v>
      </c>
      <c r="AO31" s="62">
        <f t="shared" si="36"/>
        <v>229.06617320689003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8.293670156050899</v>
      </c>
      <c r="AX31" s="23">
        <f t="shared" si="6"/>
        <v>8.293670156050899</v>
      </c>
      <c r="AY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7</v>
      </c>
      <c r="BD31" s="13">
        <f>IF('Données projet'!$A$88&gt;35,BD30+BC31-BL30,IF(A31&lt;'Données projet'!$A$88,$BA$205^A31,IF(A31='Données projet'!$A$88,'Données projet'!$B$88,BD30+BC31-BL30)))</f>
        <v>91</v>
      </c>
      <c r="BE31" s="14">
        <f>BD31*VLOOKUP('Données projet'!$B$11,Paramètres!$A$1:$I$89,3,0)*VLOOKUP('Données projet'!$B$11,Paramètres!$A$1:$I$89,5,0)</f>
        <v>82.336799999999997</v>
      </c>
      <c r="BF31" s="14">
        <f t="shared" si="37"/>
        <v>22.707582950885364</v>
      </c>
      <c r="BG31" s="22">
        <f t="shared" si="7"/>
        <v>182.95230030612535</v>
      </c>
      <c r="BH31" s="62">
        <f t="shared" si="8"/>
        <v>473.84118919501418</v>
      </c>
      <c r="BI31" s="62">
        <f ca="1">AVERAGE(OFFSET($BH$3,0,0,'Données projet'!$E$11+1,1))-AVERAGE(OFFSET($H$3,0,0,'Données projet'!$E$11+1,1))</f>
        <v>428.8489304403459</v>
      </c>
      <c r="BJ31" s="62">
        <f t="shared" si="38"/>
        <v>247.01165577562966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12</v>
      </c>
      <c r="BY31" s="13">
        <f>IF('Données projet'!$A$114&gt;35,BY30+BX31-CG30,IF(A31&lt;'Données projet'!$A$114,$BV$205^A31,IF(A31='Données projet'!$A$114,'Données projet'!$B$114,BY30+BX31-CG30)))</f>
        <v>150.99999999999994</v>
      </c>
      <c r="BZ31" s="14">
        <f>BY31*VLOOKUP('Données projet'!$B$12,Paramètres!$A$1:$I$89,3,0)*VLOOKUP('Données projet'!$B$12,Paramètres!$A$1:$I$89,5,0)</f>
        <v>110.71319999999996</v>
      </c>
      <c r="CA31" s="14">
        <f t="shared" si="39"/>
        <v>29.498956799987518</v>
      </c>
      <c r="CB31" s="22">
        <f t="shared" si="10"/>
        <v>244.20283975997816</v>
      </c>
      <c r="CC31" s="62">
        <f t="shared" si="11"/>
        <v>535.09172864886705</v>
      </c>
      <c r="CD31" s="62">
        <f ca="1">AVERAGE(OFFSET($CC$3,0,0,'Données projet'!$E$12+1,1))-AVERAGE(OFFSET($H$3,0,0,'Données projet'!$E$12+1,1))</f>
        <v>290.85271051443431</v>
      </c>
      <c r="CE31" s="62">
        <f t="shared" si="40"/>
        <v>318.66958823451142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11.5</v>
      </c>
      <c r="CT31" s="13">
        <f>IF('Données projet'!$A$140&gt;35,CT30+CS31-DB30,IF(A31&lt;'Données projet'!$A$140,$CQ$205^A31,IF(A31='Données projet'!$A$140,'Données projet'!$B$140,CT30+CS31-DB30)))</f>
        <v>120.49999999999997</v>
      </c>
      <c r="CU31" s="18">
        <f>CT31*VLOOKUP('Données projet'!$B$13,Paramètres!$A$1:$I$89,3,0)*VLOOKUP('Données projet'!$B$13,Paramètres!$A$1:$I$89,5,0)</f>
        <v>93.989999999999981</v>
      </c>
      <c r="CV31" s="14">
        <f t="shared" si="41"/>
        <v>25.525074036970079</v>
      </c>
      <c r="CW31" s="22">
        <f t="shared" si="13"/>
        <v>208.15542061438953</v>
      </c>
      <c r="CX31" s="62">
        <f t="shared" si="14"/>
        <v>499.04430950327838</v>
      </c>
      <c r="CY31" s="62">
        <f ca="1">AVERAGE(OFFSET($CX$3,0,0,'Données projet'!$E$13+1,1))-AVERAGE(OFFSET($H$3,0,0,'Données projet'!$E$13+1,1))</f>
        <v>292.57482726862594</v>
      </c>
      <c r="CZ31" s="62">
        <f t="shared" si="42"/>
        <v>283.48738729114024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12</v>
      </c>
      <c r="DO31" s="13">
        <f>IF('Données projet'!$A$166&gt;35,DO30+DN31-DW30,IF(A31&lt;'Données projet'!$A$166,$DL$205^A31,IF(A31='Données projet'!$A$166,'Données projet'!$B$166,DO30+DN31-DW30)))</f>
        <v>150.99999999999994</v>
      </c>
      <c r="DP31" s="18">
        <f>DO31*VLOOKUP('Données projet'!$B$14,Paramètres!$A$1:$I$89,3,0)*VLOOKUP('Données projet'!$B$14,Paramètres!$A$1:$I$89,5,0)</f>
        <v>120.13559999999997</v>
      </c>
      <c r="DQ31" s="14">
        <f t="shared" si="43"/>
        <v>31.70662368824571</v>
      </c>
      <c r="DR31" s="22">
        <f t="shared" si="16"/>
        <v>264.45853959036123</v>
      </c>
      <c r="DS31" s="62">
        <f t="shared" si="17"/>
        <v>555.34742847925008</v>
      </c>
      <c r="DT31" s="62">
        <f ca="1">AVERAGE(OFFSET($DS$3,0,0,'Données projet'!$E$14+1,1))-AVERAGE(OFFSET($H$3,0,0,'Données projet'!$E$14+1,1))</f>
        <v>312.53381881960331</v>
      </c>
      <c r="DU31" s="62">
        <f t="shared" si="44"/>
        <v>342.06887933351783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6.5384615384615357</v>
      </c>
      <c r="EJ31" s="13">
        <f>IF('Données projet'!$A$192&gt;35,EJ30+EI31-ER30,IF(A31&lt;'Données projet'!$A$192,$EG$205^A31,IF(A31='Données projet'!$A$192,'Données projet'!$B$192,EJ30+EI31-ER30)))</f>
        <v>103.58974358974359</v>
      </c>
      <c r="EK31" s="18">
        <f>EJ31*VLOOKUP('Données projet'!$B$15,Paramètres!$A$1:$I$89,3,0)*VLOOKUP('Données projet'!$B$15,Paramètres!$A$1:$I$89,5,0)</f>
        <v>98.576000000000008</v>
      </c>
      <c r="EL31" s="14">
        <f t="shared" si="45"/>
        <v>26.622466525409418</v>
      </c>
      <c r="EM31" s="22">
        <f t="shared" si="19"/>
        <v>218.05399586508807</v>
      </c>
      <c r="EN31" s="62">
        <f t="shared" si="20"/>
        <v>508.94288475397695</v>
      </c>
      <c r="EO31" s="62">
        <f ca="1">AVERAGE(OFFSET($EN$3,0,0,'Données projet'!$E$15+1,1))-AVERAGE(OFFSET($H$3,0,0,'Données projet'!$E$15+1,1))</f>
        <v>363.37916970915211</v>
      </c>
      <c r="EP31" s="62">
        <f t="shared" si="46"/>
        <v>281.52963027844595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3.4425641025641025</v>
      </c>
      <c r="FE31" s="13">
        <f>IF('Données projet'!$A$218&gt;35,FE30+FD31-FM30,IF(A31&lt;'Données projet'!$A$218,$FB$205^A31,IF(A31='Données projet'!$A$218,'Données projet'!$B$218,FE30+FD31-FM30)))</f>
        <v>75.81172952673181</v>
      </c>
      <c r="FF31" s="18">
        <f>FE31*VLOOKUP('Données projet'!$B$16,Paramètres!$A$1:$I$89,3,0)*VLOOKUP('Données projet'!$B$16,Paramètres!$A$1:$I$89,5,0)</f>
        <v>35.479889418510488</v>
      </c>
      <c r="FG31" s="14">
        <f t="shared" si="47"/>
        <v>10.7923591061602</v>
      </c>
      <c r="FH31" s="22">
        <f t="shared" si="22"/>
        <v>80.590832847134777</v>
      </c>
      <c r="FI31" s="62">
        <f t="shared" si="23"/>
        <v>371.47972173602363</v>
      </c>
      <c r="FJ31" s="62">
        <f ca="1">AVERAGE(OFFSET($FI$3,0,0,'Données projet'!$E$16+1,1))-AVERAGE(OFFSET($H$3,0,0,'Données projet'!$E$16+1,1))</f>
        <v>245.47494516762282</v>
      </c>
      <c r="FK31" s="62">
        <f t="shared" si="48"/>
        <v>145.54897745089966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7</v>
      </c>
      <c r="FZ31" s="13">
        <f>IF('Données projet'!$A$244&gt;35,FZ30+FY31-GH30,IF(A31&lt;'Données projet'!$A$244,$FW$205^A31,IF(A31='Données projet'!$A$244,'Données projet'!$B$244,FZ30+FY31-GH30)))</f>
        <v>91</v>
      </c>
      <c r="GA31" s="18">
        <f>FZ31*VLOOKUP('Données projet'!$B$17,Paramètres!$A$1:$I$89,3,0)*VLOOKUP('Données projet'!$B$17,Paramètres!$A$1:$I$89,5,0)</f>
        <v>88.015200000000007</v>
      </c>
      <c r="GB31" s="14">
        <f t="shared" si="49"/>
        <v>24.085919530575829</v>
      </c>
      <c r="GC31" s="22">
        <f t="shared" si="25"/>
        <v>195.24278318241954</v>
      </c>
      <c r="GD31" s="62">
        <f t="shared" si="26"/>
        <v>486.1316720713084</v>
      </c>
      <c r="GE31" s="62">
        <f ca="1">AVERAGE(OFFSET($GD$3,0,0,'Données projet'!$E$17+1,1))-AVERAGE(OFFSET($H$3,0,0,'Données projet'!$E$17+1,1))</f>
        <v>455.50822833641354</v>
      </c>
      <c r="GF31" s="62">
        <f t="shared" si="50"/>
        <v>261.14722581688039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8.0769230769230802</v>
      </c>
      <c r="GU31" s="13">
        <f>IF('Données projet'!$A$270&gt;35,GU30+GT31-HC30,IF(A31&lt;'Données projet'!$A$270,$GR$205^A31,IF(A31='Données projet'!$A$270,'Données projet'!$B$270,GU30+GT31-HC30)))</f>
        <v>133.20512820512823</v>
      </c>
      <c r="GV31" s="18">
        <f>GU31*VLOOKUP('Données projet'!$B$18,Paramètres!$A$1:$I$89,3,0)*VLOOKUP('Données projet'!$B$18,Paramètres!$A$1:$I$89,5,0)</f>
        <v>89.354000000000013</v>
      </c>
      <c r="GW31" s="14">
        <f t="shared" si="51"/>
        <v>24.40936009026365</v>
      </c>
      <c r="GX31" s="22">
        <f t="shared" si="28"/>
        <v>198.13785215720918</v>
      </c>
      <c r="GY31" s="62">
        <f t="shared" si="29"/>
        <v>489.02674104609804</v>
      </c>
      <c r="GZ31" s="62">
        <f ca="1">AVERAGE(OFFSET($GY$3,0,0,'Données projet'!$E$18+1,1))-AVERAGE(OFFSET($H$3,0,0,'Données projet'!$E$18+1,1))</f>
        <v>312.06797204903796</v>
      </c>
      <c r="HA31" s="62">
        <f t="shared" si="52"/>
        <v>258.20189001775151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</row>
    <row r="32" spans="1:218" s="5" customFormat="1" x14ac:dyDescent="0.25">
      <c r="A32" s="11">
        <f t="shared" si="31"/>
        <v>29</v>
      </c>
      <c r="B32" s="76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9">
        <f t="shared" si="1"/>
        <v>256.66666666666669</v>
      </c>
      <c r="I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18.099999999999994</v>
      </c>
      <c r="N32" s="14">
        <f>IF('Données projet'!$A$36&gt;35,N31+M32-V31,IF(A32&lt;'Données projet'!$A$36,$K$205^A32,IF(A32='Données projet'!$A$36,'Données projet'!$B$36,N31+M32-V31)))</f>
        <v>196.89230769230767</v>
      </c>
      <c r="O32" s="14">
        <f>N32*VLOOKUP('Données projet'!$B$9,Paramètres!$A$1:$I$89,3,0)*VLOOKUP('Données projet'!$B$9,Paramètres!$A$1:$I$89,5,0)</f>
        <v>110.0628</v>
      </c>
      <c r="P32" s="14">
        <f t="shared" si="33"/>
        <v>29.345780250854382</v>
      </c>
      <c r="Q32" s="22">
        <f t="shared" si="2"/>
        <v>242.80327727023806</v>
      </c>
      <c r="R32" s="62">
        <f t="shared" si="0"/>
        <v>534.91438838134923</v>
      </c>
      <c r="S32" s="62">
        <f ca="1">AVERAGE(OFFSET($R$3,0,0,'Données projet'!$E$9+1,1))-AVERAGE(OFFSET($H$3,0,0,'Données projet'!$E$9+1,1))</f>
        <v>323.98185264074681</v>
      </c>
      <c r="T32" s="62">
        <f t="shared" si="34"/>
        <v>301.22207291854005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4.5515746240601631</v>
      </c>
      <c r="AA32" s="23">
        <f>EXP(-LN(2)/25)*AA31+(1-EXP(-LN(2)/25))/(LN(2)/25)*Calculateur!V32*Calculateur!X32*VLOOKUP('Données projet'!$B$9,Paramètres!$A$1:$I$89,3,0)*0.475*44/12</f>
        <v>8.4791627935717528</v>
      </c>
      <c r="AB32" s="23">
        <f>EXP(-LN(2)/2)*AB31+(1-EXP(-LN(2)/2))/(LN(2)/2)*V32*Y32*VLOOKUP('Données projet'!$B$9,Paramètres!$A$1:$I$89,3,0)*0.475*44/12</f>
        <v>8.6094594785281036</v>
      </c>
      <c r="AC32" s="24">
        <f t="shared" si="3"/>
        <v>21.64019689616002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12.971794871794875</v>
      </c>
      <c r="AI32" s="14">
        <f>IF('Données projet'!$A$62&gt;35,AI31+AH32-AQ31,IF(A32&lt;'Données projet'!$A$62,$AF$205^A32,IF(A32='Données projet'!$A$62,'Données projet'!$B$62,AI31+AH32-AQ31)))</f>
        <v>132.01282051282053</v>
      </c>
      <c r="AJ32" s="14">
        <f>AI32*VLOOKUP('Données projet'!$B$10,Paramètres!$A$1:$I$89,3,0)*VLOOKUP('Données projet'!$B$10,Paramètres!$A$1:$I$89,5,0)</f>
        <v>78.943666666666687</v>
      </c>
      <c r="AK32" s="14">
        <f t="shared" si="35"/>
        <v>21.878705672057283</v>
      </c>
      <c r="AL32" s="22">
        <f t="shared" si="4"/>
        <v>175.59896515661092</v>
      </c>
      <c r="AM32" s="62">
        <f t="shared" si="5"/>
        <v>467.71007626772206</v>
      </c>
      <c r="AN32" s="62">
        <f ca="1">AVERAGE(OFFSET($AM$3,0,0,'Données projet'!$E$10+1,1))-AVERAGE(OFFSET($H$3,0,0,'Données projet'!$E$10+1,1))</f>
        <v>289.12367833861299</v>
      </c>
      <c r="AO32" s="62">
        <f t="shared" si="36"/>
        <v>229.06617320689003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5.8645104082680826</v>
      </c>
      <c r="AX32" s="23">
        <f t="shared" si="6"/>
        <v>5.8645104082680826</v>
      </c>
      <c r="AY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7</v>
      </c>
      <c r="BD32" s="13">
        <f>IF('Données projet'!$A$88&gt;35,BD31+BC32-BL31,IF(A32&lt;'Données projet'!$A$88,$BA$205^A32,IF(A32='Données projet'!$A$88,'Données projet'!$B$88,BD31+BC32-BL31)))</f>
        <v>98</v>
      </c>
      <c r="BE32" s="14">
        <f>BD32*VLOOKUP('Données projet'!$B$11,Paramètres!$A$1:$I$89,3,0)*VLOOKUP('Données projet'!$B$11,Paramètres!$A$1:$I$89,5,0)</f>
        <v>88.670400000000001</v>
      </c>
      <c r="BF32" s="14">
        <f t="shared" si="37"/>
        <v>24.244280250395512</v>
      </c>
      <c r="BG32" s="22">
        <f t="shared" si="7"/>
        <v>196.65973476943884</v>
      </c>
      <c r="BH32" s="62">
        <f t="shared" si="8"/>
        <v>488.77084588054998</v>
      </c>
      <c r="BI32" s="62">
        <f ca="1">AVERAGE(OFFSET($BH$3,0,0,'Données projet'!$E$11+1,1))-AVERAGE(OFFSET($H$3,0,0,'Données projet'!$E$11+1,1))</f>
        <v>428.8489304403459</v>
      </c>
      <c r="BJ32" s="62">
        <f t="shared" si="38"/>
        <v>247.01165577562966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12</v>
      </c>
      <c r="BY32" s="13">
        <f>IF('Données projet'!$A$114&gt;35,BY31+BX32-CG31,IF(A32&lt;'Données projet'!$A$114,$BV$205^A32,IF(A32='Données projet'!$A$114,'Données projet'!$B$114,BY31+BX32-CG31)))</f>
        <v>162.99999999999994</v>
      </c>
      <c r="BZ32" s="14">
        <f>BY32*VLOOKUP('Données projet'!$B$12,Paramètres!$A$1:$I$89,3,0)*VLOOKUP('Données projet'!$B$12,Paramètres!$A$1:$I$89,5,0)</f>
        <v>119.51159999999996</v>
      </c>
      <c r="CA32" s="14">
        <f t="shared" si="39"/>
        <v>31.561060990985474</v>
      </c>
      <c r="CB32" s="22">
        <f t="shared" si="10"/>
        <v>263.11821789263291</v>
      </c>
      <c r="CC32" s="62">
        <f t="shared" si="11"/>
        <v>555.22932900374406</v>
      </c>
      <c r="CD32" s="62">
        <f ca="1">AVERAGE(OFFSET($CC$3,0,0,'Données projet'!$E$12+1,1))-AVERAGE(OFFSET($H$3,0,0,'Données projet'!$E$12+1,1))</f>
        <v>290.85271051443431</v>
      </c>
      <c r="CE32" s="62">
        <f t="shared" si="40"/>
        <v>318.66958823451142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11.5</v>
      </c>
      <c r="CT32" s="13">
        <f>IF('Données projet'!$A$140&gt;35,CT31+CS32-DB31,IF(A32&lt;'Données projet'!$A$140,$CQ$205^A32,IF(A32='Données projet'!$A$140,'Données projet'!$B$140,CT31+CS32-DB31)))</f>
        <v>131.99999999999997</v>
      </c>
      <c r="CU32" s="18">
        <f>CT32*VLOOKUP('Données projet'!$B$13,Paramètres!$A$1:$I$89,3,0)*VLOOKUP('Données projet'!$B$13,Paramètres!$A$1:$I$89,5,0)</f>
        <v>102.95999999999998</v>
      </c>
      <c r="CV32" s="14">
        <f t="shared" si="41"/>
        <v>27.665975080374633</v>
      </c>
      <c r="CW32" s="22">
        <f t="shared" si="13"/>
        <v>227.50690659831912</v>
      </c>
      <c r="CX32" s="62">
        <f t="shared" si="14"/>
        <v>519.61801770943021</v>
      </c>
      <c r="CY32" s="62">
        <f ca="1">AVERAGE(OFFSET($CX$3,0,0,'Données projet'!$E$13+1,1))-AVERAGE(OFFSET($H$3,0,0,'Données projet'!$E$13+1,1))</f>
        <v>292.57482726862594</v>
      </c>
      <c r="CZ32" s="62">
        <f t="shared" si="42"/>
        <v>283.48738729114024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12</v>
      </c>
      <c r="DO32" s="13">
        <f>IF('Données projet'!$A$166&gt;35,DO31+DN32-DW31,IF(A32&lt;'Données projet'!$A$166,$DL$205^A32,IF(A32='Données projet'!$A$166,'Données projet'!$B$166,DO31+DN32-DW31)))</f>
        <v>162.99999999999994</v>
      </c>
      <c r="DP32" s="18">
        <f>DO32*VLOOKUP('Données projet'!$B$14,Paramètres!$A$1:$I$89,3,0)*VLOOKUP('Données projet'!$B$14,Paramètres!$A$1:$I$89,5,0)</f>
        <v>129.68279999999996</v>
      </c>
      <c r="DQ32" s="14">
        <f t="shared" si="43"/>
        <v>33.923053307545167</v>
      </c>
      <c r="DR32" s="22">
        <f t="shared" si="16"/>
        <v>284.94686117730771</v>
      </c>
      <c r="DS32" s="62">
        <f t="shared" si="17"/>
        <v>577.0579722884188</v>
      </c>
      <c r="DT32" s="62">
        <f ca="1">AVERAGE(OFFSET($DS$3,0,0,'Données projet'!$E$14+1,1))-AVERAGE(OFFSET($H$3,0,0,'Données projet'!$E$14+1,1))</f>
        <v>312.53381881960331</v>
      </c>
      <c r="DU32" s="62">
        <f t="shared" si="44"/>
        <v>342.06887933351783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6.5384615384615357</v>
      </c>
      <c r="EJ32" s="13">
        <f>IF('Données projet'!$A$192&gt;35,EJ31+EI32-ER31,IF(A32&lt;'Données projet'!$A$192,$EG$205^A32,IF(A32='Données projet'!$A$192,'Données projet'!$B$192,EJ31+EI32-ER31)))</f>
        <v>110.12820512820512</v>
      </c>
      <c r="EK32" s="18">
        <f>EJ32*VLOOKUP('Données projet'!$B$15,Paramètres!$A$1:$I$89,3,0)*VLOOKUP('Données projet'!$B$15,Paramètres!$A$1:$I$89,5,0)</f>
        <v>104.79799999999999</v>
      </c>
      <c r="EL32" s="14">
        <f t="shared" si="45"/>
        <v>28.101918557678896</v>
      </c>
      <c r="EM32" s="22">
        <f t="shared" si="19"/>
        <v>231.46735815462407</v>
      </c>
      <c r="EN32" s="62">
        <f t="shared" si="20"/>
        <v>523.57846926573518</v>
      </c>
      <c r="EO32" s="62">
        <f ca="1">AVERAGE(OFFSET($EN$3,0,0,'Données projet'!$E$15+1,1))-AVERAGE(OFFSET($H$3,0,0,'Données projet'!$E$15+1,1))</f>
        <v>363.37916970915211</v>
      </c>
      <c r="EP32" s="62">
        <f t="shared" si="46"/>
        <v>281.52963027844595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3.4425641025641025</v>
      </c>
      <c r="FE32" s="13">
        <f>IF('Données projet'!$A$218&gt;35,FE31+FD32-FM31,IF(A32&lt;'Données projet'!$A$218,$FB$205^A32,IF(A32='Données projet'!$A$218,'Données projet'!$B$218,FE31+FD32-FM31)))</f>
        <v>88.485039179856727</v>
      </c>
      <c r="FF32" s="18">
        <f>FE32*VLOOKUP('Données projet'!$B$16,Paramètres!$A$1:$I$89,3,0)*VLOOKUP('Données projet'!$B$16,Paramètres!$A$1:$I$89,5,0)</f>
        <v>41.410998336172952</v>
      </c>
      <c r="FG32" s="14">
        <f t="shared" si="47"/>
        <v>12.371874273168087</v>
      </c>
      <c r="FH32" s="22">
        <f t="shared" si="22"/>
        <v>93.671836461268967</v>
      </c>
      <c r="FI32" s="62">
        <f t="shared" si="23"/>
        <v>385.78294757238012</v>
      </c>
      <c r="FJ32" s="62">
        <f ca="1">AVERAGE(OFFSET($FI$3,0,0,'Données projet'!$E$16+1,1))-AVERAGE(OFFSET($H$3,0,0,'Données projet'!$E$16+1,1))</f>
        <v>245.47494516762282</v>
      </c>
      <c r="FK32" s="62">
        <f t="shared" si="48"/>
        <v>145.54897745089966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7</v>
      </c>
      <c r="FZ32" s="13">
        <f>IF('Données projet'!$A$244&gt;35,FZ31+FY32-GH31,IF(A32&lt;'Données projet'!$A$244,$FW$205^A32,IF(A32='Données projet'!$A$244,'Données projet'!$B$244,FZ31+FY32-GH31)))</f>
        <v>98</v>
      </c>
      <c r="GA32" s="18">
        <f>FZ32*VLOOKUP('Données projet'!$B$17,Paramètres!$A$1:$I$89,3,0)*VLOOKUP('Données projet'!$B$17,Paramètres!$A$1:$I$89,5,0)</f>
        <v>94.785600000000002</v>
      </c>
      <c r="GB32" s="14">
        <f t="shared" si="49"/>
        <v>25.715893428674526</v>
      </c>
      <c r="GC32" s="22">
        <f t="shared" si="25"/>
        <v>209.87343438827483</v>
      </c>
      <c r="GD32" s="62">
        <f t="shared" si="26"/>
        <v>501.98454549938594</v>
      </c>
      <c r="GE32" s="62">
        <f ca="1">AVERAGE(OFFSET($GD$3,0,0,'Données projet'!$E$17+1,1))-AVERAGE(OFFSET($H$3,0,0,'Données projet'!$E$17+1,1))</f>
        <v>455.50822833641354</v>
      </c>
      <c r="GF32" s="62">
        <f t="shared" si="50"/>
        <v>261.14722581688039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8.0769230769230802</v>
      </c>
      <c r="GU32" s="13">
        <f>IF('Données projet'!$A$270&gt;35,GU31+GT32-HC31,IF(A32&lt;'Données projet'!$A$270,$GR$205^A32,IF(A32='Données projet'!$A$270,'Données projet'!$B$270,GU31+GT32-HC31)))</f>
        <v>141.28205128205133</v>
      </c>
      <c r="GV32" s="18">
        <f>GU32*VLOOKUP('Données projet'!$B$18,Paramètres!$A$1:$I$89,3,0)*VLOOKUP('Données projet'!$B$18,Paramètres!$A$1:$I$89,5,0)</f>
        <v>94.772000000000034</v>
      </c>
      <c r="GW32" s="14">
        <f t="shared" si="51"/>
        <v>25.712633129183839</v>
      </c>
      <c r="GX32" s="22">
        <f t="shared" si="28"/>
        <v>209.8440693666619</v>
      </c>
      <c r="GY32" s="62">
        <f t="shared" si="29"/>
        <v>501.95518047777307</v>
      </c>
      <c r="GZ32" s="62">
        <f ca="1">AVERAGE(OFFSET($GY$3,0,0,'Données projet'!$E$18+1,1))-AVERAGE(OFFSET($H$3,0,0,'Données projet'!$E$18+1,1))</f>
        <v>312.06797204903796</v>
      </c>
      <c r="HA32" s="62">
        <f t="shared" si="52"/>
        <v>258.20189001775151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</row>
    <row r="33" spans="1:218" s="5" customFormat="1" x14ac:dyDescent="0.25">
      <c r="A33" s="11">
        <f t="shared" si="31"/>
        <v>30</v>
      </c>
      <c r="B33" s="76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9">
        <f t="shared" si="1"/>
        <v>256.66666666666669</v>
      </c>
      <c r="I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214.99230769230769</v>
      </c>
      <c r="L33" s="13">
        <f>VLOOKUP(A33,'Données projet'!$A$35:$I$55,9,0)</f>
        <v>18.099999999999994</v>
      </c>
      <c r="M33" s="13">
        <f t="array" ref="M33">INDEX(L:L,MIN(IF(ISNUMBER(L33:L229),ROW(L33:L229),"")))</f>
        <v>18.099999999999994</v>
      </c>
      <c r="N33" s="14">
        <f>IF('Données projet'!$A$36&gt;35,N32+M33-V32,IF(A33&lt;'Données projet'!$A$36,$K$205^A33,IF(A33='Données projet'!$A$36,'Données projet'!$B$36,N32+M33-V32)))</f>
        <v>214.99230769230766</v>
      </c>
      <c r="O33" s="14">
        <f>N33*VLOOKUP('Données projet'!$B$9,Paramètres!$A$1:$I$89,3,0)*VLOOKUP('Données projet'!$B$9,Paramètres!$A$1:$I$89,5,0)</f>
        <v>120.18069999999997</v>
      </c>
      <c r="P33" s="14">
        <f t="shared" si="33"/>
        <v>31.717140910166616</v>
      </c>
      <c r="Q33" s="22">
        <f t="shared" si="2"/>
        <v>264.55540625187342</v>
      </c>
      <c r="R33" s="62">
        <f t="shared" si="0"/>
        <v>557.88873958520674</v>
      </c>
      <c r="S33" s="62">
        <f ca="1">AVERAGE(OFFSET($R$3,0,0,'Données projet'!$E$9+1,1))-AVERAGE(OFFSET($H$3,0,0,'Données projet'!$E$9+1,1))</f>
        <v>323.98185264074681</v>
      </c>
      <c r="T33" s="62">
        <f t="shared" si="34"/>
        <v>301.22207291854005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4.4623210218687381</v>
      </c>
      <c r="AA33" s="23">
        <f>EXP(-LN(2)/25)*AA32+(1-EXP(-LN(2)/25))/(LN(2)/25)*Calculateur!V33*Calculateur!X33*VLOOKUP('Données projet'!$B$9,Paramètres!$A$1:$I$89,3,0)*0.475*44/12</f>
        <v>8.2472996410817405</v>
      </c>
      <c r="AB33" s="23">
        <f>EXP(-LN(2)/2)*AB32+(1-EXP(-LN(2)/2))/(LN(2)/2)*V33*Y33*VLOOKUP('Données projet'!$B$9,Paramètres!$A$1:$I$89,3,0)*0.475*44/12</f>
        <v>6.0878071796180198</v>
      </c>
      <c r="AC33" s="24">
        <f t="shared" si="3"/>
        <v>18.797427842568496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144.98461538461538</v>
      </c>
      <c r="AG33" s="13">
        <f>VLOOKUP(A33,'Données projet'!$A$61:$I$81,9,0)</f>
        <v>12.971794871794875</v>
      </c>
      <c r="AH33" s="13">
        <f t="array" ref="AH33">INDEX(AG:AG,MIN(IF(ISNUMBER(AG33:AG229),ROW(AG33:AG229),"")))</f>
        <v>12.971794871794875</v>
      </c>
      <c r="AI33" s="14">
        <f>IF('Données projet'!$A$62&gt;35,AI32+AH33-AQ32,IF(A33&lt;'Données projet'!$A$62,$AF$205^A33,IF(A33='Données projet'!$A$62,'Données projet'!$B$62,AI32+AH33-AQ32)))</f>
        <v>144.98461538461541</v>
      </c>
      <c r="AJ33" s="14">
        <f>AI33*VLOOKUP('Données projet'!$B$10,Paramètres!$A$1:$I$89,3,0)*VLOOKUP('Données projet'!$B$10,Paramètres!$A$1:$I$89,5,0)</f>
        <v>86.700800000000029</v>
      </c>
      <c r="AK33" s="14">
        <f t="shared" si="35"/>
        <v>23.767816195343574</v>
      </c>
      <c r="AL33" s="22">
        <f t="shared" si="4"/>
        <v>192.39950654022343</v>
      </c>
      <c r="AM33" s="62">
        <f t="shared" si="5"/>
        <v>485.73283987355671</v>
      </c>
      <c r="AN33" s="62">
        <f ca="1">AVERAGE(OFFSET($AM$3,0,0,'Données projet'!$E$10+1,1))-AVERAGE(OFFSET($H$3,0,0,'Données projet'!$E$10+1,1))</f>
        <v>289.12367833861299</v>
      </c>
      <c r="AO33" s="62">
        <f t="shared" si="36"/>
        <v>229.06617320689003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4.1468350780254495</v>
      </c>
      <c r="AX33" s="23">
        <f t="shared" si="6"/>
        <v>4.1468350780254495</v>
      </c>
      <c r="AY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105</v>
      </c>
      <c r="BB33" s="13">
        <f>VLOOKUP(A33,'Données projet'!$A$87:$I$107,9,0)</f>
        <v>7</v>
      </c>
      <c r="BC33" s="13">
        <f t="array" ref="BC33">INDEX(BB:BB,MIN(IF(ISNUMBER(BB33:BB229),ROW(BB33:BB229),"")))</f>
        <v>7</v>
      </c>
      <c r="BD33" s="13">
        <f>IF('Données projet'!$A$88&gt;35,BD32+BC33-BL32,IF(A33&lt;'Données projet'!$A$88,$BA$205^A33,IF(A33='Données projet'!$A$88,'Données projet'!$B$88,BD32+BC33-BL32)))</f>
        <v>105</v>
      </c>
      <c r="BE33" s="14">
        <f>BD33*VLOOKUP('Données projet'!$B$11,Paramètres!$A$1:$I$89,3,0)*VLOOKUP('Données projet'!$B$11,Paramètres!$A$1:$I$89,5,0)</f>
        <v>95.004000000000005</v>
      </c>
      <c r="BF33" s="14">
        <f t="shared" si="37"/>
        <v>25.768242550600785</v>
      </c>
      <c r="BG33" s="22">
        <f t="shared" si="7"/>
        <v>210.34498910896306</v>
      </c>
      <c r="BH33" s="62">
        <f t="shared" si="8"/>
        <v>503.67832244229635</v>
      </c>
      <c r="BI33" s="62">
        <f ca="1">AVERAGE(OFFSET($BH$3,0,0,'Données projet'!$E$11+1,1))-AVERAGE(OFFSET($H$3,0,0,'Données projet'!$E$11+1,1))</f>
        <v>428.8489304403459</v>
      </c>
      <c r="BJ33" s="62">
        <f t="shared" si="38"/>
        <v>247.01165577562966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29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175</v>
      </c>
      <c r="BW33" s="13">
        <f>VLOOKUP(A33,'Données projet'!$A$113:$I$133,9,0)</f>
        <v>12</v>
      </c>
      <c r="BX33" s="13">
        <f t="array" ref="BX33">INDEX(BW:BW,MIN(IF(ISNUMBER(BW33:BW229),ROW(BW33:BW229),"")))</f>
        <v>12</v>
      </c>
      <c r="BY33" s="13">
        <f>IF('Données projet'!$A$114&gt;35,BY32+BX33-CG32,IF(A33&lt;'Données projet'!$A$114,$BV$205^A33,IF(A33='Données projet'!$A$114,'Données projet'!$B$114,BY32+BX33-CG32)))</f>
        <v>174.99999999999994</v>
      </c>
      <c r="BZ33" s="14">
        <f>BY33*VLOOKUP('Données projet'!$B$12,Paramètres!$A$1:$I$89,3,0)*VLOOKUP('Données projet'!$B$12,Paramètres!$A$1:$I$89,5,0)</f>
        <v>128.30999999999997</v>
      </c>
      <c r="CA33" s="14">
        <f t="shared" si="39"/>
        <v>33.605553053308043</v>
      </c>
      <c r="CB33" s="22">
        <f t="shared" si="10"/>
        <v>282.00292156784479</v>
      </c>
      <c r="CC33" s="62">
        <f t="shared" si="11"/>
        <v>575.33625490117811</v>
      </c>
      <c r="CD33" s="62">
        <f ca="1">AVERAGE(OFFSET($CC$3,0,0,'Données projet'!$E$12+1,1))-AVERAGE(OFFSET($H$3,0,0,'Données projet'!$E$12+1,1))</f>
        <v>290.85271051443431</v>
      </c>
      <c r="CE33" s="62">
        <f t="shared" si="40"/>
        <v>318.66958823451142</v>
      </c>
      <c r="CF33" s="16">
        <f>IF(ISNA(VLOOKUP(A33,'Données projet'!$A$113:$I$133,3,0)),0,VLOOKUP(A33,'Données projet'!$A$113:$I$133,3,0))</f>
        <v>2</v>
      </c>
      <c r="CG33" s="16">
        <f>IF(ISNA(VLOOKUP(A33,'Données projet'!$A$113:$I$133,4,0)),0,VLOOKUP(A33,'Données projet'!$A$113:$I$133,4,0))</f>
        <v>56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11.5</v>
      </c>
      <c r="CT33" s="13">
        <f>IF('Données projet'!$A$140&gt;35,CT32+CS33-DB32,IF(A33&lt;'Données projet'!$A$140,$CQ$205^A33,IF(A33='Données projet'!$A$140,'Données projet'!$B$140,CT32+CS33-DB32)))</f>
        <v>143.49999999999997</v>
      </c>
      <c r="CU33" s="18">
        <f>CT33*VLOOKUP('Données projet'!$B$13,Paramètres!$A$1:$I$89,3,0)*VLOOKUP('Données projet'!$B$13,Paramètres!$A$1:$I$89,5,0)</f>
        <v>111.92999999999998</v>
      </c>
      <c r="CV33" s="14">
        <f t="shared" si="41"/>
        <v>29.785246291563833</v>
      </c>
      <c r="CW33" s="22">
        <f t="shared" si="13"/>
        <v>246.82072062447358</v>
      </c>
      <c r="CX33" s="62">
        <f t="shared" si="14"/>
        <v>540.15405395780692</v>
      </c>
      <c r="CY33" s="62">
        <f ca="1">AVERAGE(OFFSET($CX$3,0,0,'Données projet'!$E$13+1,1))-AVERAGE(OFFSET($H$3,0,0,'Données projet'!$E$13+1,1))</f>
        <v>292.57482726862594</v>
      </c>
      <c r="CZ33" s="62">
        <f t="shared" si="42"/>
        <v>283.48738729114024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175</v>
      </c>
      <c r="DM33" s="13">
        <f>VLOOKUP(A33,'Données projet'!$A$165:$I$185,9,0)</f>
        <v>12</v>
      </c>
      <c r="DN33" s="13">
        <f t="array" ref="DN33">INDEX(DM:DM,MIN(IF(ISNUMBER(DM33:DM229),ROW(DM33:DM229),"")))</f>
        <v>12</v>
      </c>
      <c r="DO33" s="13">
        <f>IF('Données projet'!$A$166&gt;35,DO32+DN33-DW32,IF(A33&lt;'Données projet'!$A$166,$DL$205^A33,IF(A33='Données projet'!$A$166,'Données projet'!$B$166,DO32+DN33-DW32)))</f>
        <v>174.99999999999994</v>
      </c>
      <c r="DP33" s="18">
        <f>DO33*VLOOKUP('Données projet'!$B$14,Paramètres!$A$1:$I$89,3,0)*VLOOKUP('Données projet'!$B$14,Paramètres!$A$1:$I$89,5,0)</f>
        <v>139.22999999999996</v>
      </c>
      <c r="DQ33" s="14">
        <f t="shared" si="43"/>
        <v>36.120552727378737</v>
      </c>
      <c r="DR33" s="22">
        <f t="shared" si="16"/>
        <v>305.4022126668512</v>
      </c>
      <c r="DS33" s="62">
        <f t="shared" si="17"/>
        <v>598.73554600018451</v>
      </c>
      <c r="DT33" s="62">
        <f ca="1">AVERAGE(OFFSET($DS$3,0,0,'Données projet'!$E$14+1,1))-AVERAGE(OFFSET($H$3,0,0,'Données projet'!$E$14+1,1))</f>
        <v>312.53381881960331</v>
      </c>
      <c r="DU33" s="62">
        <f t="shared" si="44"/>
        <v>342.06887933351783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56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116.66666666666666</v>
      </c>
      <c r="EH33" s="13">
        <f>VLOOKUP(A33,'Données projet'!$A$191:$I$211,9,0)</f>
        <v>6.5384615384615357</v>
      </c>
      <c r="EI33" s="13">
        <f t="array" ref="EI33">INDEX(EH:EH,MIN(IF(ISNUMBER(EH33:EH229),ROW(EH33:EH229),"")))</f>
        <v>6.5384615384615357</v>
      </c>
      <c r="EJ33" s="13">
        <f>IF('Données projet'!$A$192&gt;35,EJ32+EI33-ER32,IF(A33&lt;'Données projet'!$A$192,$EG$205^A33,IF(A33='Données projet'!$A$192,'Données projet'!$B$192,EJ32+EI33-ER32)))</f>
        <v>116.66666666666666</v>
      </c>
      <c r="EK33" s="18">
        <f>EJ33*VLOOKUP('Données projet'!$B$15,Paramètres!$A$1:$I$89,3,0)*VLOOKUP('Données projet'!$B$15,Paramètres!$A$1:$I$89,5,0)</f>
        <v>111.02</v>
      </c>
      <c r="EL33" s="14">
        <f t="shared" si="45"/>
        <v>29.571175279490561</v>
      </c>
      <c r="EM33" s="22">
        <f t="shared" si="19"/>
        <v>244.86296361177938</v>
      </c>
      <c r="EN33" s="62">
        <f t="shared" si="20"/>
        <v>538.19629694511264</v>
      </c>
      <c r="EO33" s="62">
        <f ca="1">AVERAGE(OFFSET($EN$3,0,0,'Données projet'!$E$15+1,1))-AVERAGE(OFFSET($H$3,0,0,'Données projet'!$E$15+1,1))</f>
        <v>363.37916970915211</v>
      </c>
      <c r="EP33" s="62">
        <f t="shared" si="46"/>
        <v>281.52963027844595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25.641025641025639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103.27692307692307</v>
      </c>
      <c r="FC33" s="13">
        <f>VLOOKUP(A33,'Données projet'!$A$217:$I$237,9,0)</f>
        <v>3.4425641025641025</v>
      </c>
      <c r="FD33" s="13">
        <f t="array" ref="FD33">INDEX(FC:FC,MIN(IF(ISNUMBER(FC33:FC229),ROW(FC33:FC229),"")))</f>
        <v>3.4425641025641025</v>
      </c>
      <c r="FE33" s="13">
        <f>IF('Données projet'!$A$218&gt;35,FE32+FD33-FM32,IF(A33&lt;'Données projet'!$A$218,$FB$205^A33,IF(A33='Données projet'!$A$218,'Données projet'!$B$218,FE32+FD33-FM32)))</f>
        <v>103.27692307692307</v>
      </c>
      <c r="FF33" s="18">
        <f>FE33*VLOOKUP('Données projet'!$B$16,Paramètres!$A$1:$I$89,3,0)*VLOOKUP('Données projet'!$B$16,Paramètres!$A$1:$I$89,5,0)</f>
        <v>48.333599999999997</v>
      </c>
      <c r="FG33" s="14">
        <f t="shared" si="47"/>
        <v>14.182559301951969</v>
      </c>
      <c r="FH33" s="22">
        <f t="shared" si="22"/>
        <v>108.88231078423301</v>
      </c>
      <c r="FI33" s="62">
        <f t="shared" si="23"/>
        <v>402.21564411756634</v>
      </c>
      <c r="FJ33" s="62">
        <f ca="1">AVERAGE(OFFSET($FI$3,0,0,'Données projet'!$E$16+1,1))-AVERAGE(OFFSET($H$3,0,0,'Données projet'!$E$16+1,1))</f>
        <v>245.47494516762282</v>
      </c>
      <c r="FK33" s="62">
        <f t="shared" si="48"/>
        <v>145.54897745089966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105</v>
      </c>
      <c r="FX33" s="13">
        <f>VLOOKUP(A33,'Données projet'!$A$243:$I$263,9,0)</f>
        <v>7</v>
      </c>
      <c r="FY33" s="13">
        <f t="array" ref="FY33">INDEX(FX:FX,MIN(IF(ISNUMBER(FX33:FX229),ROW(FX33:FX229),"")))</f>
        <v>7</v>
      </c>
      <c r="FZ33" s="13">
        <f>IF('Données projet'!$A$244&gt;35,FZ32+FY33-GH32,IF(A33&lt;'Données projet'!$A$244,$FW$205^A33,IF(A33='Données projet'!$A$244,'Données projet'!$B$244,FZ32+FY33-GH32)))</f>
        <v>105</v>
      </c>
      <c r="GA33" s="18">
        <f>FZ33*VLOOKUP('Données projet'!$B$17,Paramètres!$A$1:$I$89,3,0)*VLOOKUP('Données projet'!$B$17,Paramètres!$A$1:$I$89,5,0)</f>
        <v>101.556</v>
      </c>
      <c r="GB33" s="14">
        <f t="shared" si="49"/>
        <v>27.332359320696909</v>
      </c>
      <c r="GC33" s="22">
        <f t="shared" si="25"/>
        <v>224.48055915021379</v>
      </c>
      <c r="GD33" s="62">
        <f t="shared" si="26"/>
        <v>517.81389248354708</v>
      </c>
      <c r="GE33" s="62">
        <f ca="1">AVERAGE(OFFSET($GD$3,0,0,'Données projet'!$E$17+1,1))-AVERAGE(OFFSET($H$3,0,0,'Données projet'!$E$17+1,1))</f>
        <v>455.50822833641354</v>
      </c>
      <c r="GF33" s="62">
        <f t="shared" si="50"/>
        <v>261.14722581688039</v>
      </c>
      <c r="GG33" s="16">
        <f>IF(ISNA(VLOOKUP(A33,'Données projet'!$A$243:$I$263,3,0)),0,VLOOKUP(A33,'Données projet'!$A$243:$I$263,3,0))</f>
        <v>1</v>
      </c>
      <c r="GH33" s="16">
        <f>IF(ISNA(VLOOKUP(A33,'Données projet'!$A$243:$I$263,4,0)),0,VLOOKUP(A33,'Données projet'!$A$243:$I$263,4,0))</f>
        <v>29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>
        <f>VLOOKUP(A33,'Données projet'!$A$269:$I$289,2,0)</f>
        <v>149.35897435897436</v>
      </c>
      <c r="GS33" s="13">
        <f>VLOOKUP(A33,'Données projet'!$A$269:$I$289,9,0)</f>
        <v>8.0769230769230802</v>
      </c>
      <c r="GT33" s="13">
        <f t="array" ref="GT33">INDEX(GS:GS,MIN(IF(ISNUMBER(GS33:GS229),ROW(GS33:GS229),"")))</f>
        <v>8.0769230769230802</v>
      </c>
      <c r="GU33" s="13">
        <f>IF('Données projet'!$A$270&gt;35,GU32+GT33-HC32,IF(A33&lt;'Données projet'!$A$270,$GR$205^A33,IF(A33='Données projet'!$A$270,'Données projet'!$B$270,GU32+GT33-HC32)))</f>
        <v>149.35897435897442</v>
      </c>
      <c r="GV33" s="18">
        <f>GU33*VLOOKUP('Données projet'!$B$18,Paramètres!$A$1:$I$89,3,0)*VLOOKUP('Données projet'!$B$18,Paramètres!$A$1:$I$89,5,0)</f>
        <v>100.19000000000005</v>
      </c>
      <c r="GW33" s="14">
        <f t="shared" si="51"/>
        <v>27.007257426460161</v>
      </c>
      <c r="GX33" s="22">
        <f t="shared" si="28"/>
        <v>221.53522335108485</v>
      </c>
      <c r="GY33" s="62">
        <f t="shared" si="29"/>
        <v>514.86855668441819</v>
      </c>
      <c r="GZ33" s="62">
        <f ca="1">AVERAGE(OFFSET($GY$3,0,0,'Données projet'!$E$18+1,1))-AVERAGE(OFFSET($H$3,0,0,'Données projet'!$E$18+1,1))</f>
        <v>312.06797204903796</v>
      </c>
      <c r="HA33" s="62">
        <f t="shared" si="52"/>
        <v>258.20189001775151</v>
      </c>
      <c r="HB33" s="16">
        <f>IF(ISNA(VLOOKUP(A33,'Données projet'!$A$269:$I$289,3,0)),0,VLOOKUP(A33,'Données projet'!$A$269:$I$289,3,0))</f>
        <v>2</v>
      </c>
      <c r="HC33" s="16">
        <f>IF(ISNA(VLOOKUP(A33,'Données projet'!$A$269:$I$289,4,0)),0,VLOOKUP(A33,'Données projet'!$A$269:$I$289,4,0))</f>
        <v>32.692307692307693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</row>
    <row r="34" spans="1:218" s="5" customFormat="1" x14ac:dyDescent="0.25">
      <c r="A34" s="11">
        <f t="shared" si="31"/>
        <v>31</v>
      </c>
      <c r="B34" s="76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9">
        <f t="shared" si="1"/>
        <v>256.66666666666669</v>
      </c>
      <c r="I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18.100000000000001</v>
      </c>
      <c r="N34" s="14">
        <f>IF('Données projet'!$A$36&gt;35,N33+M34-V33,IF(A34&lt;'Données projet'!$A$36,$K$205^A34,IF(A34='Données projet'!$A$36,'Données projet'!$B$36,N33+M34-V33)))</f>
        <v>233.09230769230766</v>
      </c>
      <c r="O34" s="14">
        <f>N34*VLOOKUP('Données projet'!$B$9,Paramètres!$A$1:$I$89,3,0)*VLOOKUP('Données projet'!$B$9,Paramètres!$A$1:$I$89,5,0)</f>
        <v>130.29859999999999</v>
      </c>
      <c r="P34" s="14">
        <f t="shared" si="33"/>
        <v>34.065347809437199</v>
      </c>
      <c r="Q34" s="22">
        <f t="shared" si="2"/>
        <v>286.26720910143649</v>
      </c>
      <c r="R34" s="62">
        <f t="shared" si="0"/>
        <v>579.60054243476975</v>
      </c>
      <c r="S34" s="62">
        <f ca="1">AVERAGE(OFFSET($R$3,0,0,'Données projet'!$E$9+1,1))-AVERAGE(OFFSET($H$3,0,0,'Données projet'!$E$9+1,1))</f>
        <v>323.98185264074681</v>
      </c>
      <c r="T34" s="62">
        <f t="shared" si="34"/>
        <v>301.22207291854005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4.3748176283769658</v>
      </c>
      <c r="AA34" s="23">
        <f>EXP(-LN(2)/25)*AA33+(1-EXP(-LN(2)/25))/(LN(2)/25)*Calculateur!V34*Calculateur!X34*VLOOKUP('Données projet'!$B$9,Paramètres!$A$1:$I$89,3,0)*0.475*44/12</f>
        <v>8.0217767986897215</v>
      </c>
      <c r="AB34" s="23">
        <f>EXP(-LN(2)/2)*AB33+(1-EXP(-LN(2)/2))/(LN(2)/2)*V34*Y34*VLOOKUP('Données projet'!$B$9,Paramètres!$A$1:$I$89,3,0)*0.475*44/12</f>
        <v>4.3047297392640527</v>
      </c>
      <c r="AC34" s="24">
        <f t="shared" si="3"/>
        <v>16.701324166330743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12.971794871794865</v>
      </c>
      <c r="AI34" s="14">
        <f>IF('Données projet'!$A$62&gt;35,AI33+AH34-AQ33,IF(A34&lt;'Données projet'!$A$62,$AF$205^A34,IF(A34='Données projet'!$A$62,'Données projet'!$B$62,AI33+AH34-AQ33)))</f>
        <v>157.95641025641027</v>
      </c>
      <c r="AJ34" s="14">
        <f>AI34*VLOOKUP('Données projet'!$B$10,Paramètres!$A$1:$I$89,3,0)*VLOOKUP('Données projet'!$B$10,Paramètres!$A$1:$I$89,5,0)</f>
        <v>94.457933333333344</v>
      </c>
      <c r="AK34" s="14">
        <f t="shared" si="35"/>
        <v>25.637327417415943</v>
      </c>
      <c r="AL34" s="22">
        <f t="shared" si="4"/>
        <v>209.16591247422164</v>
      </c>
      <c r="AM34" s="62">
        <f t="shared" si="5"/>
        <v>502.49924580755498</v>
      </c>
      <c r="AN34" s="62">
        <f ca="1">AVERAGE(OFFSET($AM$3,0,0,'Données projet'!$E$10+1,1))-AVERAGE(OFFSET($H$3,0,0,'Données projet'!$E$10+1,1))</f>
        <v>289.12367833861299</v>
      </c>
      <c r="AO34" s="62">
        <f t="shared" si="36"/>
        <v>229.06617320689003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2.9322552041340413</v>
      </c>
      <c r="AX34" s="23">
        <f t="shared" si="6"/>
        <v>2.9322552041340413</v>
      </c>
      <c r="AY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8</v>
      </c>
      <c r="BD34" s="13">
        <f>IF('Données projet'!$A$88&gt;35,BD33+BC34-BL33,IF(A34&lt;'Données projet'!$A$88,$BA$205^A34,IF(A34='Données projet'!$A$88,'Données projet'!$B$88,BD33+BC34-BL33)))</f>
        <v>84</v>
      </c>
      <c r="BE34" s="14">
        <f>BD34*VLOOKUP('Données projet'!$B$11,Paramètres!$A$1:$I$89,3,0)*VLOOKUP('Données projet'!$B$11,Paramètres!$A$1:$I$89,5,0)</f>
        <v>76.003200000000007</v>
      </c>
      <c r="BF34" s="14">
        <f t="shared" si="37"/>
        <v>21.157049992000456</v>
      </c>
      <c r="BG34" s="22">
        <f t="shared" si="7"/>
        <v>169.22076873606747</v>
      </c>
      <c r="BH34" s="62">
        <f t="shared" si="8"/>
        <v>462.55410206940076</v>
      </c>
      <c r="BI34" s="62">
        <f ca="1">AVERAGE(OFFSET($BH$3,0,0,'Données projet'!$E$11+1,1))-AVERAGE(OFFSET($H$3,0,0,'Données projet'!$E$11+1,1))</f>
        <v>428.8489304403459</v>
      </c>
      <c r="BJ34" s="62">
        <f t="shared" si="38"/>
        <v>247.01165577562966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10.6</v>
      </c>
      <c r="BY34" s="13">
        <f>IF('Données projet'!$A$114&gt;35,BY33+BX34-CG33,IF(A34&lt;'Données projet'!$A$114,$BV$205^A34,IF(A34='Données projet'!$A$114,'Données projet'!$B$114,BY33+BX34-CG33)))</f>
        <v>129.59999999999994</v>
      </c>
      <c r="BZ34" s="14">
        <f>BY34*VLOOKUP('Données projet'!$B$12,Paramètres!$A$1:$I$89,3,0)*VLOOKUP('Données projet'!$B$12,Paramètres!$A$1:$I$89,5,0)</f>
        <v>95.022719999999964</v>
      </c>
      <c r="CA34" s="14">
        <f t="shared" si="39"/>
        <v>25.772728965975034</v>
      </c>
      <c r="CB34" s="22">
        <f t="shared" si="10"/>
        <v>210.38540694907314</v>
      </c>
      <c r="CC34" s="62">
        <f t="shared" si="11"/>
        <v>503.71874028240643</v>
      </c>
      <c r="CD34" s="62">
        <f ca="1">AVERAGE(OFFSET($CC$3,0,0,'Données projet'!$E$12+1,1))-AVERAGE(OFFSET($H$3,0,0,'Données projet'!$E$12+1,1))</f>
        <v>290.85271051443431</v>
      </c>
      <c r="CE34" s="62">
        <f t="shared" si="40"/>
        <v>318.66958823451142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>
        <f>VLOOKUP(A34,'Données projet'!$A$139:$I$159,2,0)</f>
        <v>155</v>
      </c>
      <c r="CR34" s="13">
        <f>VLOOKUP(A34,'Données projet'!$A$139:$I$159,9,0)</f>
        <v>11.5</v>
      </c>
      <c r="CS34" s="13">
        <f t="array" ref="CS34">INDEX(CR:CR,MIN(IF(ISNUMBER(CR34:CR230),ROW(CR34:CR230),"")))</f>
        <v>11.5</v>
      </c>
      <c r="CT34" s="13">
        <f>IF('Données projet'!$A$140&gt;35,CT33+CS34-DB33,IF(A34&lt;'Données projet'!$A$140,$CQ$205^A34,IF(A34='Données projet'!$A$140,'Données projet'!$B$140,CT33+CS34-DB33)))</f>
        <v>154.99999999999997</v>
      </c>
      <c r="CU34" s="18">
        <f>CT34*VLOOKUP('Données projet'!$B$13,Paramètres!$A$1:$I$89,3,0)*VLOOKUP('Données projet'!$B$13,Paramètres!$A$1:$I$89,5,0)</f>
        <v>120.89999999999998</v>
      </c>
      <c r="CV34" s="14">
        <f t="shared" si="41"/>
        <v>31.884818143351602</v>
      </c>
      <c r="CW34" s="22">
        <f t="shared" si="13"/>
        <v>266.10022493300397</v>
      </c>
      <c r="CX34" s="62">
        <f t="shared" si="14"/>
        <v>559.43355826633729</v>
      </c>
      <c r="CY34" s="62">
        <f ca="1">AVERAGE(OFFSET($CX$3,0,0,'Données projet'!$E$13+1,1))-AVERAGE(OFFSET($H$3,0,0,'Données projet'!$E$13+1,1))</f>
        <v>292.57482726862594</v>
      </c>
      <c r="CZ34" s="62">
        <f t="shared" si="42"/>
        <v>283.48738729114024</v>
      </c>
      <c r="DA34" s="16">
        <f>IF(ISNA(VLOOKUP(A34,'Données projet'!$A$139:$I$159,3,0)),0,VLOOKUP(A34,'Données projet'!$A$139:$I$159,3,0))</f>
        <v>2</v>
      </c>
      <c r="DB34" s="16">
        <f>IF(ISNA(VLOOKUP(A34,'Données projet'!$A$139:$I$159,4,0)),0,VLOOKUP(A34,'Données projet'!$A$139:$I$159,4,0))</f>
        <v>36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10.6</v>
      </c>
      <c r="DO34" s="13">
        <f>IF('Données projet'!$A$166&gt;35,DO33+DN34-DW33,IF(A34&lt;'Données projet'!$A$166,$DL$205^A34,IF(A34='Données projet'!$A$166,'Données projet'!$B$166,DO33+DN34-DW33)))</f>
        <v>129.59999999999994</v>
      </c>
      <c r="DP34" s="18">
        <f>DO34*VLOOKUP('Données projet'!$B$14,Paramètres!$A$1:$I$89,3,0)*VLOOKUP('Données projet'!$B$14,Paramètres!$A$1:$I$89,5,0)</f>
        <v>103.10975999999997</v>
      </c>
      <c r="DQ34" s="14">
        <f t="shared" si="43"/>
        <v>27.701529389122925</v>
      </c>
      <c r="DR34" s="22">
        <f t="shared" si="16"/>
        <v>227.82966235272235</v>
      </c>
      <c r="DS34" s="62">
        <f t="shared" si="17"/>
        <v>521.16299568605564</v>
      </c>
      <c r="DT34" s="62">
        <f ca="1">AVERAGE(OFFSET($DS$3,0,0,'Données projet'!$E$14+1,1))-AVERAGE(OFFSET($H$3,0,0,'Données projet'!$E$14+1,1))</f>
        <v>312.53381881960331</v>
      </c>
      <c r="DU34" s="62">
        <f t="shared" si="44"/>
        <v>342.06887933351783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6.4102564102564088</v>
      </c>
      <c r="EJ34" s="13">
        <f>IF('Données projet'!$A$192&gt;35,EJ33+EI34-ER33,IF(A34&lt;'Données projet'!$A$192,$EG$205^A34,IF(A34='Données projet'!$A$192,'Données projet'!$B$192,EJ33+EI34-ER33)))</f>
        <v>97.435897435897431</v>
      </c>
      <c r="EK34" s="18">
        <f>EJ34*VLOOKUP('Données projet'!$B$15,Paramètres!$A$1:$I$89,3,0)*VLOOKUP('Données projet'!$B$15,Paramètres!$A$1:$I$89,5,0)</f>
        <v>92.72</v>
      </c>
      <c r="EL34" s="14">
        <f t="shared" si="45"/>
        <v>25.22008241222111</v>
      </c>
      <c r="EM34" s="22">
        <f t="shared" si="19"/>
        <v>205.41231020128509</v>
      </c>
      <c r="EN34" s="62">
        <f t="shared" si="20"/>
        <v>498.74564353461841</v>
      </c>
      <c r="EO34" s="62">
        <f ca="1">AVERAGE(OFFSET($EN$3,0,0,'Données projet'!$E$15+1,1))-AVERAGE(OFFSET($H$3,0,0,'Données projet'!$E$15+1,1))</f>
        <v>363.37916970915211</v>
      </c>
      <c r="EP34" s="62">
        <f t="shared" si="46"/>
        <v>281.52963027844595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8.9230769230769198</v>
      </c>
      <c r="FE34" s="13">
        <f>IF('Données projet'!$A$218&gt;35,FE33+FD34-FM33,IF(A34&lt;'Données projet'!$A$218,$FB$205^A34,IF(A34='Données projet'!$A$218,'Données projet'!$B$218,FE33+FD34-FM33)))</f>
        <v>112.19999999999999</v>
      </c>
      <c r="FF34" s="18">
        <f>FE34*VLOOKUP('Données projet'!$B$16,Paramètres!$A$1:$I$89,3,0)*VLOOKUP('Données projet'!$B$16,Paramètres!$A$1:$I$89,5,0)</f>
        <v>52.509599999999999</v>
      </c>
      <c r="FG34" s="14">
        <f t="shared" si="47"/>
        <v>15.260016001659478</v>
      </c>
      <c r="FH34" s="22">
        <f t="shared" si="22"/>
        <v>118.03208120289025</v>
      </c>
      <c r="FI34" s="62">
        <f t="shared" si="23"/>
        <v>411.36541453622357</v>
      </c>
      <c r="FJ34" s="62">
        <f ca="1">AVERAGE(OFFSET($FI$3,0,0,'Données projet'!$E$16+1,1))-AVERAGE(OFFSET($H$3,0,0,'Données projet'!$E$16+1,1))</f>
        <v>245.47494516762282</v>
      </c>
      <c r="FK34" s="62">
        <f t="shared" si="48"/>
        <v>145.54897745089966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8</v>
      </c>
      <c r="FZ34" s="13">
        <f>IF('Données projet'!$A$244&gt;35,FZ33+FY34-GH33,IF(A34&lt;'Données projet'!$A$244,$FW$205^A34,IF(A34='Données projet'!$A$244,'Données projet'!$B$244,FZ33+FY34-GH33)))</f>
        <v>84</v>
      </c>
      <c r="GA34" s="18">
        <f>FZ34*VLOOKUP('Données projet'!$B$17,Paramètres!$A$1:$I$89,3,0)*VLOOKUP('Données projet'!$B$17,Paramètres!$A$1:$I$89,5,0)</f>
        <v>81.244799999999998</v>
      </c>
      <c r="GB34" s="14">
        <f t="shared" si="49"/>
        <v>22.441270156928962</v>
      </c>
      <c r="GC34" s="22">
        <f t="shared" si="25"/>
        <v>180.58657218998462</v>
      </c>
      <c r="GD34" s="62">
        <f t="shared" si="26"/>
        <v>473.91990552331794</v>
      </c>
      <c r="GE34" s="62">
        <f ca="1">AVERAGE(OFFSET($GD$3,0,0,'Données projet'!$E$17+1,1))-AVERAGE(OFFSET($H$3,0,0,'Données projet'!$E$17+1,1))</f>
        <v>455.50822833641354</v>
      </c>
      <c r="GF34" s="62">
        <f t="shared" si="50"/>
        <v>261.14722581688039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7.6923076923076881</v>
      </c>
      <c r="GU34" s="13">
        <f>IF('Données projet'!$A$270&gt;35,GU33+GT34-HC33,IF(A34&lt;'Données projet'!$A$270,$GR$205^A34,IF(A34='Données projet'!$A$270,'Données projet'!$B$270,GU33+GT34-HC33)))</f>
        <v>124.35897435897441</v>
      </c>
      <c r="GV34" s="18">
        <f>GU34*VLOOKUP('Données projet'!$B$18,Paramètres!$A$1:$I$89,3,0)*VLOOKUP('Données projet'!$B$18,Paramètres!$A$1:$I$89,5,0)</f>
        <v>83.42000000000003</v>
      </c>
      <c r="GW34" s="14">
        <f t="shared" si="51"/>
        <v>22.971343750654679</v>
      </c>
      <c r="GX34" s="22">
        <f t="shared" si="28"/>
        <v>185.2982570323903</v>
      </c>
      <c r="GY34" s="62">
        <f t="shared" si="29"/>
        <v>478.63159036572358</v>
      </c>
      <c r="GZ34" s="62">
        <f ca="1">AVERAGE(OFFSET($GY$3,0,0,'Données projet'!$E$18+1,1))-AVERAGE(OFFSET($H$3,0,0,'Données projet'!$E$18+1,1))</f>
        <v>312.06797204903796</v>
      </c>
      <c r="HA34" s="62">
        <f t="shared" si="52"/>
        <v>258.20189001775151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</row>
    <row r="35" spans="1:218" s="5" customFormat="1" x14ac:dyDescent="0.25">
      <c r="A35" s="11">
        <f t="shared" si="31"/>
        <v>32</v>
      </c>
      <c r="B35" s="76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9">
        <f t="shared" si="1"/>
        <v>256.66666666666669</v>
      </c>
      <c r="I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18.100000000000001</v>
      </c>
      <c r="N35" s="14">
        <f>IF('Données projet'!$A$36&gt;35,N34+M35-V34,IF(A35&lt;'Données projet'!$A$36,$K$205^A35,IF(A35='Données projet'!$A$36,'Données projet'!$B$36,N34+M35-V34)))</f>
        <v>251.19230769230765</v>
      </c>
      <c r="O35" s="14">
        <f>N35*VLOOKUP('Données projet'!$B$9,Paramètres!$A$1:$I$89,3,0)*VLOOKUP('Données projet'!$B$9,Paramètres!$A$1:$I$89,5,0)</f>
        <v>140.41649999999998</v>
      </c>
      <c r="P35" s="14">
        <f t="shared" si="33"/>
        <v>36.392403294074647</v>
      </c>
      <c r="Q35" s="22">
        <f t="shared" ref="Q35:Q66" si="53">(O35+P35)*0.475*44/12</f>
        <v>307.94217323717999</v>
      </c>
      <c r="R35" s="62">
        <f t="shared" si="0"/>
        <v>601.27550657051324</v>
      </c>
      <c r="S35" s="62">
        <f ca="1">AVERAGE(OFFSET($R$3,0,0,'Données projet'!$E$9+1,1))-AVERAGE(OFFSET($H$3,0,0,'Données projet'!$E$9+1,1))</f>
        <v>323.98185264074681</v>
      </c>
      <c r="T35" s="62">
        <f t="shared" si="34"/>
        <v>301.22207291854005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4.2890301230597663</v>
      </c>
      <c r="AA35" s="23">
        <f>EXP(-LN(2)/25)*AA34+(1-EXP(-LN(2)/25))/(LN(2)/25)*Calculateur!V35*Calculateur!X35*VLOOKUP('Données projet'!$B$9,Paramètres!$A$1:$I$89,3,0)*0.475*44/12</f>
        <v>7.8024208902826429</v>
      </c>
      <c r="AB35" s="23">
        <f>EXP(-LN(2)/2)*AB34+(1-EXP(-LN(2)/2))/(LN(2)/2)*V35*Y35*VLOOKUP('Données projet'!$B$9,Paramètres!$A$1:$I$89,3,0)*0.475*44/12</f>
        <v>3.0439035898090103</v>
      </c>
      <c r="AC35" s="24">
        <f t="shared" si="3"/>
        <v>15.13535460315142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12.971794871794865</v>
      </c>
      <c r="AI35" s="14">
        <f>IF('Données projet'!$A$62&gt;35,AI34+AH35-AQ34,IF(A35&lt;'Données projet'!$A$62,$AF$205^A35,IF(A35='Données projet'!$A$62,'Données projet'!$B$62,AI34+AH35-AQ34)))</f>
        <v>170.92820512820512</v>
      </c>
      <c r="AJ35" s="14">
        <f>AI35*VLOOKUP('Données projet'!$B$10,Paramètres!$A$1:$I$89,3,0)*VLOOKUP('Données projet'!$B$10,Paramètres!$A$1:$I$89,5,0)</f>
        <v>102.21506666666667</v>
      </c>
      <c r="AK35" s="14">
        <f t="shared" si="35"/>
        <v>27.489031873505194</v>
      </c>
      <c r="AL35" s="22">
        <f t="shared" si="4"/>
        <v>225.90130495746598</v>
      </c>
      <c r="AM35" s="62">
        <f t="shared" si="5"/>
        <v>519.23463829079924</v>
      </c>
      <c r="AN35" s="62">
        <f ca="1">AVERAGE(OFFSET($AM$3,0,0,'Données projet'!$E$10+1,1))-AVERAGE(OFFSET($H$3,0,0,'Données projet'!$E$10+1,1))</f>
        <v>289.12367833861299</v>
      </c>
      <c r="AO35" s="62">
        <f t="shared" si="36"/>
        <v>229.06617320689003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2.0734175390127247</v>
      </c>
      <c r="AX35" s="23">
        <f t="shared" si="6"/>
        <v>2.0734175390127247</v>
      </c>
      <c r="AY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8</v>
      </c>
      <c r="BD35" s="13">
        <f>IF('Données projet'!$A$88&gt;35,BD34+BC35-BL34,IF(A35&lt;'Données projet'!$A$88,$BA$205^A35,IF(A35='Données projet'!$A$88,'Données projet'!$B$88,BD34+BC35-BL34)))</f>
        <v>92</v>
      </c>
      <c r="BE35" s="14">
        <f>BD35*VLOOKUP('Données projet'!$B$11,Paramètres!$A$1:$I$89,3,0)*VLOOKUP('Données projet'!$B$11,Paramètres!$A$1:$I$89,5,0)</f>
        <v>83.241600000000005</v>
      </c>
      <c r="BF35" s="14">
        <f t="shared" si="37"/>
        <v>22.927930643846508</v>
      </c>
      <c r="BG35" s="22">
        <f t="shared" si="7"/>
        <v>184.91193253803269</v>
      </c>
      <c r="BH35" s="62">
        <f t="shared" si="8"/>
        <v>478.24526587136597</v>
      </c>
      <c r="BI35" s="62">
        <f ca="1">AVERAGE(OFFSET($BH$3,0,0,'Données projet'!$E$11+1,1))-AVERAGE(OFFSET($H$3,0,0,'Données projet'!$E$11+1,1))</f>
        <v>428.8489304403459</v>
      </c>
      <c r="BJ35" s="62">
        <f t="shared" si="38"/>
        <v>247.01165577562966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10.6</v>
      </c>
      <c r="BY35" s="13">
        <f>IF('Données projet'!$A$114&gt;35,BY34+BX35-CG34,IF(A35&lt;'Données projet'!$A$114,$BV$205^A35,IF(A35='Données projet'!$A$114,'Données projet'!$B$114,BY34+BX35-CG34)))</f>
        <v>140.19999999999993</v>
      </c>
      <c r="BZ35" s="14">
        <f>BY35*VLOOKUP('Données projet'!$B$12,Paramètres!$A$1:$I$89,3,0)*VLOOKUP('Données projet'!$B$12,Paramètres!$A$1:$I$89,5,0)</f>
        <v>102.79463999999994</v>
      </c>
      <c r="CA35" s="14">
        <f t="shared" si="39"/>
        <v>27.62671020390955</v>
      </c>
      <c r="CB35" s="22">
        <f t="shared" si="10"/>
        <v>227.15051827180903</v>
      </c>
      <c r="CC35" s="62">
        <f t="shared" si="11"/>
        <v>520.48385160514238</v>
      </c>
      <c r="CD35" s="62">
        <f ca="1">AVERAGE(OFFSET($CC$3,0,0,'Données projet'!$E$12+1,1))-AVERAGE(OFFSET($H$3,0,0,'Données projet'!$E$12+1,1))</f>
        <v>290.85271051443431</v>
      </c>
      <c r="CE35" s="62">
        <f t="shared" si="40"/>
        <v>318.66958823451142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11.5</v>
      </c>
      <c r="CT35" s="13">
        <f>IF('Données projet'!$A$140&gt;35,CT34+CS35-DB34,IF(A35&lt;'Données projet'!$A$140,$CQ$205^A35,IF(A35='Données projet'!$A$140,'Données projet'!$B$140,CT34+CS35-DB34)))</f>
        <v>130.49999999999997</v>
      </c>
      <c r="CU35" s="18">
        <f>CT35*VLOOKUP('Données projet'!$B$13,Paramètres!$A$1:$I$89,3,0)*VLOOKUP('Données projet'!$B$13,Paramètres!$A$1:$I$89,5,0)</f>
        <v>101.78999999999998</v>
      </c>
      <c r="CV35" s="14">
        <f t="shared" si="41"/>
        <v>27.38799903683508</v>
      </c>
      <c r="CW35" s="22">
        <f t="shared" si="13"/>
        <v>224.98501498915437</v>
      </c>
      <c r="CX35" s="62">
        <f t="shared" si="14"/>
        <v>518.31834832248774</v>
      </c>
      <c r="CY35" s="62">
        <f ca="1">AVERAGE(OFFSET($CX$3,0,0,'Données projet'!$E$13+1,1))-AVERAGE(OFFSET($H$3,0,0,'Données projet'!$E$13+1,1))</f>
        <v>292.57482726862594</v>
      </c>
      <c r="CZ35" s="62">
        <f t="shared" si="42"/>
        <v>283.48738729114024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10.6</v>
      </c>
      <c r="DO35" s="13">
        <f>IF('Données projet'!$A$166&gt;35,DO34+DN35-DW34,IF(A35&lt;'Données projet'!$A$166,$DL$205^A35,IF(A35='Données projet'!$A$166,'Données projet'!$B$166,DO34+DN35-DW34)))</f>
        <v>140.19999999999993</v>
      </c>
      <c r="DP35" s="18">
        <f>DO35*VLOOKUP('Données projet'!$B$14,Paramètres!$A$1:$I$89,3,0)*VLOOKUP('Données projet'!$B$14,Paramètres!$A$1:$I$89,5,0)</f>
        <v>111.54311999999996</v>
      </c>
      <c r="DQ35" s="14">
        <f t="shared" si="43"/>
        <v>29.6942603807586</v>
      </c>
      <c r="DR35" s="22">
        <f t="shared" si="16"/>
        <v>245.98843749648782</v>
      </c>
      <c r="DS35" s="62">
        <f t="shared" si="17"/>
        <v>539.32177082982116</v>
      </c>
      <c r="DT35" s="62">
        <f ca="1">AVERAGE(OFFSET($DS$3,0,0,'Données projet'!$E$14+1,1))-AVERAGE(OFFSET($H$3,0,0,'Données projet'!$E$14+1,1))</f>
        <v>312.53381881960331</v>
      </c>
      <c r="DU35" s="62">
        <f t="shared" si="44"/>
        <v>342.06887933351783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6.4102564102564088</v>
      </c>
      <c r="EJ35" s="13">
        <f>IF('Données projet'!$A$192&gt;35,EJ34+EI35-ER34,IF(A35&lt;'Données projet'!$A$192,$EG$205^A35,IF(A35='Données projet'!$A$192,'Données projet'!$B$192,EJ34+EI35-ER34)))</f>
        <v>103.84615384615384</v>
      </c>
      <c r="EK35" s="18">
        <f>EJ35*VLOOKUP('Données projet'!$B$15,Paramètres!$A$1:$I$89,3,0)*VLOOKUP('Données projet'!$B$15,Paramètres!$A$1:$I$89,5,0)</f>
        <v>98.82</v>
      </c>
      <c r="EL35" s="14">
        <f t="shared" si="45"/>
        <v>26.680684905958366</v>
      </c>
      <c r="EM35" s="22">
        <f t="shared" si="19"/>
        <v>218.58035954454417</v>
      </c>
      <c r="EN35" s="62">
        <f t="shared" si="20"/>
        <v>511.91369287787745</v>
      </c>
      <c r="EO35" s="62">
        <f ca="1">AVERAGE(OFFSET($EN$3,0,0,'Données projet'!$E$15+1,1))-AVERAGE(OFFSET($H$3,0,0,'Données projet'!$E$15+1,1))</f>
        <v>363.37916970915211</v>
      </c>
      <c r="EP35" s="62">
        <f t="shared" si="46"/>
        <v>281.52963027844595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8.9230769230769198</v>
      </c>
      <c r="FE35" s="13">
        <f>IF('Données projet'!$A$218&gt;35,FE34+FD35-FM34,IF(A35&lt;'Données projet'!$A$218,$FB$205^A35,IF(A35='Données projet'!$A$218,'Données projet'!$B$218,FE34+FD35-FM34)))</f>
        <v>121.12307692307691</v>
      </c>
      <c r="FF35" s="18">
        <f>FE35*VLOOKUP('Données projet'!$B$16,Paramètres!$A$1:$I$89,3,0)*VLOOKUP('Données projet'!$B$16,Paramètres!$A$1:$I$89,5,0)</f>
        <v>56.685599999999994</v>
      </c>
      <c r="FG35" s="14">
        <f t="shared" si="47"/>
        <v>16.327533552386551</v>
      </c>
      <c r="FH35" s="22">
        <f t="shared" si="22"/>
        <v>127.16454093707324</v>
      </c>
      <c r="FI35" s="62">
        <f t="shared" si="23"/>
        <v>420.49787427040656</v>
      </c>
      <c r="FJ35" s="62">
        <f ca="1">AVERAGE(OFFSET($FI$3,0,0,'Données projet'!$E$16+1,1))-AVERAGE(OFFSET($H$3,0,0,'Données projet'!$E$16+1,1))</f>
        <v>245.47494516762282</v>
      </c>
      <c r="FK35" s="62">
        <f t="shared" si="48"/>
        <v>145.54897745089966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8</v>
      </c>
      <c r="FZ35" s="13">
        <f>IF('Données projet'!$A$244&gt;35,FZ34+FY35-GH34,IF(A35&lt;'Données projet'!$A$244,$FW$205^A35,IF(A35='Données projet'!$A$244,'Données projet'!$B$244,FZ34+FY35-GH34)))</f>
        <v>92</v>
      </c>
      <c r="GA35" s="18">
        <f>FZ35*VLOOKUP('Données projet'!$B$17,Paramètres!$A$1:$I$89,3,0)*VLOOKUP('Données projet'!$B$17,Paramètres!$A$1:$I$89,5,0)</f>
        <v>88.982399999999998</v>
      </c>
      <c r="GB35" s="14">
        <f t="shared" si="49"/>
        <v>24.31964219550628</v>
      </c>
      <c r="GC35" s="22">
        <f t="shared" si="25"/>
        <v>197.3343901571734</v>
      </c>
      <c r="GD35" s="62">
        <f t="shared" si="26"/>
        <v>490.66772349050672</v>
      </c>
      <c r="GE35" s="62">
        <f ca="1">AVERAGE(OFFSET($GD$3,0,0,'Données projet'!$E$17+1,1))-AVERAGE(OFFSET($H$3,0,0,'Données projet'!$E$17+1,1))</f>
        <v>455.50822833641354</v>
      </c>
      <c r="GF35" s="62">
        <f t="shared" si="50"/>
        <v>261.14722581688039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7.6923076923076881</v>
      </c>
      <c r="GU35" s="13">
        <f>IF('Données projet'!$A$270&gt;35,GU34+GT35-HC34,IF(A35&lt;'Données projet'!$A$270,$GR$205^A35,IF(A35='Données projet'!$A$270,'Données projet'!$B$270,GU34+GT35-HC34)))</f>
        <v>132.0512820512821</v>
      </c>
      <c r="GV35" s="18">
        <f>GU35*VLOOKUP('Données projet'!$B$18,Paramètres!$A$1:$I$89,3,0)*VLOOKUP('Données projet'!$B$18,Paramètres!$A$1:$I$89,5,0)</f>
        <v>88.580000000000041</v>
      </c>
      <c r="GW35" s="14">
        <f t="shared" si="51"/>
        <v>24.222438846820232</v>
      </c>
      <c r="GX35" s="22">
        <f t="shared" si="28"/>
        <v>196.46424765821197</v>
      </c>
      <c r="GY35" s="62">
        <f t="shared" si="29"/>
        <v>489.79758099154526</v>
      </c>
      <c r="GZ35" s="62">
        <f ca="1">AVERAGE(OFFSET($GY$3,0,0,'Données projet'!$E$18+1,1))-AVERAGE(OFFSET($H$3,0,0,'Données projet'!$E$18+1,1))</f>
        <v>312.06797204903796</v>
      </c>
      <c r="HA35" s="62">
        <f t="shared" si="52"/>
        <v>258.20189001775151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</row>
    <row r="36" spans="1:218" s="5" customFormat="1" x14ac:dyDescent="0.25">
      <c r="A36" s="11">
        <f t="shared" si="31"/>
        <v>33</v>
      </c>
      <c r="B36" s="76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9">
        <f t="shared" si="1"/>
        <v>256.66666666666669</v>
      </c>
      <c r="I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18.100000000000001</v>
      </c>
      <c r="N36" s="14">
        <f>IF('Données projet'!$A$36&gt;35,N35+M36-V35,IF(A36&lt;'Données projet'!$A$36,$K$205^A36,IF(A36='Données projet'!$A$36,'Données projet'!$B$36,N35+M36-V35)))</f>
        <v>269.29230769230765</v>
      </c>
      <c r="O36" s="14">
        <f>N36*VLOOKUP('Données projet'!$B$9,Paramètres!$A$1:$I$89,3,0)*VLOOKUP('Données projet'!$B$9,Paramètres!$A$1:$I$89,5,0)</f>
        <v>150.53439999999998</v>
      </c>
      <c r="P36" s="14">
        <f t="shared" si="33"/>
        <v>38.700004790658191</v>
      </c>
      <c r="Q36" s="22">
        <f t="shared" si="53"/>
        <v>329.58325501039627</v>
      </c>
      <c r="R36" s="62">
        <f t="shared" si="0"/>
        <v>622.91658834372959</v>
      </c>
      <c r="S36" s="62">
        <f ca="1">AVERAGE(OFFSET($R$3,0,0,'Données projet'!$E$9+1,1))-AVERAGE(OFFSET($H$3,0,0,'Données projet'!$E$9+1,1))</f>
        <v>323.98185264074681</v>
      </c>
      <c r="T36" s="62">
        <f t="shared" si="34"/>
        <v>301.22207291854005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4.2049248583966259</v>
      </c>
      <c r="AA36" s="23">
        <f>EXP(-LN(2)/25)*AA35+(1-EXP(-LN(2)/25))/(LN(2)/25)*Calculateur!V36*Calculateur!X36*VLOOKUP('Données projet'!$B$9,Paramètres!$A$1:$I$89,3,0)*0.475*44/12</f>
        <v>7.589063280726382</v>
      </c>
      <c r="AB36" s="23">
        <f>EXP(-LN(2)/2)*AB35+(1-EXP(-LN(2)/2))/(LN(2)/2)*V36*Y36*VLOOKUP('Données projet'!$B$9,Paramètres!$A$1:$I$89,3,0)*0.475*44/12</f>
        <v>2.1523648696320263</v>
      </c>
      <c r="AC36" s="24">
        <f t="shared" si="3"/>
        <v>13.946353008755036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>
        <f>VLOOKUP(A36,'Données projet'!$A$61:$I$81,2,0)</f>
        <v>183.89999999999998</v>
      </c>
      <c r="AG36" s="13">
        <f>VLOOKUP(A36,'Données projet'!$A$61:$I$81,9,0)</f>
        <v>12.971794871794865</v>
      </c>
      <c r="AH36" s="13">
        <f t="array" ref="AH36">INDEX(AG:AG,MIN(IF(ISNUMBER(AG36:AG232),ROW(AG36:AG232),"")))</f>
        <v>12.971794871794865</v>
      </c>
      <c r="AI36" s="14">
        <f>IF('Données projet'!$A$62&gt;35,AI35+AH36-AQ35,IF(A36&lt;'Données projet'!$A$62,$AF$205^A36,IF(A36='Données projet'!$A$62,'Données projet'!$B$62,AI35+AH36-AQ35)))</f>
        <v>183.89999999999998</v>
      </c>
      <c r="AJ36" s="14">
        <f>AI36*VLOOKUP('Données projet'!$B$10,Paramètres!$A$1:$I$89,3,0)*VLOOKUP('Données projet'!$B$10,Paramètres!$A$1:$I$89,5,0)</f>
        <v>109.9722</v>
      </c>
      <c r="AK36" s="14">
        <f t="shared" si="35"/>
        <v>29.324434579377328</v>
      </c>
      <c r="AL36" s="22">
        <f t="shared" si="4"/>
        <v>242.60830522574884</v>
      </c>
      <c r="AM36" s="62">
        <f t="shared" si="5"/>
        <v>535.94163855908209</v>
      </c>
      <c r="AN36" s="62">
        <f ca="1">AVERAGE(OFFSET($AM$3,0,0,'Données projet'!$E$10+1,1))-AVERAGE(OFFSET($H$3,0,0,'Données projet'!$E$10+1,1))</f>
        <v>289.12367833861299</v>
      </c>
      <c r="AO36" s="62">
        <f t="shared" si="36"/>
        <v>229.06617320689003</v>
      </c>
      <c r="AP36" s="16">
        <f>IF(ISNA(VLOOKUP(A36,'Données projet'!$A$61:$I$81,3,0)),0,VLOOKUP(A36,'Données projet'!$A$61:$I$81,3,0))</f>
        <v>3</v>
      </c>
      <c r="AQ36" s="16">
        <f>IF(ISNA(VLOOKUP(A36,'Données projet'!$A$61:$I$81,4,0)),0,VLOOKUP(A36,'Données projet'!$A$61:$I$81,4,0))</f>
        <v>43.007692307692302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1.4661276020670206</v>
      </c>
      <c r="AX36" s="23">
        <f t="shared" si="6"/>
        <v>1.4661276020670206</v>
      </c>
      <c r="AY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8</v>
      </c>
      <c r="BD36" s="13">
        <f>IF('Données projet'!$A$88&gt;35,BD35+BC36-BL35,IF(A36&lt;'Données projet'!$A$88,$BA$205^A36,IF(A36='Données projet'!$A$88,'Données projet'!$B$88,BD35+BC36-BL35)))</f>
        <v>100</v>
      </c>
      <c r="BE36" s="14">
        <f>BD36*VLOOKUP('Données projet'!$B$11,Paramètres!$A$1:$I$89,3,0)*VLOOKUP('Données projet'!$B$11,Paramètres!$A$1:$I$89,5,0)</f>
        <v>90.47999999999999</v>
      </c>
      <c r="BF36" s="14">
        <f t="shared" si="37"/>
        <v>24.680953573367994</v>
      </c>
      <c r="BG36" s="22">
        <f t="shared" si="7"/>
        <v>200.57199414028256</v>
      </c>
      <c r="BH36" s="62">
        <f t="shared" si="8"/>
        <v>493.9053274736159</v>
      </c>
      <c r="BI36" s="62">
        <f ca="1">AVERAGE(OFFSET($BH$3,0,0,'Données projet'!$E$11+1,1))-AVERAGE(OFFSET($H$3,0,0,'Données projet'!$E$11+1,1))</f>
        <v>428.8489304403459</v>
      </c>
      <c r="BJ36" s="62">
        <f t="shared" si="38"/>
        <v>247.01165577562966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10.6</v>
      </c>
      <c r="BY36" s="13">
        <f>IF('Données projet'!$A$114&gt;35,BY35+BX36-CG35,IF(A36&lt;'Données projet'!$A$114,$BV$205^A36,IF(A36='Données projet'!$A$114,'Données projet'!$B$114,BY35+BX36-CG35)))</f>
        <v>150.79999999999993</v>
      </c>
      <c r="BZ36" s="14">
        <f>BY36*VLOOKUP('Données projet'!$B$12,Paramètres!$A$1:$I$89,3,0)*VLOOKUP('Données projet'!$B$12,Paramètres!$A$1:$I$89,5,0)</f>
        <v>110.56655999999994</v>
      </c>
      <c r="CA36" s="14">
        <f t="shared" si="39"/>
        <v>29.464430590067003</v>
      </c>
      <c r="CB36" s="22">
        <f t="shared" si="10"/>
        <v>243.88730861103326</v>
      </c>
      <c r="CC36" s="62">
        <f t="shared" si="11"/>
        <v>537.22064194436655</v>
      </c>
      <c r="CD36" s="62">
        <f ca="1">AVERAGE(OFFSET($CC$3,0,0,'Données projet'!$E$12+1,1))-AVERAGE(OFFSET($H$3,0,0,'Données projet'!$E$12+1,1))</f>
        <v>290.85271051443431</v>
      </c>
      <c r="CE36" s="62">
        <f t="shared" si="40"/>
        <v>318.66958823451142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11.5</v>
      </c>
      <c r="CT36" s="13">
        <f>IF('Données projet'!$A$140&gt;35,CT35+CS36-DB35,IF(A36&lt;'Données projet'!$A$140,$CQ$205^A36,IF(A36='Données projet'!$A$140,'Données projet'!$B$140,CT35+CS36-DB35)))</f>
        <v>141.99999999999997</v>
      </c>
      <c r="CU36" s="18">
        <f>CT36*VLOOKUP('Données projet'!$B$13,Paramètres!$A$1:$I$89,3,0)*VLOOKUP('Données projet'!$B$13,Paramètres!$A$1:$I$89,5,0)</f>
        <v>110.75999999999998</v>
      </c>
      <c r="CV36" s="14">
        <f t="shared" si="41"/>
        <v>29.509974682362923</v>
      </c>
      <c r="CW36" s="22">
        <f t="shared" si="13"/>
        <v>244.30353923844871</v>
      </c>
      <c r="CX36" s="62">
        <f t="shared" si="14"/>
        <v>537.63687257178208</v>
      </c>
      <c r="CY36" s="62">
        <f ca="1">AVERAGE(OFFSET($CX$3,0,0,'Données projet'!$E$13+1,1))-AVERAGE(OFFSET($H$3,0,0,'Données projet'!$E$13+1,1))</f>
        <v>292.57482726862594</v>
      </c>
      <c r="CZ36" s="62">
        <f t="shared" si="42"/>
        <v>283.48738729114024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10.6</v>
      </c>
      <c r="DO36" s="13">
        <f>IF('Données projet'!$A$166&gt;35,DO35+DN36-DW35,IF(A36&lt;'Données projet'!$A$166,$DL$205^A36,IF(A36='Données projet'!$A$166,'Données projet'!$B$166,DO35+DN36-DW35)))</f>
        <v>150.79999999999993</v>
      </c>
      <c r="DP36" s="18">
        <f>DO36*VLOOKUP('Données projet'!$B$14,Paramètres!$A$1:$I$89,3,0)*VLOOKUP('Données projet'!$B$14,Paramètres!$A$1:$I$89,5,0)</f>
        <v>119.97647999999994</v>
      </c>
      <c r="DQ36" s="14">
        <f t="shared" si="43"/>
        <v>31.669513577784763</v>
      </c>
      <c r="DR36" s="22">
        <f t="shared" si="16"/>
        <v>264.11677214797504</v>
      </c>
      <c r="DS36" s="62">
        <f t="shared" si="17"/>
        <v>557.45010548130836</v>
      </c>
      <c r="DT36" s="62">
        <f ca="1">AVERAGE(OFFSET($DS$3,0,0,'Données projet'!$E$14+1,1))-AVERAGE(OFFSET($H$3,0,0,'Données projet'!$E$14+1,1))</f>
        <v>312.53381881960331</v>
      </c>
      <c r="DU36" s="62">
        <f t="shared" si="44"/>
        <v>342.06887933351783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6.4102564102564088</v>
      </c>
      <c r="EJ36" s="13">
        <f>IF('Données projet'!$A$192&gt;35,EJ35+EI36-ER35,IF(A36&lt;'Données projet'!$A$192,$EG$205^A36,IF(A36='Données projet'!$A$192,'Données projet'!$B$192,EJ35+EI36-ER35)))</f>
        <v>110.25641025641025</v>
      </c>
      <c r="EK36" s="18">
        <f>EJ36*VLOOKUP('Données projet'!$B$15,Paramètres!$A$1:$I$89,3,0)*VLOOKUP('Données projet'!$B$15,Paramètres!$A$1:$I$89,5,0)</f>
        <v>104.91999999999999</v>
      </c>
      <c r="EL36" s="14">
        <f t="shared" si="45"/>
        <v>28.130823299932707</v>
      </c>
      <c r="EM36" s="22">
        <f t="shared" si="19"/>
        <v>231.73018391404943</v>
      </c>
      <c r="EN36" s="62">
        <f t="shared" si="20"/>
        <v>525.06351724738272</v>
      </c>
      <c r="EO36" s="62">
        <f ca="1">AVERAGE(OFFSET($EN$3,0,0,'Données projet'!$E$15+1,1))-AVERAGE(OFFSET($H$3,0,0,'Données projet'!$E$15+1,1))</f>
        <v>363.37916970915211</v>
      </c>
      <c r="EP36" s="62">
        <f t="shared" si="46"/>
        <v>281.52963027844595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8.9230769230769198</v>
      </c>
      <c r="FE36" s="13">
        <f>IF('Données projet'!$A$218&gt;35,FE35+FD36-FM35,IF(A36&lt;'Données projet'!$A$218,$FB$205^A36,IF(A36='Données projet'!$A$218,'Données projet'!$B$218,FE35+FD36-FM35)))</f>
        <v>130.04615384615383</v>
      </c>
      <c r="FF36" s="18">
        <f>FE36*VLOOKUP('Données projet'!$B$16,Paramètres!$A$1:$I$89,3,0)*VLOOKUP('Données projet'!$B$16,Paramètres!$A$1:$I$89,5,0)</f>
        <v>60.861599999999989</v>
      </c>
      <c r="FG36" s="14">
        <f t="shared" si="47"/>
        <v>17.385927430951966</v>
      </c>
      <c r="FH36" s="22">
        <f t="shared" si="22"/>
        <v>136.28111027557466</v>
      </c>
      <c r="FI36" s="62">
        <f t="shared" si="23"/>
        <v>429.614443608908</v>
      </c>
      <c r="FJ36" s="62">
        <f ca="1">AVERAGE(OFFSET($FI$3,0,0,'Données projet'!$E$16+1,1))-AVERAGE(OFFSET($H$3,0,0,'Données projet'!$E$16+1,1))</f>
        <v>245.47494516762282</v>
      </c>
      <c r="FK36" s="62">
        <f t="shared" si="48"/>
        <v>145.54897745089966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8</v>
      </c>
      <c r="FZ36" s="13">
        <f>IF('Données projet'!$A$244&gt;35,FZ35+FY36-GH35,IF(A36&lt;'Données projet'!$A$244,$FW$205^A36,IF(A36='Données projet'!$A$244,'Données projet'!$B$244,FZ35+FY36-GH35)))</f>
        <v>100</v>
      </c>
      <c r="GA36" s="18">
        <f>FZ36*VLOOKUP('Données projet'!$B$17,Paramètres!$A$1:$I$89,3,0)*VLOOKUP('Données projet'!$B$17,Paramètres!$A$1:$I$89,5,0)</f>
        <v>96.72</v>
      </c>
      <c r="GB36" s="14">
        <f t="shared" si="49"/>
        <v>26.179072558792139</v>
      </c>
      <c r="GC36" s="22">
        <f t="shared" si="25"/>
        <v>214.04921803989632</v>
      </c>
      <c r="GD36" s="62">
        <f t="shared" si="26"/>
        <v>507.3825513732296</v>
      </c>
      <c r="GE36" s="62">
        <f ca="1">AVERAGE(OFFSET($GD$3,0,0,'Données projet'!$E$17+1,1))-AVERAGE(OFFSET($H$3,0,0,'Données projet'!$E$17+1,1))</f>
        <v>455.50822833641354</v>
      </c>
      <c r="GF36" s="62">
        <f t="shared" si="50"/>
        <v>261.14722581688039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7.6923076923076881</v>
      </c>
      <c r="GU36" s="13">
        <f>IF('Données projet'!$A$270&gt;35,GU35+GT36-HC35,IF(A36&lt;'Données projet'!$A$270,$GR$205^A36,IF(A36='Données projet'!$A$270,'Données projet'!$B$270,GU35+GT36-HC35)))</f>
        <v>139.74358974358978</v>
      </c>
      <c r="GV36" s="18">
        <f>GU36*VLOOKUP('Données projet'!$B$18,Paramètres!$A$1:$I$89,3,0)*VLOOKUP('Données projet'!$B$18,Paramètres!$A$1:$I$89,5,0)</f>
        <v>93.740000000000023</v>
      </c>
      <c r="GW36" s="14">
        <f t="shared" si="51"/>
        <v>25.465074435109123</v>
      </c>
      <c r="GX36" s="22">
        <f t="shared" si="28"/>
        <v>207.61550464114839</v>
      </c>
      <c r="GY36" s="62">
        <f t="shared" si="29"/>
        <v>500.94883797448171</v>
      </c>
      <c r="GZ36" s="62">
        <f ca="1">AVERAGE(OFFSET($GY$3,0,0,'Données projet'!$E$18+1,1))-AVERAGE(OFFSET($H$3,0,0,'Données projet'!$E$18+1,1))</f>
        <v>312.06797204903796</v>
      </c>
      <c r="HA36" s="62">
        <f t="shared" si="52"/>
        <v>258.20189001775151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</row>
    <row r="37" spans="1:218" s="5" customFormat="1" x14ac:dyDescent="0.25">
      <c r="A37" s="11">
        <f t="shared" si="31"/>
        <v>34</v>
      </c>
      <c r="B37" s="76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9">
        <f t="shared" si="1"/>
        <v>256.66666666666669</v>
      </c>
      <c r="I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18.100000000000001</v>
      </c>
      <c r="N37" s="14">
        <f>IF('Données projet'!$A$36&gt;35,N36+M37-V36,IF(A37&lt;'Données projet'!$A$36,$K$205^A37,IF(A37='Données projet'!$A$36,'Données projet'!$B$36,N36+M37-V36)))</f>
        <v>287.39230769230767</v>
      </c>
      <c r="O37" s="14">
        <f>N37*VLOOKUP('Données projet'!$B$9,Paramètres!$A$1:$I$89,3,0)*VLOOKUP('Données projet'!$B$9,Paramètres!$A$1:$I$89,5,0)</f>
        <v>160.6523</v>
      </c>
      <c r="P37" s="14">
        <f t="shared" si="33"/>
        <v>40.989608635643826</v>
      </c>
      <c r="Q37" s="22">
        <f t="shared" si="53"/>
        <v>351.19299087374634</v>
      </c>
      <c r="R37" s="62">
        <f t="shared" si="0"/>
        <v>644.5263242070796</v>
      </c>
      <c r="S37" s="62">
        <f ca="1">AVERAGE(OFFSET($R$3,0,0,'Données projet'!$E$9+1,1))-AVERAGE(OFFSET($H$3,0,0,'Données projet'!$E$9+1,1))</f>
        <v>323.98185264074681</v>
      </c>
      <c r="T37" s="62">
        <f t="shared" si="34"/>
        <v>301.22207291854005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4.1224688466743835</v>
      </c>
      <c r="AA37" s="23">
        <f>EXP(-LN(2)/25)*AA36+(1-EXP(-LN(2)/25))/(LN(2)/25)*Calculateur!V37*Calculateur!X37*VLOOKUP('Données projet'!$B$9,Paramètres!$A$1:$I$89,3,0)*0.475*44/12</f>
        <v>7.3815399462234259</v>
      </c>
      <c r="AB37" s="23">
        <f>EXP(-LN(2)/2)*AB36+(1-EXP(-LN(2)/2))/(LN(2)/2)*V37*Y37*VLOOKUP('Données projet'!$B$9,Paramètres!$A$1:$I$89,3,0)*0.475*44/12</f>
        <v>1.5219517949045052</v>
      </c>
      <c r="AC37" s="24">
        <f t="shared" si="3"/>
        <v>13.025960587802315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12.74038461538462</v>
      </c>
      <c r="AI37" s="14">
        <f>IF('Données projet'!$A$62&gt;35,AI36+AH37-AQ36,IF(A37&lt;'Données projet'!$A$62,$AF$205^A37,IF(A37='Données projet'!$A$62,'Données projet'!$B$62,AI36+AH37-AQ36)))</f>
        <v>153.63269230769228</v>
      </c>
      <c r="AJ37" s="14">
        <f>AI37*VLOOKUP('Données projet'!$B$10,Paramètres!$A$1:$I$89,3,0)*VLOOKUP('Données projet'!$B$10,Paramètres!$A$1:$I$89,5,0)</f>
        <v>91.872349999999997</v>
      </c>
      <c r="AK37" s="14">
        <f t="shared" si="35"/>
        <v>25.016248165039102</v>
      </c>
      <c r="AL37" s="22">
        <f t="shared" si="4"/>
        <v>203.58097513744312</v>
      </c>
      <c r="AM37" s="62">
        <f t="shared" si="5"/>
        <v>496.9143084707764</v>
      </c>
      <c r="AN37" s="62">
        <f ca="1">AVERAGE(OFFSET($AM$3,0,0,'Données projet'!$E$10+1,1))-AVERAGE(OFFSET($H$3,0,0,'Données projet'!$E$10+1,1))</f>
        <v>289.12367833861299</v>
      </c>
      <c r="AO37" s="62">
        <f t="shared" si="36"/>
        <v>229.06617320689003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1.0367087695063624</v>
      </c>
      <c r="AX37" s="23">
        <f t="shared" si="6"/>
        <v>1.0367087695063624</v>
      </c>
      <c r="AY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8</v>
      </c>
      <c r="BD37" s="13">
        <f>IF('Données projet'!$A$88&gt;35,BD36+BC37-BL36,IF(A37&lt;'Données projet'!$A$88,$BA$205^A37,IF(A37='Données projet'!$A$88,'Données projet'!$B$88,BD36+BC37-BL36)))</f>
        <v>108</v>
      </c>
      <c r="BE37" s="14">
        <f>BD37*VLOOKUP('Données projet'!$B$11,Paramètres!$A$1:$I$89,3,0)*VLOOKUP('Données projet'!$B$11,Paramètres!$A$1:$I$89,5,0)</f>
        <v>97.718399999999988</v>
      </c>
      <c r="BF37" s="14">
        <f t="shared" si="37"/>
        <v>26.417709819192194</v>
      </c>
      <c r="BG37" s="22">
        <f t="shared" si="7"/>
        <v>216.20372460175972</v>
      </c>
      <c r="BH37" s="62">
        <f t="shared" si="8"/>
        <v>509.537057935093</v>
      </c>
      <c r="BI37" s="62">
        <f ca="1">AVERAGE(OFFSET($BH$3,0,0,'Données projet'!$E$11+1,1))-AVERAGE(OFFSET($H$3,0,0,'Données projet'!$E$11+1,1))</f>
        <v>428.8489304403459</v>
      </c>
      <c r="BJ37" s="62">
        <f t="shared" si="38"/>
        <v>247.01165577562966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10.6</v>
      </c>
      <c r="BY37" s="13">
        <f>IF('Données projet'!$A$114&gt;35,BY36+BX37-CG36,IF(A37&lt;'Données projet'!$A$114,$BV$205^A37,IF(A37='Données projet'!$A$114,'Données projet'!$B$114,BY36+BX37-CG36)))</f>
        <v>161.39999999999992</v>
      </c>
      <c r="BZ37" s="14">
        <f>BY37*VLOOKUP('Données projet'!$B$12,Paramètres!$A$1:$I$89,3,0)*VLOOKUP('Données projet'!$B$12,Paramètres!$A$1:$I$89,5,0)</f>
        <v>118.33847999999995</v>
      </c>
      <c r="CA37" s="14">
        <f t="shared" si="39"/>
        <v>31.287163138599794</v>
      </c>
      <c r="CB37" s="22">
        <f t="shared" si="10"/>
        <v>260.59799513306115</v>
      </c>
      <c r="CC37" s="62">
        <f t="shared" si="11"/>
        <v>553.93132846639446</v>
      </c>
      <c r="CD37" s="62">
        <f ca="1">AVERAGE(OFFSET($CC$3,0,0,'Données projet'!$E$12+1,1))-AVERAGE(OFFSET($H$3,0,0,'Données projet'!$E$12+1,1))</f>
        <v>290.85271051443431</v>
      </c>
      <c r="CE37" s="62">
        <f t="shared" si="40"/>
        <v>318.66958823451142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11.5</v>
      </c>
      <c r="CT37" s="13">
        <f>IF('Données projet'!$A$140&gt;35,CT36+CS37-DB36,IF(A37&lt;'Données projet'!$A$140,$CQ$205^A37,IF(A37='Données projet'!$A$140,'Données projet'!$B$140,CT36+CS37-DB36)))</f>
        <v>153.49999999999997</v>
      </c>
      <c r="CU37" s="18">
        <f>CT37*VLOOKUP('Données projet'!$B$13,Paramètres!$A$1:$I$89,3,0)*VLOOKUP('Données projet'!$B$13,Paramètres!$A$1:$I$89,5,0)</f>
        <v>119.72999999999998</v>
      </c>
      <c r="CV37" s="14">
        <f t="shared" si="41"/>
        <v>31.612017974790529</v>
      </c>
      <c r="CW37" s="22">
        <f t="shared" si="13"/>
        <v>263.58734797276014</v>
      </c>
      <c r="CX37" s="62">
        <f t="shared" si="14"/>
        <v>556.92068130609346</v>
      </c>
      <c r="CY37" s="62">
        <f ca="1">AVERAGE(OFFSET($CX$3,0,0,'Données projet'!$E$13+1,1))-AVERAGE(OFFSET($H$3,0,0,'Données projet'!$E$13+1,1))</f>
        <v>292.57482726862594</v>
      </c>
      <c r="CZ37" s="62">
        <f t="shared" si="42"/>
        <v>283.48738729114024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10.6</v>
      </c>
      <c r="DO37" s="13">
        <f>IF('Données projet'!$A$166&gt;35,DO36+DN37-DW36,IF(A37&lt;'Données projet'!$A$166,$DL$205^A37,IF(A37='Données projet'!$A$166,'Données projet'!$B$166,DO36+DN37-DW36)))</f>
        <v>161.39999999999992</v>
      </c>
      <c r="DP37" s="18">
        <f>DO37*VLOOKUP('Données projet'!$B$14,Paramètres!$A$1:$I$89,3,0)*VLOOKUP('Données projet'!$B$14,Paramètres!$A$1:$I$89,5,0)</f>
        <v>128.40983999999995</v>
      </c>
      <c r="DQ37" s="14">
        <f t="shared" si="43"/>
        <v>33.62865726522088</v>
      </c>
      <c r="DR37" s="22">
        <f t="shared" si="16"/>
        <v>282.21704940359291</v>
      </c>
      <c r="DS37" s="62">
        <f t="shared" si="17"/>
        <v>575.55038273692617</v>
      </c>
      <c r="DT37" s="62">
        <f ca="1">AVERAGE(OFFSET($DS$3,0,0,'Données projet'!$E$14+1,1))-AVERAGE(OFFSET($H$3,0,0,'Données projet'!$E$14+1,1))</f>
        <v>312.53381881960331</v>
      </c>
      <c r="DU37" s="62">
        <f t="shared" si="44"/>
        <v>342.06887933351783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6.4102564102564088</v>
      </c>
      <c r="EJ37" s="13">
        <f>IF('Données projet'!$A$192&gt;35,EJ36+EI37-ER36,IF(A37&lt;'Données projet'!$A$192,$EG$205^A37,IF(A37='Données projet'!$A$192,'Données projet'!$B$192,EJ36+EI37-ER36)))</f>
        <v>116.66666666666666</v>
      </c>
      <c r="EK37" s="18">
        <f>EJ37*VLOOKUP('Données projet'!$B$15,Paramètres!$A$1:$I$89,3,0)*VLOOKUP('Données projet'!$B$15,Paramètres!$A$1:$I$89,5,0)</f>
        <v>111.02</v>
      </c>
      <c r="EL37" s="14">
        <f t="shared" si="45"/>
        <v>29.571175279490561</v>
      </c>
      <c r="EM37" s="22">
        <f t="shared" si="19"/>
        <v>244.86296361177938</v>
      </c>
      <c r="EN37" s="62">
        <f t="shared" si="20"/>
        <v>538.19629694511264</v>
      </c>
      <c r="EO37" s="62">
        <f ca="1">AVERAGE(OFFSET($EN$3,0,0,'Données projet'!$E$15+1,1))-AVERAGE(OFFSET($H$3,0,0,'Données projet'!$E$15+1,1))</f>
        <v>363.37916970915211</v>
      </c>
      <c r="EP37" s="62">
        <f t="shared" si="46"/>
        <v>281.52963027844595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8.9230769230769198</v>
      </c>
      <c r="FE37" s="13">
        <f>IF('Données projet'!$A$218&gt;35,FE36+FD37-FM36,IF(A37&lt;'Données projet'!$A$218,$FB$205^A37,IF(A37='Données projet'!$A$218,'Données projet'!$B$218,FE36+FD37-FM36)))</f>
        <v>138.96923076923076</v>
      </c>
      <c r="FF37" s="18">
        <f>FE37*VLOOKUP('Données projet'!$B$16,Paramètres!$A$1:$I$89,3,0)*VLOOKUP('Données projet'!$B$16,Paramètres!$A$1:$I$89,5,0)</f>
        <v>65.037599999999998</v>
      </c>
      <c r="FG37" s="14">
        <f t="shared" si="47"/>
        <v>18.435894871955274</v>
      </c>
      <c r="FH37" s="22">
        <f t="shared" si="22"/>
        <v>145.38300356865543</v>
      </c>
      <c r="FI37" s="62">
        <f t="shared" si="23"/>
        <v>438.71633690198871</v>
      </c>
      <c r="FJ37" s="62">
        <f ca="1">AVERAGE(OFFSET($FI$3,0,0,'Données projet'!$E$16+1,1))-AVERAGE(OFFSET($H$3,0,0,'Données projet'!$E$16+1,1))</f>
        <v>245.47494516762282</v>
      </c>
      <c r="FK37" s="62">
        <f t="shared" si="48"/>
        <v>145.54897745089966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8</v>
      </c>
      <c r="FZ37" s="13">
        <f>IF('Données projet'!$A$244&gt;35,FZ36+FY37-GH36,IF(A37&lt;'Données projet'!$A$244,$FW$205^A37,IF(A37='Données projet'!$A$244,'Données projet'!$B$244,FZ36+FY37-GH36)))</f>
        <v>108</v>
      </c>
      <c r="GA37" s="18">
        <f>FZ37*VLOOKUP('Données projet'!$B$17,Paramètres!$A$1:$I$89,3,0)*VLOOKUP('Données projet'!$B$17,Paramètres!$A$1:$I$89,5,0)</f>
        <v>104.4576</v>
      </c>
      <c r="GB37" s="14">
        <f t="shared" si="49"/>
        <v>28.021248860498272</v>
      </c>
      <c r="GC37" s="22">
        <f t="shared" si="25"/>
        <v>230.73399509870114</v>
      </c>
      <c r="GD37" s="62">
        <f t="shared" si="26"/>
        <v>524.0673284320344</v>
      </c>
      <c r="GE37" s="62">
        <f ca="1">AVERAGE(OFFSET($GD$3,0,0,'Données projet'!$E$17+1,1))-AVERAGE(OFFSET($H$3,0,0,'Données projet'!$E$17+1,1))</f>
        <v>455.50822833641354</v>
      </c>
      <c r="GF37" s="62">
        <f t="shared" si="50"/>
        <v>261.14722581688039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7.6923076923076881</v>
      </c>
      <c r="GU37" s="13">
        <f>IF('Données projet'!$A$270&gt;35,GU36+GT37-HC36,IF(A37&lt;'Données projet'!$A$270,$GR$205^A37,IF(A37='Données projet'!$A$270,'Données projet'!$B$270,GU36+GT37-HC36)))</f>
        <v>147.43589743589746</v>
      </c>
      <c r="GV37" s="18">
        <f>GU37*VLOOKUP('Données projet'!$B$18,Paramètres!$A$1:$I$89,3,0)*VLOOKUP('Données projet'!$B$18,Paramètres!$A$1:$I$89,5,0)</f>
        <v>98.90000000000002</v>
      </c>
      <c r="GW37" s="14">
        <f t="shared" si="51"/>
        <v>26.699769255487553</v>
      </c>
      <c r="GX37" s="22">
        <f t="shared" si="28"/>
        <v>218.7529314533075</v>
      </c>
      <c r="GY37" s="62">
        <f t="shared" si="29"/>
        <v>512.08626478664087</v>
      </c>
      <c r="GZ37" s="62">
        <f ca="1">AVERAGE(OFFSET($GY$3,0,0,'Données projet'!$E$18+1,1))-AVERAGE(OFFSET($H$3,0,0,'Données projet'!$E$18+1,1))</f>
        <v>312.06797204903796</v>
      </c>
      <c r="HA37" s="62">
        <f t="shared" si="52"/>
        <v>258.20189001775151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</row>
    <row r="38" spans="1:218" s="5" customFormat="1" x14ac:dyDescent="0.25">
      <c r="A38" s="11">
        <f t="shared" si="31"/>
        <v>35</v>
      </c>
      <c r="B38" s="76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9">
        <f t="shared" si="1"/>
        <v>256.66666666666669</v>
      </c>
      <c r="I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305.49230769230769</v>
      </c>
      <c r="L38" s="13">
        <f>VLOOKUP(A38,'Données projet'!$A$35:$I$55,9,0)</f>
        <v>18.100000000000001</v>
      </c>
      <c r="M38" s="13">
        <f t="array" ref="M38">INDEX(L:L,MIN(IF(ISNUMBER(L38:L234),ROW(L38:L234),"")))</f>
        <v>18.100000000000001</v>
      </c>
      <c r="N38" s="14">
        <f>IF('Données projet'!$A$36&gt;35,N37+M38-V37,IF(A38&lt;'Données projet'!$A$36,$K$205^A38,IF(A38='Données projet'!$A$36,'Données projet'!$B$36,N37+M38-V37)))</f>
        <v>305.49230769230769</v>
      </c>
      <c r="O38" s="14">
        <f>N38*VLOOKUP('Données projet'!$B$9,Paramètres!$A$1:$I$89,3,0)*VLOOKUP('Données projet'!$B$9,Paramètres!$A$1:$I$89,5,0)</f>
        <v>170.77019999999999</v>
      </c>
      <c r="P38" s="14">
        <f t="shared" si="33"/>
        <v>43.26247735598961</v>
      </c>
      <c r="Q38" s="22">
        <f t="shared" si="53"/>
        <v>372.77357972834852</v>
      </c>
      <c r="R38" s="62">
        <f t="shared" si="0"/>
        <v>666.10691306168178</v>
      </c>
      <c r="S38" s="62">
        <f ca="1">AVERAGE(OFFSET($R$3,0,0,'Données projet'!$E$9+1,1))-AVERAGE(OFFSET($H$3,0,0,'Données projet'!$E$9+1,1))</f>
        <v>323.98185264074681</v>
      </c>
      <c r="T38" s="62">
        <f t="shared" si="34"/>
        <v>301.22207291854005</v>
      </c>
      <c r="U38" s="16">
        <f>IF(ISNA(VLOOKUP(A38,'Données projet'!$A$35:$I$55,3,0)),0,VLOOKUP(A38,'Données projet'!$A$35:$I$55,3,0))</f>
        <v>3</v>
      </c>
      <c r="V38" s="16">
        <f>IF(ISNA(VLOOKUP(A38,'Données projet'!$A$35:$I$55,4,0)),0,VLOOKUP(A38,'Données projet'!$A$35:$I$55,4,0))</f>
        <v>70.5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4.0416297470488134</v>
      </c>
      <c r="AA38" s="23">
        <f>EXP(-LN(2)/25)*AA37+(1-EXP(-LN(2)/25))/(LN(2)/25)*Calculateur!V38*Calculateur!X38*VLOOKUP('Données projet'!$B$9,Paramètres!$A$1:$I$89,3,0)*0.475*44/12</f>
        <v>7.1796913482156315</v>
      </c>
      <c r="AB38" s="23">
        <f>EXP(-LN(2)/2)*AB37+(1-EXP(-LN(2)/2))/(LN(2)/2)*V38*Y38*VLOOKUP('Données projet'!$B$9,Paramètres!$A$1:$I$89,3,0)*0.475*44/12</f>
        <v>1.0761824348160132</v>
      </c>
      <c r="AC38" s="24">
        <f t="shared" si="3"/>
        <v>12.297503530080458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12.74038461538462</v>
      </c>
      <c r="AI38" s="14">
        <f>IF('Données projet'!$A$62&gt;35,AI37+AH38-AQ37,IF(A38&lt;'Données projet'!$A$62,$AF$205^A38,IF(A38='Données projet'!$A$62,'Données projet'!$B$62,AI37+AH38-AQ37)))</f>
        <v>166.37307692307689</v>
      </c>
      <c r="AJ38" s="14">
        <f>AI38*VLOOKUP('Données projet'!$B$10,Paramètres!$A$1:$I$89,3,0)*VLOOKUP('Données projet'!$B$10,Paramètres!$A$1:$I$89,5,0)</f>
        <v>99.491099999999989</v>
      </c>
      <c r="AK38" s="14">
        <f t="shared" si="35"/>
        <v>26.84072316435665</v>
      </c>
      <c r="AL38" s="22">
        <f t="shared" si="4"/>
        <v>220.02792534458783</v>
      </c>
      <c r="AM38" s="62">
        <f t="shared" si="5"/>
        <v>513.36125867792111</v>
      </c>
      <c r="AN38" s="62">
        <f ca="1">AVERAGE(OFFSET($AM$3,0,0,'Données projet'!$E$10+1,1))-AVERAGE(OFFSET($H$3,0,0,'Données projet'!$E$10+1,1))</f>
        <v>289.12367833861299</v>
      </c>
      <c r="AO38" s="62">
        <f t="shared" si="36"/>
        <v>229.06617320689003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0.73306380103351032</v>
      </c>
      <c r="AX38" s="23">
        <f t="shared" si="6"/>
        <v>0.73306380103351032</v>
      </c>
      <c r="AY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116</v>
      </c>
      <c r="BB38" s="13">
        <f>VLOOKUP(A38,'Données projet'!$A$87:$I$107,9,0)</f>
        <v>8</v>
      </c>
      <c r="BC38" s="13">
        <f t="array" ref="BC38">INDEX(BB:BB,MIN(IF(ISNUMBER(BB38:BB234),ROW(BB38:BB234),"")))</f>
        <v>8</v>
      </c>
      <c r="BD38" s="13">
        <f>IF('Données projet'!$A$88&gt;35,BD37+BC38-BL37,IF(A38&lt;'Données projet'!$A$88,$BA$205^A38,IF(A38='Données projet'!$A$88,'Données projet'!$B$88,BD37+BC38-BL37)))</f>
        <v>116</v>
      </c>
      <c r="BE38" s="14">
        <f>BD38*VLOOKUP('Données projet'!$B$11,Paramètres!$A$1:$I$89,3,0)*VLOOKUP('Données projet'!$B$11,Paramètres!$A$1:$I$89,5,0)</f>
        <v>104.9568</v>
      </c>
      <c r="BF38" s="14">
        <f t="shared" si="37"/>
        <v>28.139541339232373</v>
      </c>
      <c r="BG38" s="22">
        <f t="shared" si="7"/>
        <v>231.8094611658297</v>
      </c>
      <c r="BH38" s="62">
        <f t="shared" si="8"/>
        <v>525.14279449916307</v>
      </c>
      <c r="BI38" s="62">
        <f ca="1">AVERAGE(OFFSET($BH$3,0,0,'Données projet'!$E$11+1,1))-AVERAGE(OFFSET($H$3,0,0,'Données projet'!$E$11+1,1))</f>
        <v>428.8489304403459</v>
      </c>
      <c r="BJ38" s="62">
        <f t="shared" si="38"/>
        <v>247.01165577562966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172</v>
      </c>
      <c r="BW38" s="13">
        <f>VLOOKUP(A38,'Données projet'!$A$113:$I$133,9,0)</f>
        <v>10.6</v>
      </c>
      <c r="BX38" s="13">
        <f t="array" ref="BX38">INDEX(BW:BW,MIN(IF(ISNUMBER(BW38:BW234),ROW(BW38:BW234),"")))</f>
        <v>10.6</v>
      </c>
      <c r="BY38" s="13">
        <f>IF('Données projet'!$A$114&gt;35,BY37+BX38-CG37,IF(A38&lt;'Données projet'!$A$114,$BV$205^A38,IF(A38='Données projet'!$A$114,'Données projet'!$B$114,BY37+BX38-CG37)))</f>
        <v>171.99999999999991</v>
      </c>
      <c r="BZ38" s="14">
        <f>BY38*VLOOKUP('Données projet'!$B$12,Paramètres!$A$1:$I$89,3,0)*VLOOKUP('Données projet'!$B$12,Paramètres!$A$1:$I$89,5,0)</f>
        <v>126.11039999999994</v>
      </c>
      <c r="CA38" s="14">
        <f t="shared" si="39"/>
        <v>33.096004194977844</v>
      </c>
      <c r="CB38" s="22">
        <f t="shared" si="10"/>
        <v>277.28448730625297</v>
      </c>
      <c r="CC38" s="62">
        <f t="shared" si="11"/>
        <v>570.61782063958628</v>
      </c>
      <c r="CD38" s="62">
        <f ca="1">AVERAGE(OFFSET($CC$3,0,0,'Données projet'!$E$12+1,1))-AVERAGE(OFFSET($H$3,0,0,'Données projet'!$E$12+1,1))</f>
        <v>290.85271051443431</v>
      </c>
      <c r="CE38" s="62">
        <f t="shared" si="40"/>
        <v>318.66958823451142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11.5</v>
      </c>
      <c r="CT38" s="13">
        <f>IF('Données projet'!$A$140&gt;35,CT37+CS38-DB37,IF(A38&lt;'Données projet'!$A$140,$CQ$205^A38,IF(A38='Données projet'!$A$140,'Données projet'!$B$140,CT37+CS38-DB37)))</f>
        <v>164.99999999999997</v>
      </c>
      <c r="CU38" s="18">
        <f>CT38*VLOOKUP('Données projet'!$B$13,Paramètres!$A$1:$I$89,3,0)*VLOOKUP('Données projet'!$B$13,Paramètres!$A$1:$I$89,5,0)</f>
        <v>128.69999999999999</v>
      </c>
      <c r="CV38" s="14">
        <f t="shared" si="41"/>
        <v>33.695792019186115</v>
      </c>
      <c r="CW38" s="22">
        <f t="shared" si="13"/>
        <v>282.83933776674911</v>
      </c>
      <c r="CX38" s="62">
        <f t="shared" si="14"/>
        <v>576.17267110008243</v>
      </c>
      <c r="CY38" s="62">
        <f ca="1">AVERAGE(OFFSET($CX$3,0,0,'Données projet'!$E$13+1,1))-AVERAGE(OFFSET($H$3,0,0,'Données projet'!$E$13+1,1))</f>
        <v>292.57482726862594</v>
      </c>
      <c r="CZ38" s="62">
        <f t="shared" si="42"/>
        <v>283.48738729114024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172</v>
      </c>
      <c r="DM38" s="13">
        <f>VLOOKUP(A38,'Données projet'!$A$165:$I$185,9,0)</f>
        <v>10.6</v>
      </c>
      <c r="DN38" s="13">
        <f t="array" ref="DN38">INDEX(DM:DM,MIN(IF(ISNUMBER(DM38:DM234),ROW(DM38:DM234),"")))</f>
        <v>10.6</v>
      </c>
      <c r="DO38" s="13">
        <f>IF('Données projet'!$A$166&gt;35,DO37+DN38-DW37,IF(A38&lt;'Données projet'!$A$166,$DL$205^A38,IF(A38='Données projet'!$A$166,'Données projet'!$B$166,DO37+DN38-DW37)))</f>
        <v>171.99999999999991</v>
      </c>
      <c r="DP38" s="18">
        <f>DO38*VLOOKUP('Données projet'!$B$14,Paramètres!$A$1:$I$89,3,0)*VLOOKUP('Données projet'!$B$14,Paramètres!$A$1:$I$89,5,0)</f>
        <v>136.84319999999994</v>
      </c>
      <c r="DQ38" s="14">
        <f t="shared" si="43"/>
        <v>35.572869837729613</v>
      </c>
      <c r="DR38" s="22">
        <f t="shared" si="16"/>
        <v>300.29132163404557</v>
      </c>
      <c r="DS38" s="62">
        <f t="shared" si="17"/>
        <v>593.62465496737889</v>
      </c>
      <c r="DT38" s="62">
        <f ca="1">AVERAGE(OFFSET($DS$3,0,0,'Données projet'!$E$14+1,1))-AVERAGE(OFFSET($H$3,0,0,'Données projet'!$E$14+1,1))</f>
        <v>312.53381881960331</v>
      </c>
      <c r="DU38" s="62">
        <f t="shared" si="44"/>
        <v>342.06887933351783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123.07692307692307</v>
      </c>
      <c r="EH38" s="13">
        <f>VLOOKUP(A38,'Données projet'!$A$191:$I$211,9,0)</f>
        <v>6.4102564102564088</v>
      </c>
      <c r="EI38" s="13">
        <f t="array" ref="EI38">INDEX(EH:EH,MIN(IF(ISNUMBER(EH38:EH234),ROW(EH38:EH234),"")))</f>
        <v>6.4102564102564088</v>
      </c>
      <c r="EJ38" s="13">
        <f>IF('Données projet'!$A$192&gt;35,EJ37+EI38-ER37,IF(A38&lt;'Données projet'!$A$192,$EG$205^A38,IF(A38='Données projet'!$A$192,'Données projet'!$B$192,EJ37+EI38-ER37)))</f>
        <v>123.07692307692307</v>
      </c>
      <c r="EK38" s="18">
        <f>EJ38*VLOOKUP('Données projet'!$B$15,Paramètres!$A$1:$I$89,3,0)*VLOOKUP('Données projet'!$B$15,Paramètres!$A$1:$I$89,5,0)</f>
        <v>117.11999999999999</v>
      </c>
      <c r="EL38" s="14">
        <f t="shared" si="45"/>
        <v>31.002339853075508</v>
      </c>
      <c r="EM38" s="22">
        <f t="shared" si="19"/>
        <v>257.97974191077316</v>
      </c>
      <c r="EN38" s="62">
        <f t="shared" si="20"/>
        <v>551.31307524410647</v>
      </c>
      <c r="EO38" s="62">
        <f ca="1">AVERAGE(OFFSET($EN$3,0,0,'Données projet'!$E$15+1,1))-AVERAGE(OFFSET($H$3,0,0,'Données projet'!$E$15+1,1))</f>
        <v>363.37916970915211</v>
      </c>
      <c r="EP38" s="62">
        <f t="shared" si="46"/>
        <v>281.52963027844595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147.89230769230767</v>
      </c>
      <c r="FC38" s="13">
        <f>VLOOKUP(A38,'Données projet'!$A$217:$I$237,9,0)</f>
        <v>8.9230769230769198</v>
      </c>
      <c r="FD38" s="13">
        <f t="array" ref="FD38">INDEX(FC:FC,MIN(IF(ISNUMBER(FC38:FC234),ROW(FC38:FC234),"")))</f>
        <v>8.9230769230769198</v>
      </c>
      <c r="FE38" s="13">
        <f>IF('Données projet'!$A$218&gt;35,FE37+FD38-FM37,IF(A38&lt;'Données projet'!$A$218,$FB$205^A38,IF(A38='Données projet'!$A$218,'Données projet'!$B$218,FE37+FD38-FM37)))</f>
        <v>147.89230769230767</v>
      </c>
      <c r="FF38" s="18">
        <f>FE38*VLOOKUP('Données projet'!$B$16,Paramètres!$A$1:$I$89,3,0)*VLOOKUP('Données projet'!$B$16,Paramètres!$A$1:$I$89,5,0)</f>
        <v>69.213599999999985</v>
      </c>
      <c r="FG38" s="14">
        <f t="shared" si="47"/>
        <v>19.478038510077166</v>
      </c>
      <c r="FH38" s="22">
        <f t="shared" si="22"/>
        <v>154.47127040505103</v>
      </c>
      <c r="FI38" s="62">
        <f t="shared" si="23"/>
        <v>447.80460373838434</v>
      </c>
      <c r="FJ38" s="62">
        <f ca="1">AVERAGE(OFFSET($FI$3,0,0,'Données projet'!$E$16+1,1))-AVERAGE(OFFSET($H$3,0,0,'Données projet'!$E$16+1,1))</f>
        <v>245.47494516762282</v>
      </c>
      <c r="FK38" s="62">
        <f t="shared" si="48"/>
        <v>145.54897745089966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116</v>
      </c>
      <c r="FX38" s="13">
        <f>VLOOKUP(A38,'Données projet'!$A$243:$I$263,9,0)</f>
        <v>8</v>
      </c>
      <c r="FY38" s="13">
        <f t="array" ref="FY38">INDEX(FX:FX,MIN(IF(ISNUMBER(FX38:FX234),ROW(FX38:FX234),"")))</f>
        <v>8</v>
      </c>
      <c r="FZ38" s="13">
        <f>IF('Données projet'!$A$244&gt;35,FZ37+FY38-GH37,IF(A38&lt;'Données projet'!$A$244,$FW$205^A38,IF(A38='Données projet'!$A$244,'Données projet'!$B$244,FZ37+FY38-GH37)))</f>
        <v>116</v>
      </c>
      <c r="GA38" s="18">
        <f>FZ38*VLOOKUP('Données projet'!$B$17,Paramètres!$A$1:$I$89,3,0)*VLOOKUP('Données projet'!$B$17,Paramètres!$A$1:$I$89,5,0)</f>
        <v>112.1952</v>
      </c>
      <c r="GB38" s="14">
        <f t="shared" si="49"/>
        <v>29.847594514573263</v>
      </c>
      <c r="GC38" s="22">
        <f t="shared" si="25"/>
        <v>247.39120044621509</v>
      </c>
      <c r="GD38" s="62">
        <f t="shared" si="26"/>
        <v>540.72453377954844</v>
      </c>
      <c r="GE38" s="62">
        <f ca="1">AVERAGE(OFFSET($GD$3,0,0,'Données projet'!$E$17+1,1))-AVERAGE(OFFSET($H$3,0,0,'Données projet'!$E$17+1,1))</f>
        <v>455.50822833641354</v>
      </c>
      <c r="GF38" s="62">
        <f t="shared" si="50"/>
        <v>261.14722581688039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>
        <f>VLOOKUP(A38,'Données projet'!$A$269:$I$289,2,0)</f>
        <v>155.12820512820511</v>
      </c>
      <c r="GS38" s="13">
        <f>VLOOKUP(A38,'Données projet'!$A$269:$I$289,9,0)</f>
        <v>7.6923076923076881</v>
      </c>
      <c r="GT38" s="13">
        <f t="array" ref="GT38">INDEX(GS:GS,MIN(IF(ISNUMBER(GS38:GS234),ROW(GS38:GS234),"")))</f>
        <v>7.6923076923076881</v>
      </c>
      <c r="GU38" s="13">
        <f>IF('Données projet'!$A$270&gt;35,GU37+GT38-HC37,IF(A38&lt;'Données projet'!$A$270,$GR$205^A38,IF(A38='Données projet'!$A$270,'Données projet'!$B$270,GU37+GT38-HC37)))</f>
        <v>155.12820512820514</v>
      </c>
      <c r="GV38" s="18">
        <f>GU38*VLOOKUP('Données projet'!$B$18,Paramètres!$A$1:$I$89,3,0)*VLOOKUP('Données projet'!$B$18,Paramètres!$A$1:$I$89,5,0)</f>
        <v>104.06</v>
      </c>
      <c r="GW38" s="14">
        <f t="shared" si="51"/>
        <v>27.926984861261673</v>
      </c>
      <c r="GX38" s="22">
        <f t="shared" si="28"/>
        <v>229.8773319666974</v>
      </c>
      <c r="GY38" s="62">
        <f t="shared" si="29"/>
        <v>523.21066530003077</v>
      </c>
      <c r="GZ38" s="62">
        <f ca="1">AVERAGE(OFFSET($GY$3,0,0,'Données projet'!$E$18+1,1))-AVERAGE(OFFSET($H$3,0,0,'Données projet'!$E$18+1,1))</f>
        <v>312.06797204903796</v>
      </c>
      <c r="HA38" s="62">
        <f t="shared" si="52"/>
        <v>258.20189001775151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</row>
    <row r="39" spans="1:218" s="5" customFormat="1" x14ac:dyDescent="0.25">
      <c r="A39" s="11">
        <f t="shared" si="31"/>
        <v>36</v>
      </c>
      <c r="B39" s="76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9">
        <f t="shared" si="1"/>
        <v>256.66666666666669</v>
      </c>
      <c r="I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18.229670329670324</v>
      </c>
      <c r="N39" s="14">
        <f>IF('Données projet'!$A$36&gt;35,N38+M39-V38,IF(A39&lt;'Données projet'!$A$36,$K$205^A39,IF(A39='Données projet'!$A$36,'Données projet'!$B$36,N38+M39-V38)))</f>
        <v>253.22197802197803</v>
      </c>
      <c r="O39" s="14">
        <f>N39*VLOOKUP('Données projet'!$B$9,Paramètres!$A$1:$I$89,3,0)*VLOOKUP('Données projet'!$B$9,Paramètres!$A$1:$I$89,5,0)</f>
        <v>141.55108571428573</v>
      </c>
      <c r="P39" s="14">
        <f t="shared" si="33"/>
        <v>36.652109269178766</v>
      </c>
      <c r="Q39" s="22">
        <f t="shared" si="53"/>
        <v>310.37056459620067</v>
      </c>
      <c r="R39" s="62">
        <f t="shared" si="0"/>
        <v>603.70389792953392</v>
      </c>
      <c r="S39" s="62">
        <f ca="1">AVERAGE(OFFSET($R$3,0,0,'Données projet'!$E$9+1,1))-AVERAGE(OFFSET($H$3,0,0,'Données projet'!$E$9+1,1))</f>
        <v>323.98185264074681</v>
      </c>
      <c r="T39" s="62">
        <f t="shared" si="34"/>
        <v>301.22207291854005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3.9623758528599184</v>
      </c>
      <c r="AA39" s="23">
        <f>EXP(-LN(2)/25)*AA38+(1-EXP(-LN(2)/25))/(LN(2)/25)*Calculateur!V39*Calculateur!X39*VLOOKUP('Données projet'!$B$9,Paramètres!$A$1:$I$89,3,0)*0.475*44/12</f>
        <v>6.9833623107351164</v>
      </c>
      <c r="AB39" s="23">
        <f>EXP(-LN(2)/2)*AB38+(1-EXP(-LN(2)/2))/(LN(2)/2)*V39*Y39*VLOOKUP('Données projet'!$B$9,Paramètres!$A$1:$I$89,3,0)*0.475*44/12</f>
        <v>0.76097589745225258</v>
      </c>
      <c r="AC39" s="24">
        <f t="shared" si="3"/>
        <v>11.706714061047288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12.74038461538462</v>
      </c>
      <c r="AI39" s="14">
        <f>IF('Données projet'!$A$62&gt;35,AI38+AH39-AQ38,IF(A39&lt;'Données projet'!$A$62,$AF$205^A39,IF(A39='Données projet'!$A$62,'Données projet'!$B$62,AI38+AH39-AQ38)))</f>
        <v>179.11346153846151</v>
      </c>
      <c r="AJ39" s="14">
        <f>AI39*VLOOKUP('Données projet'!$B$10,Paramètres!$A$1:$I$89,3,0)*VLOOKUP('Données projet'!$B$10,Paramètres!$A$1:$I$89,5,0)</f>
        <v>107.10984999999999</v>
      </c>
      <c r="AK39" s="14">
        <f t="shared" si="35"/>
        <v>28.648991101707331</v>
      </c>
      <c r="AL39" s="22">
        <f t="shared" si="4"/>
        <v>236.44664825214025</v>
      </c>
      <c r="AM39" s="62">
        <f t="shared" si="5"/>
        <v>529.77998158547359</v>
      </c>
      <c r="AN39" s="62">
        <f ca="1">AVERAGE(OFFSET($AM$3,0,0,'Données projet'!$E$10+1,1))-AVERAGE(OFFSET($H$3,0,0,'Données projet'!$E$10+1,1))</f>
        <v>289.12367833861299</v>
      </c>
      <c r="AO39" s="62">
        <f t="shared" si="36"/>
        <v>229.06617320689003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0.51835438475318119</v>
      </c>
      <c r="AX39" s="23">
        <f t="shared" si="6"/>
        <v>0.51835438475318119</v>
      </c>
      <c r="AY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8.4</v>
      </c>
      <c r="BD39" s="13">
        <f>IF('Données projet'!$A$88&gt;35,BD38+BC39-BL38,IF(A39&lt;'Données projet'!$A$88,$BA$205^A39,IF(A39='Données projet'!$A$88,'Données projet'!$B$88,BD38+BC39-BL38)))</f>
        <v>124.4</v>
      </c>
      <c r="BE39" s="14">
        <f>BD39*VLOOKUP('Données projet'!$B$11,Paramètres!$A$1:$I$89,3,0)*VLOOKUP('Données projet'!$B$11,Paramètres!$A$1:$I$89,5,0)</f>
        <v>112.55712000000001</v>
      </c>
      <c r="BF39" s="14">
        <f t="shared" si="37"/>
        <v>29.932653834140599</v>
      </c>
      <c r="BG39" s="22">
        <f t="shared" si="7"/>
        <v>248.16968942779488</v>
      </c>
      <c r="BH39" s="62">
        <f t="shared" si="8"/>
        <v>541.50302276112825</v>
      </c>
      <c r="BI39" s="62">
        <f ca="1">AVERAGE(OFFSET($BH$3,0,0,'Données projet'!$E$11+1,1))-AVERAGE(OFFSET($H$3,0,0,'Données projet'!$E$11+1,1))</f>
        <v>428.8489304403459</v>
      </c>
      <c r="BJ39" s="62">
        <f t="shared" si="38"/>
        <v>247.01165577562966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9.6</v>
      </c>
      <c r="BY39" s="13">
        <f>IF('Données projet'!$A$114&gt;35,BY38+BX39-CG38,IF(A39&lt;'Données projet'!$A$114,$BV$205^A39,IF(A39='Données projet'!$A$114,'Données projet'!$B$114,BY38+BX39-CG38)))</f>
        <v>181.59999999999991</v>
      </c>
      <c r="BZ39" s="14">
        <f>BY39*VLOOKUP('Données projet'!$B$12,Paramètres!$A$1:$I$89,3,0)*VLOOKUP('Données projet'!$B$12,Paramètres!$A$1:$I$89,5,0)</f>
        <v>133.14911999999993</v>
      </c>
      <c r="CA39" s="14">
        <f t="shared" si="39"/>
        <v>34.723011740352263</v>
      </c>
      <c r="CB39" s="22">
        <f t="shared" si="10"/>
        <v>292.37729611444672</v>
      </c>
      <c r="CC39" s="62">
        <f t="shared" si="11"/>
        <v>585.71062944778009</v>
      </c>
      <c r="CD39" s="62">
        <f ca="1">AVERAGE(OFFSET($CC$3,0,0,'Données projet'!$E$12+1,1))-AVERAGE(OFFSET($H$3,0,0,'Données projet'!$E$12+1,1))</f>
        <v>290.85271051443431</v>
      </c>
      <c r="CE39" s="62">
        <f t="shared" si="40"/>
        <v>318.66958823451142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11.5</v>
      </c>
      <c r="CT39" s="13">
        <f>IF('Données projet'!$A$140&gt;35,CT38+CS39-DB38,IF(A39&lt;'Données projet'!$A$140,$CQ$205^A39,IF(A39='Données projet'!$A$140,'Données projet'!$B$140,CT38+CS39-DB38)))</f>
        <v>176.49999999999997</v>
      </c>
      <c r="CU39" s="18">
        <f>CT39*VLOOKUP('Données projet'!$B$13,Paramètres!$A$1:$I$89,3,0)*VLOOKUP('Données projet'!$B$13,Paramètres!$A$1:$I$89,5,0)</f>
        <v>137.66999999999999</v>
      </c>
      <c r="CV39" s="14">
        <f t="shared" si="41"/>
        <v>35.762714965854656</v>
      </c>
      <c r="CW39" s="22">
        <f t="shared" si="13"/>
        <v>302.06197856553018</v>
      </c>
      <c r="CX39" s="62">
        <f t="shared" si="14"/>
        <v>595.3953118988635</v>
      </c>
      <c r="CY39" s="62">
        <f ca="1">AVERAGE(OFFSET($CX$3,0,0,'Données projet'!$E$13+1,1))-AVERAGE(OFFSET($H$3,0,0,'Données projet'!$E$13+1,1))</f>
        <v>292.57482726862594</v>
      </c>
      <c r="CZ39" s="62">
        <f t="shared" si="42"/>
        <v>283.48738729114024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9.6</v>
      </c>
      <c r="DO39" s="13">
        <f>IF('Données projet'!$A$166&gt;35,DO38+DN39-DW38,IF(A39&lt;'Données projet'!$A$166,$DL$205^A39,IF(A39='Données projet'!$A$166,'Données projet'!$B$166,DO38+DN39-DW38)))</f>
        <v>181.59999999999991</v>
      </c>
      <c r="DP39" s="18">
        <f>DO39*VLOOKUP('Données projet'!$B$14,Paramètres!$A$1:$I$89,3,0)*VLOOKUP('Données projet'!$B$14,Paramètres!$A$1:$I$89,5,0)</f>
        <v>144.48095999999993</v>
      </c>
      <c r="DQ39" s="14">
        <f t="shared" si="43"/>
        <v>37.321640695251794</v>
      </c>
      <c r="DR39" s="22">
        <f t="shared" si="16"/>
        <v>316.63952954423013</v>
      </c>
      <c r="DS39" s="62">
        <f t="shared" si="17"/>
        <v>609.97286287756344</v>
      </c>
      <c r="DT39" s="62">
        <f ca="1">AVERAGE(OFFSET($DS$3,0,0,'Données projet'!$E$14+1,1))-AVERAGE(OFFSET($H$3,0,0,'Données projet'!$E$14+1,1))</f>
        <v>312.53381881960331</v>
      </c>
      <c r="DU39" s="62">
        <f t="shared" si="44"/>
        <v>342.06887933351783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5.8974358974359005</v>
      </c>
      <c r="EJ39" s="13">
        <f>IF('Données projet'!$A$192&gt;35,EJ38+EI39-ER38,IF(A39&lt;'Données projet'!$A$192,$EG$205^A39,IF(A39='Données projet'!$A$192,'Données projet'!$B$192,EJ38+EI39-ER38)))</f>
        <v>128.97435897435898</v>
      </c>
      <c r="EK39" s="18">
        <f>EJ39*VLOOKUP('Données projet'!$B$15,Paramètres!$A$1:$I$89,3,0)*VLOOKUP('Données projet'!$B$15,Paramètres!$A$1:$I$89,5,0)</f>
        <v>122.73200000000001</v>
      </c>
      <c r="EL39" s="14">
        <f t="shared" si="45"/>
        <v>32.311356202721527</v>
      </c>
      <c r="EM39" s="22">
        <f t="shared" si="19"/>
        <v>270.03384538640671</v>
      </c>
      <c r="EN39" s="62">
        <f t="shared" si="20"/>
        <v>563.36717871973997</v>
      </c>
      <c r="EO39" s="62">
        <f ca="1">AVERAGE(OFFSET($EN$3,0,0,'Données projet'!$E$15+1,1))-AVERAGE(OFFSET($H$3,0,0,'Données projet'!$E$15+1,1))</f>
        <v>363.37916970915211</v>
      </c>
      <c r="EP39" s="62">
        <f t="shared" si="46"/>
        <v>281.52963027844595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9.981538461538463</v>
      </c>
      <c r="FE39" s="13">
        <f>IF('Données projet'!$A$218&gt;35,FE38+FD39-FM38,IF(A39&lt;'Données projet'!$A$218,$FB$205^A39,IF(A39='Données projet'!$A$218,'Données projet'!$B$218,FE38+FD39-FM38)))</f>
        <v>157.87384615384613</v>
      </c>
      <c r="FF39" s="18">
        <f>FE39*VLOOKUP('Données projet'!$B$16,Paramètres!$A$1:$I$89,3,0)*VLOOKUP('Données projet'!$B$16,Paramètres!$A$1:$I$89,5,0)</f>
        <v>73.884959999999992</v>
      </c>
      <c r="FG39" s="14">
        <f t="shared" si="47"/>
        <v>20.635176317181511</v>
      </c>
      <c r="FH39" s="22">
        <f t="shared" si="22"/>
        <v>164.62257075242445</v>
      </c>
      <c r="FI39" s="62">
        <f t="shared" si="23"/>
        <v>457.95590408575777</v>
      </c>
      <c r="FJ39" s="62">
        <f ca="1">AVERAGE(OFFSET($FI$3,0,0,'Données projet'!$E$16+1,1))-AVERAGE(OFFSET($H$3,0,0,'Données projet'!$E$16+1,1))</f>
        <v>245.47494516762282</v>
      </c>
      <c r="FK39" s="62">
        <f t="shared" si="48"/>
        <v>145.54897745089966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8.4</v>
      </c>
      <c r="FZ39" s="13">
        <f>IF('Données projet'!$A$244&gt;35,FZ38+FY39-GH38,IF(A39&lt;'Données projet'!$A$244,$FW$205^A39,IF(A39='Données projet'!$A$244,'Données projet'!$B$244,FZ38+FY39-GH38)))</f>
        <v>124.4</v>
      </c>
      <c r="GA39" s="18">
        <f>FZ39*VLOOKUP('Données projet'!$B$17,Paramètres!$A$1:$I$89,3,0)*VLOOKUP('Données projet'!$B$17,Paramètres!$A$1:$I$89,5,0)</f>
        <v>120.31968000000001</v>
      </c>
      <c r="GB39" s="14">
        <f t="shared" si="49"/>
        <v>31.74954785566829</v>
      </c>
      <c r="GC39" s="22">
        <f t="shared" si="25"/>
        <v>264.85390518195555</v>
      </c>
      <c r="GD39" s="62">
        <f t="shared" si="26"/>
        <v>558.18723851528887</v>
      </c>
      <c r="GE39" s="62">
        <f ca="1">AVERAGE(OFFSET($GD$3,0,0,'Données projet'!$E$17+1,1))-AVERAGE(OFFSET($H$3,0,0,'Données projet'!$E$17+1,1))</f>
        <v>455.50822833641354</v>
      </c>
      <c r="GF39" s="62">
        <f t="shared" si="50"/>
        <v>261.14722581688039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7.1794871794871824</v>
      </c>
      <c r="GU39" s="13">
        <f>IF('Données projet'!$A$270&gt;35,GU38+GT39-HC38,IF(A39&lt;'Données projet'!$A$270,$GR$205^A39,IF(A39='Données projet'!$A$270,'Données projet'!$B$270,GU38+GT39-HC38)))</f>
        <v>162.30769230769232</v>
      </c>
      <c r="GV39" s="18">
        <f>GU39*VLOOKUP('Données projet'!$B$18,Paramètres!$A$1:$I$89,3,0)*VLOOKUP('Données projet'!$B$18,Paramètres!$A$1:$I$89,5,0)</f>
        <v>108.87600000000002</v>
      </c>
      <c r="GW39" s="14">
        <f t="shared" si="51"/>
        <v>29.066003313709242</v>
      </c>
      <c r="GX39" s="22">
        <f t="shared" si="28"/>
        <v>240.24898910471029</v>
      </c>
      <c r="GY39" s="62">
        <f t="shared" si="29"/>
        <v>533.58232243804355</v>
      </c>
      <c r="GZ39" s="62">
        <f ca="1">AVERAGE(OFFSET($GY$3,0,0,'Données projet'!$E$18+1,1))-AVERAGE(OFFSET($H$3,0,0,'Données projet'!$E$18+1,1))</f>
        <v>312.06797204903796</v>
      </c>
      <c r="HA39" s="62">
        <f t="shared" si="52"/>
        <v>258.20189001775151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</row>
    <row r="40" spans="1:218" s="5" customFormat="1" x14ac:dyDescent="0.25">
      <c r="A40" s="11">
        <f t="shared" si="31"/>
        <v>37</v>
      </c>
      <c r="B40" s="76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9">
        <f t="shared" si="1"/>
        <v>256.66666666666669</v>
      </c>
      <c r="I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18.229670329670324</v>
      </c>
      <c r="N40" s="14">
        <f>IF('Données projet'!$A$36&gt;35,N39+M40-V39,IF(A40&lt;'Données projet'!$A$36,$K$205^A40,IF(A40='Données projet'!$A$36,'Données projet'!$B$36,N39+M40-V39)))</f>
        <v>271.45164835164837</v>
      </c>
      <c r="O40" s="14">
        <f>N40*VLOOKUP('Données projet'!$B$9,Paramètres!$A$1:$I$89,3,0)*VLOOKUP('Données projet'!$B$9,Paramètres!$A$1:$I$89,5,0)</f>
        <v>151.74147142857143</v>
      </c>
      <c r="P40" s="14">
        <f t="shared" si="33"/>
        <v>38.974074991810518</v>
      </c>
      <c r="Q40" s="22">
        <f t="shared" si="53"/>
        <v>332.16291001549854</v>
      </c>
      <c r="R40" s="62">
        <f t="shared" si="0"/>
        <v>625.49624334883185</v>
      </c>
      <c r="S40" s="62">
        <f ca="1">AVERAGE(OFFSET($R$3,0,0,'Données projet'!$E$9+1,1))-AVERAGE(OFFSET($H$3,0,0,'Données projet'!$E$9+1,1))</f>
        <v>323.98185264074681</v>
      </c>
      <c r="T40" s="62">
        <f t="shared" si="34"/>
        <v>301.22207291854005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3.8846760791959656</v>
      </c>
      <c r="AA40" s="23">
        <f>EXP(-LN(2)/25)*AA39+(1-EXP(-LN(2)/25))/(LN(2)/25)*Calculateur!V40*Calculateur!X40*VLOOKUP('Données projet'!$B$9,Paramètres!$A$1:$I$89,3,0)*0.475*44/12</f>
        <v>6.7924019011090015</v>
      </c>
      <c r="AB40" s="23">
        <f>EXP(-LN(2)/2)*AB39+(1-EXP(-LN(2)/2))/(LN(2)/2)*V40*Y40*VLOOKUP('Données projet'!$B$9,Paramètres!$A$1:$I$89,3,0)*0.475*44/12</f>
        <v>0.53809121740800658</v>
      </c>
      <c r="AC40" s="24">
        <f t="shared" si="3"/>
        <v>11.215169197712973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12.74038461538462</v>
      </c>
      <c r="AI40" s="14">
        <f>IF('Données projet'!$A$62&gt;35,AI39+AH40-AQ39,IF(A40&lt;'Données projet'!$A$62,$AF$205^A40,IF(A40='Données projet'!$A$62,'Données projet'!$B$62,AI39+AH40-AQ39)))</f>
        <v>191.85384615384612</v>
      </c>
      <c r="AJ40" s="14">
        <f>AI40*VLOOKUP('Données projet'!$B$10,Paramètres!$A$1:$I$89,3,0)*VLOOKUP('Données projet'!$B$10,Paramètres!$A$1:$I$89,5,0)</f>
        <v>114.72859999999999</v>
      </c>
      <c r="AK40" s="14">
        <f t="shared" si="35"/>
        <v>30.442335906087649</v>
      </c>
      <c r="AL40" s="22">
        <f t="shared" si="4"/>
        <v>252.83938003643593</v>
      </c>
      <c r="AM40" s="62">
        <f t="shared" si="5"/>
        <v>546.17271336976921</v>
      </c>
      <c r="AN40" s="62">
        <f ca="1">AVERAGE(OFFSET($AM$3,0,0,'Données projet'!$E$10+1,1))-AVERAGE(OFFSET($H$3,0,0,'Données projet'!$E$10+1,1))</f>
        <v>289.12367833861299</v>
      </c>
      <c r="AO40" s="62">
        <f t="shared" si="36"/>
        <v>229.06617320689003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0.36653190051675516</v>
      </c>
      <c r="AX40" s="23">
        <f t="shared" si="6"/>
        <v>0.36653190051675516</v>
      </c>
      <c r="AY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8.4</v>
      </c>
      <c r="BD40" s="13">
        <f>IF('Données projet'!$A$88&gt;35,BD39+BC40-BL39,IF(A40&lt;'Données projet'!$A$88,$BA$205^A40,IF(A40='Données projet'!$A$88,'Données projet'!$B$88,BD39+BC40-BL39)))</f>
        <v>132.80000000000001</v>
      </c>
      <c r="BE40" s="14">
        <f>BD40*VLOOKUP('Données projet'!$B$11,Paramètres!$A$1:$I$89,3,0)*VLOOKUP('Données projet'!$B$11,Paramètres!$A$1:$I$89,5,0)</f>
        <v>120.15744000000001</v>
      </c>
      <c r="BF40" s="14">
        <f t="shared" si="37"/>
        <v>31.711716786129845</v>
      </c>
      <c r="BG40" s="22">
        <f t="shared" si="7"/>
        <v>264.50544806917611</v>
      </c>
      <c r="BH40" s="62">
        <f t="shared" si="8"/>
        <v>557.83878140250943</v>
      </c>
      <c r="BI40" s="62">
        <f ca="1">AVERAGE(OFFSET($BH$3,0,0,'Données projet'!$E$11+1,1))-AVERAGE(OFFSET($H$3,0,0,'Données projet'!$E$11+1,1))</f>
        <v>428.8489304403459</v>
      </c>
      <c r="BJ40" s="62">
        <f t="shared" si="38"/>
        <v>247.01165577562966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9.6</v>
      </c>
      <c r="BY40" s="13">
        <f>IF('Données projet'!$A$114&gt;35,BY39+BX40-CG39,IF(A40&lt;'Données projet'!$A$114,$BV$205^A40,IF(A40='Données projet'!$A$114,'Données projet'!$B$114,BY39+BX40-CG39)))</f>
        <v>191.1999999999999</v>
      </c>
      <c r="BZ40" s="14">
        <f>BY40*VLOOKUP('Données projet'!$B$12,Paramètres!$A$1:$I$89,3,0)*VLOOKUP('Données projet'!$B$12,Paramètres!$A$1:$I$89,5,0)</f>
        <v>140.18783999999991</v>
      </c>
      <c r="CA40" s="14">
        <f t="shared" si="39"/>
        <v>36.340033642714133</v>
      </c>
      <c r="CB40" s="22">
        <f t="shared" si="10"/>
        <v>307.4527132610603</v>
      </c>
      <c r="CC40" s="62">
        <f t="shared" si="11"/>
        <v>600.78604659439361</v>
      </c>
      <c r="CD40" s="62">
        <f ca="1">AVERAGE(OFFSET($CC$3,0,0,'Données projet'!$E$12+1,1))-AVERAGE(OFFSET($H$3,0,0,'Données projet'!$E$12+1,1))</f>
        <v>290.85271051443431</v>
      </c>
      <c r="CE40" s="62">
        <f t="shared" si="40"/>
        <v>318.66958823451142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>
        <f>VLOOKUP(A40,'Données projet'!$A$139:$I$159,2,0)</f>
        <v>188</v>
      </c>
      <c r="CR40" s="13">
        <f>VLOOKUP(A40,'Données projet'!$A$139:$I$159,9,0)</f>
        <v>11.5</v>
      </c>
      <c r="CS40" s="13">
        <f t="array" ref="CS40">INDEX(CR:CR,MIN(IF(ISNUMBER(CR40:CR236),ROW(CR40:CR236),"")))</f>
        <v>11.5</v>
      </c>
      <c r="CT40" s="13">
        <f>IF('Données projet'!$A$140&gt;35,CT39+CS40-DB39,IF(A40&lt;'Données projet'!$A$140,$CQ$205^A40,IF(A40='Données projet'!$A$140,'Données projet'!$B$140,CT39+CS40-DB39)))</f>
        <v>187.99999999999997</v>
      </c>
      <c r="CU40" s="18">
        <f>CT40*VLOOKUP('Données projet'!$B$13,Paramètres!$A$1:$I$89,3,0)*VLOOKUP('Données projet'!$B$13,Paramètres!$A$1:$I$89,5,0)</f>
        <v>146.63999999999999</v>
      </c>
      <c r="CV40" s="14">
        <f t="shared" si="41"/>
        <v>37.814009712703026</v>
      </c>
      <c r="CW40" s="22">
        <f t="shared" si="13"/>
        <v>321.25740024962437</v>
      </c>
      <c r="CX40" s="62">
        <f t="shared" si="14"/>
        <v>614.59073358295768</v>
      </c>
      <c r="CY40" s="62">
        <f ca="1">AVERAGE(OFFSET($CX$3,0,0,'Données projet'!$E$13+1,1))-AVERAGE(OFFSET($H$3,0,0,'Données projet'!$E$13+1,1))</f>
        <v>292.57482726862594</v>
      </c>
      <c r="CZ40" s="62">
        <f t="shared" si="42"/>
        <v>283.48738729114024</v>
      </c>
      <c r="DA40" s="16">
        <f>IF(ISNA(VLOOKUP(A40,'Données projet'!$A$139:$I$159,3,0)),0,VLOOKUP(A40,'Données projet'!$A$139:$I$159,3,0))</f>
        <v>3</v>
      </c>
      <c r="DB40" s="16">
        <f>IF(ISNA(VLOOKUP(A40,'Données projet'!$A$139:$I$159,4,0)),0,VLOOKUP(A40,'Données projet'!$A$139:$I$159,4,0))</f>
        <v>36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9.6</v>
      </c>
      <c r="DO40" s="13">
        <f>IF('Données projet'!$A$166&gt;35,DO39+DN40-DW39,IF(A40&lt;'Données projet'!$A$166,$DL$205^A40,IF(A40='Données projet'!$A$166,'Données projet'!$B$166,DO39+DN40-DW39)))</f>
        <v>191.1999999999999</v>
      </c>
      <c r="DP40" s="18">
        <f>DO40*VLOOKUP('Données projet'!$B$14,Paramètres!$A$1:$I$89,3,0)*VLOOKUP('Données projet'!$B$14,Paramètres!$A$1:$I$89,5,0)</f>
        <v>152.11871999999994</v>
      </c>
      <c r="DQ40" s="14">
        <f t="shared" si="43"/>
        <v>39.059678596099225</v>
      </c>
      <c r="DR40" s="22">
        <f t="shared" si="16"/>
        <v>332.96904422153938</v>
      </c>
      <c r="DS40" s="62">
        <f t="shared" si="17"/>
        <v>626.30237755487269</v>
      </c>
      <c r="DT40" s="62">
        <f ca="1">AVERAGE(OFFSET($DS$3,0,0,'Données projet'!$E$14+1,1))-AVERAGE(OFFSET($H$3,0,0,'Données projet'!$E$14+1,1))</f>
        <v>312.53381881960331</v>
      </c>
      <c r="DU40" s="62">
        <f t="shared" si="44"/>
        <v>342.06887933351783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5.8974358974359005</v>
      </c>
      <c r="EJ40" s="13">
        <f>IF('Données projet'!$A$192&gt;35,EJ39+EI40-ER39,IF(A40&lt;'Données projet'!$A$192,$EG$205^A40,IF(A40='Données projet'!$A$192,'Données projet'!$B$192,EJ39+EI40-ER39)))</f>
        <v>134.87179487179489</v>
      </c>
      <c r="EK40" s="18">
        <f>EJ40*VLOOKUP('Données projet'!$B$15,Paramètres!$A$1:$I$89,3,0)*VLOOKUP('Données projet'!$B$15,Paramètres!$A$1:$I$89,5,0)</f>
        <v>128.34400000000002</v>
      </c>
      <c r="EL40" s="14">
        <f t="shared" si="45"/>
        <v>33.613421309084202</v>
      </c>
      <c r="EM40" s="22">
        <f t="shared" si="19"/>
        <v>282.07584211332164</v>
      </c>
      <c r="EN40" s="62">
        <f t="shared" si="20"/>
        <v>575.4091754466549</v>
      </c>
      <c r="EO40" s="62">
        <f ca="1">AVERAGE(OFFSET($EN$3,0,0,'Données projet'!$E$15+1,1))-AVERAGE(OFFSET($H$3,0,0,'Données projet'!$E$15+1,1))</f>
        <v>363.37916970915211</v>
      </c>
      <c r="EP40" s="62">
        <f t="shared" si="46"/>
        <v>281.52963027844595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9.981538461538463</v>
      </c>
      <c r="FE40" s="13">
        <f>IF('Données projet'!$A$218&gt;35,FE39+FD40-FM39,IF(A40&lt;'Données projet'!$A$218,$FB$205^A40,IF(A40='Données projet'!$A$218,'Données projet'!$B$218,FE39+FD40-FM39)))</f>
        <v>167.85538461538459</v>
      </c>
      <c r="FF40" s="18">
        <f>FE40*VLOOKUP('Données projet'!$B$16,Paramètres!$A$1:$I$89,3,0)*VLOOKUP('Données projet'!$B$16,Paramètres!$A$1:$I$89,5,0)</f>
        <v>78.556319999999985</v>
      </c>
      <c r="FG40" s="14">
        <f t="shared" si="47"/>
        <v>21.783823615207403</v>
      </c>
      <c r="FH40" s="22">
        <f t="shared" si="22"/>
        <v>174.75908346315285</v>
      </c>
      <c r="FI40" s="62">
        <f t="shared" si="23"/>
        <v>468.09241679648619</v>
      </c>
      <c r="FJ40" s="62">
        <f ca="1">AVERAGE(OFFSET($FI$3,0,0,'Données projet'!$E$16+1,1))-AVERAGE(OFFSET($H$3,0,0,'Données projet'!$E$16+1,1))</f>
        <v>245.47494516762282</v>
      </c>
      <c r="FK40" s="62">
        <f t="shared" si="48"/>
        <v>145.54897745089966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8.4</v>
      </c>
      <c r="FZ40" s="13">
        <f>IF('Données projet'!$A$244&gt;35,FZ39+FY40-GH39,IF(A40&lt;'Données projet'!$A$244,$FW$205^A40,IF(A40='Données projet'!$A$244,'Données projet'!$B$244,FZ39+FY40-GH39)))</f>
        <v>132.80000000000001</v>
      </c>
      <c r="GA40" s="18">
        <f>FZ40*VLOOKUP('Données projet'!$B$17,Paramètres!$A$1:$I$89,3,0)*VLOOKUP('Données projet'!$B$17,Paramètres!$A$1:$I$89,5,0)</f>
        <v>128.44416000000001</v>
      </c>
      <c r="GB40" s="14">
        <f t="shared" si="49"/>
        <v>33.636598855068925</v>
      </c>
      <c r="GC40" s="22">
        <f t="shared" si="25"/>
        <v>282.29065500591173</v>
      </c>
      <c r="GD40" s="62">
        <f t="shared" si="26"/>
        <v>575.62398833924499</v>
      </c>
      <c r="GE40" s="62">
        <f ca="1">AVERAGE(OFFSET($GD$3,0,0,'Données projet'!$E$17+1,1))-AVERAGE(OFFSET($H$3,0,0,'Données projet'!$E$17+1,1))</f>
        <v>455.50822833641354</v>
      </c>
      <c r="GF40" s="62">
        <f t="shared" si="50"/>
        <v>261.14722581688039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7.1794871794871824</v>
      </c>
      <c r="GU40" s="13">
        <f>IF('Données projet'!$A$270&gt;35,GU39+GT40-HC39,IF(A40&lt;'Données projet'!$A$270,$GR$205^A40,IF(A40='Données projet'!$A$270,'Données projet'!$B$270,GU39+GT40-HC39)))</f>
        <v>169.4871794871795</v>
      </c>
      <c r="GV40" s="18">
        <f>GU40*VLOOKUP('Données projet'!$B$18,Paramètres!$A$1:$I$89,3,0)*VLOOKUP('Données projet'!$B$18,Paramètres!$A$1:$I$89,5,0)</f>
        <v>113.69200000000001</v>
      </c>
      <c r="GW40" s="14">
        <f t="shared" si="51"/>
        <v>30.199170227619074</v>
      </c>
      <c r="GX40" s="22">
        <f t="shared" si="28"/>
        <v>250.61045481310325</v>
      </c>
      <c r="GY40" s="62">
        <f t="shared" si="29"/>
        <v>543.94378814643653</v>
      </c>
      <c r="GZ40" s="62">
        <f ca="1">AVERAGE(OFFSET($GY$3,0,0,'Données projet'!$E$18+1,1))-AVERAGE(OFFSET($H$3,0,0,'Données projet'!$E$18+1,1))</f>
        <v>312.06797204903796</v>
      </c>
      <c r="HA40" s="62">
        <f t="shared" si="52"/>
        <v>258.20189001775151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</row>
    <row r="41" spans="1:218" s="5" customFormat="1" x14ac:dyDescent="0.25">
      <c r="A41" s="11">
        <f t="shared" si="31"/>
        <v>38</v>
      </c>
      <c r="B41" s="76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9">
        <f t="shared" si="1"/>
        <v>256.66666666666669</v>
      </c>
      <c r="I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18.229670329670324</v>
      </c>
      <c r="N41" s="14">
        <f>IF('Données projet'!$A$36&gt;35,N40+M41-V40,IF(A41&lt;'Données projet'!$A$36,$K$205^A41,IF(A41='Données projet'!$A$36,'Données projet'!$B$36,N40+M41-V40)))</f>
        <v>289.68131868131871</v>
      </c>
      <c r="O41" s="14">
        <f>N41*VLOOKUP('Données projet'!$B$9,Paramètres!$A$1:$I$89,3,0)*VLOOKUP('Données projet'!$B$9,Paramètres!$A$1:$I$89,5,0)</f>
        <v>161.93185714285718</v>
      </c>
      <c r="P41" s="14">
        <f t="shared" si="33"/>
        <v>41.277946347593272</v>
      </c>
      <c r="Q41" s="22">
        <f t="shared" si="53"/>
        <v>353.92374107920119</v>
      </c>
      <c r="R41" s="62">
        <f t="shared" si="0"/>
        <v>647.25707441253451</v>
      </c>
      <c r="S41" s="62">
        <f ca="1">AVERAGE(OFFSET($R$3,0,0,'Données projet'!$E$9+1,1))-AVERAGE(OFFSET($H$3,0,0,'Données projet'!$E$9+1,1))</f>
        <v>323.98185264074681</v>
      </c>
      <c r="T41" s="62">
        <f t="shared" si="34"/>
        <v>301.22207291854005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3.8084999507013806</v>
      </c>
      <c r="AA41" s="23">
        <f>EXP(-LN(2)/25)*AA40+(1-EXP(-LN(2)/25))/(LN(2)/25)*Calculateur!V41*Calculateur!X41*VLOOKUP('Données projet'!$B$9,Paramètres!$A$1:$I$89,3,0)*0.475*44/12</f>
        <v>6.6066633139262843</v>
      </c>
      <c r="AB41" s="23">
        <f>EXP(-LN(2)/2)*AB40+(1-EXP(-LN(2)/2))/(LN(2)/2)*V41*Y41*VLOOKUP('Données projet'!$B$9,Paramètres!$A$1:$I$89,3,0)*0.475*44/12</f>
        <v>0.38048794872612629</v>
      </c>
      <c r="AC41" s="24">
        <f t="shared" si="3"/>
        <v>10.795651213353791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12.74038461538462</v>
      </c>
      <c r="AI41" s="14">
        <f>IF('Données projet'!$A$62&gt;35,AI40+AH41-AQ40,IF(A41&lt;'Données projet'!$A$62,$AF$205^A41,IF(A41='Données projet'!$A$62,'Données projet'!$B$62,AI40+AH41-AQ40)))</f>
        <v>204.59423076923073</v>
      </c>
      <c r="AJ41" s="14">
        <f>AI41*VLOOKUP('Données projet'!$B$10,Paramètres!$A$1:$I$89,3,0)*VLOOKUP('Données projet'!$B$10,Paramètres!$A$1:$I$89,5,0)</f>
        <v>122.34734999999998</v>
      </c>
      <c r="AK41" s="14">
        <f t="shared" si="35"/>
        <v>32.221861336884515</v>
      </c>
      <c r="AL41" s="22">
        <f t="shared" si="4"/>
        <v>269.20804307840717</v>
      </c>
      <c r="AM41" s="62">
        <f t="shared" si="5"/>
        <v>562.54137641174043</v>
      </c>
      <c r="AN41" s="62">
        <f ca="1">AVERAGE(OFFSET($AM$3,0,0,'Données projet'!$E$10+1,1))-AVERAGE(OFFSET($H$3,0,0,'Données projet'!$E$10+1,1))</f>
        <v>289.12367833861299</v>
      </c>
      <c r="AO41" s="62">
        <f t="shared" si="36"/>
        <v>229.06617320689003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0.25917719237659059</v>
      </c>
      <c r="AX41" s="23">
        <f t="shared" si="6"/>
        <v>0.25917719237659059</v>
      </c>
      <c r="AY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8.4</v>
      </c>
      <c r="BD41" s="13">
        <f>IF('Données projet'!$A$88&gt;35,BD40+BC41-BL40,IF(A41&lt;'Données projet'!$A$88,$BA$205^A41,IF(A41='Données projet'!$A$88,'Données projet'!$B$88,BD40+BC41-BL40)))</f>
        <v>141.20000000000002</v>
      </c>
      <c r="BE41" s="14">
        <f>BD41*VLOOKUP('Données projet'!$B$11,Paramètres!$A$1:$I$89,3,0)*VLOOKUP('Données projet'!$B$11,Paramètres!$A$1:$I$89,5,0)</f>
        <v>127.75776</v>
      </c>
      <c r="BF41" s="14">
        <f t="shared" si="37"/>
        <v>33.477720030956604</v>
      </c>
      <c r="BG41" s="22">
        <f t="shared" si="7"/>
        <v>280.81846105391611</v>
      </c>
      <c r="BH41" s="62">
        <f t="shared" si="8"/>
        <v>574.15179438724942</v>
      </c>
      <c r="BI41" s="62">
        <f ca="1">AVERAGE(OFFSET($BH$3,0,0,'Données projet'!$E$11+1,1))-AVERAGE(OFFSET($H$3,0,0,'Données projet'!$E$11+1,1))</f>
        <v>428.8489304403459</v>
      </c>
      <c r="BJ41" s="62">
        <f t="shared" si="38"/>
        <v>247.01165577562966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9.6</v>
      </c>
      <c r="BY41" s="13">
        <f>IF('Données projet'!$A$114&gt;35,BY40+BX41-CG40,IF(A41&lt;'Données projet'!$A$114,$BV$205^A41,IF(A41='Données projet'!$A$114,'Données projet'!$B$114,BY40+BX41-CG40)))</f>
        <v>200.7999999999999</v>
      </c>
      <c r="BZ41" s="14">
        <f>BY41*VLOOKUP('Données projet'!$B$12,Paramètres!$A$1:$I$89,3,0)*VLOOKUP('Données projet'!$B$12,Paramètres!$A$1:$I$89,5,0)</f>
        <v>147.22655999999992</v>
      </c>
      <c r="CA41" s="14">
        <f t="shared" si="39"/>
        <v>37.947628481165793</v>
      </c>
      <c r="CB41" s="22">
        <f t="shared" si="10"/>
        <v>322.51171160469693</v>
      </c>
      <c r="CC41" s="62">
        <f t="shared" si="11"/>
        <v>615.84504493803024</v>
      </c>
      <c r="CD41" s="62">
        <f ca="1">AVERAGE(OFFSET($CC$3,0,0,'Données projet'!$E$12+1,1))-AVERAGE(OFFSET($H$3,0,0,'Données projet'!$E$12+1,1))</f>
        <v>290.85271051443431</v>
      </c>
      <c r="CE41" s="62">
        <f t="shared" si="40"/>
        <v>318.66958823451142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11.142857142857142</v>
      </c>
      <c r="CT41" s="13">
        <f>IF('Données projet'!$A$140&gt;35,CT40+CS41-DB40,IF(A41&lt;'Données projet'!$A$140,$CQ$205^A41,IF(A41='Données projet'!$A$140,'Données projet'!$B$140,CT40+CS41-DB40)))</f>
        <v>163.14285714285711</v>
      </c>
      <c r="CU41" s="18">
        <f>CT41*VLOOKUP('Données projet'!$B$13,Paramètres!$A$1:$I$89,3,0)*VLOOKUP('Données projet'!$B$13,Paramètres!$A$1:$I$89,5,0)</f>
        <v>127.25142857142855</v>
      </c>
      <c r="CV41" s="14">
        <f t="shared" si="41"/>
        <v>33.360457439554281</v>
      </c>
      <c r="CW41" s="22">
        <f t="shared" si="13"/>
        <v>279.73236813579507</v>
      </c>
      <c r="CX41" s="62">
        <f t="shared" si="14"/>
        <v>573.06570146912838</v>
      </c>
      <c r="CY41" s="62">
        <f ca="1">AVERAGE(OFFSET($CX$3,0,0,'Données projet'!$E$13+1,1))-AVERAGE(OFFSET($H$3,0,0,'Données projet'!$E$13+1,1))</f>
        <v>292.57482726862594</v>
      </c>
      <c r="CZ41" s="62">
        <f t="shared" si="42"/>
        <v>283.48738729114024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9.6</v>
      </c>
      <c r="DO41" s="13">
        <f>IF('Données projet'!$A$166&gt;35,DO40+DN41-DW40,IF(A41&lt;'Données projet'!$A$166,$DL$205^A41,IF(A41='Données projet'!$A$166,'Données projet'!$B$166,DO40+DN41-DW40)))</f>
        <v>200.7999999999999</v>
      </c>
      <c r="DP41" s="18">
        <f>DO41*VLOOKUP('Données projet'!$B$14,Paramètres!$A$1:$I$89,3,0)*VLOOKUP('Données projet'!$B$14,Paramètres!$A$1:$I$89,5,0)</f>
        <v>159.75647999999993</v>
      </c>
      <c r="DQ41" s="14">
        <f t="shared" si="43"/>
        <v>40.787583922770757</v>
      </c>
      <c r="DR41" s="22">
        <f t="shared" si="16"/>
        <v>349.28091133215889</v>
      </c>
      <c r="DS41" s="62">
        <f t="shared" si="17"/>
        <v>642.61424466549215</v>
      </c>
      <c r="DT41" s="62">
        <f ca="1">AVERAGE(OFFSET($DS$3,0,0,'Données projet'!$E$14+1,1))-AVERAGE(OFFSET($H$3,0,0,'Données projet'!$E$14+1,1))</f>
        <v>312.53381881960331</v>
      </c>
      <c r="DU41" s="62">
        <f t="shared" si="44"/>
        <v>342.06887933351783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5.8974358974359005</v>
      </c>
      <c r="EJ41" s="13">
        <f>IF('Données projet'!$A$192&gt;35,EJ40+EI41-ER40,IF(A41&lt;'Données projet'!$A$192,$EG$205^A41,IF(A41='Données projet'!$A$192,'Données projet'!$B$192,EJ40+EI41-ER40)))</f>
        <v>140.7692307692308</v>
      </c>
      <c r="EK41" s="18">
        <f>EJ41*VLOOKUP('Données projet'!$B$15,Paramètres!$A$1:$I$89,3,0)*VLOOKUP('Données projet'!$B$15,Paramètres!$A$1:$I$89,5,0)</f>
        <v>133.95600000000002</v>
      </c>
      <c r="EL41" s="14">
        <f t="shared" si="45"/>
        <v>34.908873862106219</v>
      </c>
      <c r="EM41" s="22">
        <f t="shared" si="19"/>
        <v>294.10632197650165</v>
      </c>
      <c r="EN41" s="62">
        <f t="shared" si="20"/>
        <v>587.43965530983496</v>
      </c>
      <c r="EO41" s="62">
        <f ca="1">AVERAGE(OFFSET($EN$3,0,0,'Données projet'!$E$15+1,1))-AVERAGE(OFFSET($H$3,0,0,'Données projet'!$E$15+1,1))</f>
        <v>363.37916970915211</v>
      </c>
      <c r="EP41" s="62">
        <f t="shared" si="46"/>
        <v>281.52963027844595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9.981538461538463</v>
      </c>
      <c r="FE41" s="13">
        <f>IF('Données projet'!$A$218&gt;35,FE40+FD41-FM40,IF(A41&lt;'Données projet'!$A$218,$FB$205^A41,IF(A41='Données projet'!$A$218,'Données projet'!$B$218,FE40+FD41-FM40)))</f>
        <v>177.83692307692306</v>
      </c>
      <c r="FF41" s="18">
        <f>FE41*VLOOKUP('Données projet'!$B$16,Paramètres!$A$1:$I$89,3,0)*VLOOKUP('Données projet'!$B$16,Paramètres!$A$1:$I$89,5,0)</f>
        <v>83.227679999999978</v>
      </c>
      <c r="FG41" s="14">
        <f t="shared" si="47"/>
        <v>22.924542798244513</v>
      </c>
      <c r="FH41" s="22">
        <f t="shared" si="22"/>
        <v>184.88178804027584</v>
      </c>
      <c r="FI41" s="62">
        <f t="shared" si="23"/>
        <v>478.21512137360912</v>
      </c>
      <c r="FJ41" s="62">
        <f ca="1">AVERAGE(OFFSET($FI$3,0,0,'Données projet'!$E$16+1,1))-AVERAGE(OFFSET($H$3,0,0,'Données projet'!$E$16+1,1))</f>
        <v>245.47494516762282</v>
      </c>
      <c r="FK41" s="62">
        <f t="shared" si="48"/>
        <v>145.54897745089966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8.4</v>
      </c>
      <c r="FZ41" s="13">
        <f>IF('Données projet'!$A$244&gt;35,FZ40+FY41-GH40,IF(A41&lt;'Données projet'!$A$244,$FW$205^A41,IF(A41='Données projet'!$A$244,'Données projet'!$B$244,FZ40+FY41-GH40)))</f>
        <v>141.20000000000002</v>
      </c>
      <c r="GA41" s="18">
        <f>FZ41*VLOOKUP('Données projet'!$B$17,Paramètres!$A$1:$I$89,3,0)*VLOOKUP('Données projet'!$B$17,Paramètres!$A$1:$I$89,5,0)</f>
        <v>136.56864000000002</v>
      </c>
      <c r="GB41" s="14">
        <f t="shared" si="49"/>
        <v>35.509797430964703</v>
      </c>
      <c r="GC41" s="22">
        <f t="shared" si="25"/>
        <v>299.70327852559689</v>
      </c>
      <c r="GD41" s="62">
        <f t="shared" si="26"/>
        <v>593.0366118589302</v>
      </c>
      <c r="GE41" s="62">
        <f ca="1">AVERAGE(OFFSET($GD$3,0,0,'Données projet'!$E$17+1,1))-AVERAGE(OFFSET($H$3,0,0,'Données projet'!$E$17+1,1))</f>
        <v>455.50822833641354</v>
      </c>
      <c r="GF41" s="62">
        <f t="shared" si="50"/>
        <v>261.14722581688039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7.1794871794871824</v>
      </c>
      <c r="GU41" s="13">
        <f>IF('Données projet'!$A$270&gt;35,GU40+GT41-HC40,IF(A41&lt;'Données projet'!$A$270,$GR$205^A41,IF(A41='Données projet'!$A$270,'Données projet'!$B$270,GU40+GT41-HC40)))</f>
        <v>176.66666666666669</v>
      </c>
      <c r="GV41" s="18">
        <f>GU41*VLOOKUP('Données projet'!$B$18,Paramètres!$A$1:$I$89,3,0)*VLOOKUP('Données projet'!$B$18,Paramètres!$A$1:$I$89,5,0)</f>
        <v>118.50800000000001</v>
      </c>
      <c r="GW41" s="14">
        <f t="shared" si="51"/>
        <v>31.326761814194999</v>
      </c>
      <c r="GX41" s="22">
        <f t="shared" si="28"/>
        <v>260.96221015972299</v>
      </c>
      <c r="GY41" s="62">
        <f t="shared" si="29"/>
        <v>554.29554349305636</v>
      </c>
      <c r="GZ41" s="62">
        <f ca="1">AVERAGE(OFFSET($GY$3,0,0,'Données projet'!$E$18+1,1))-AVERAGE(OFFSET($H$3,0,0,'Données projet'!$E$18+1,1))</f>
        <v>312.06797204903796</v>
      </c>
      <c r="HA41" s="62">
        <f t="shared" si="52"/>
        <v>258.20189001775151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</row>
    <row r="42" spans="1:218" s="5" customFormat="1" x14ac:dyDescent="0.25">
      <c r="A42" s="11">
        <f t="shared" si="31"/>
        <v>39</v>
      </c>
      <c r="B42" s="76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9">
        <f t="shared" si="1"/>
        <v>256.66666666666669</v>
      </c>
      <c r="I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18.229670329670324</v>
      </c>
      <c r="N42" s="14">
        <f>IF('Données projet'!$A$36&gt;35,N41+M42-V41,IF(A42&lt;'Données projet'!$A$36,$K$205^A42,IF(A42='Données projet'!$A$36,'Données projet'!$B$36,N41+M42-V41)))</f>
        <v>307.91098901098906</v>
      </c>
      <c r="O42" s="14">
        <f>N42*VLOOKUP('Données projet'!$B$9,Paramètres!$A$1:$I$89,3,0)*VLOOKUP('Données projet'!$B$9,Paramètres!$A$1:$I$89,5,0)</f>
        <v>172.12224285714288</v>
      </c>
      <c r="P42" s="14">
        <f t="shared" si="33"/>
        <v>43.564991640658711</v>
      </c>
      <c r="Q42" s="22">
        <f t="shared" si="53"/>
        <v>375.65526675033772</v>
      </c>
      <c r="R42" s="62">
        <f t="shared" si="0"/>
        <v>668.98860008367103</v>
      </c>
      <c r="S42" s="62">
        <f ca="1">AVERAGE(OFFSET($R$3,0,0,'Données projet'!$E$9+1,1))-AVERAGE(OFFSET($H$3,0,0,'Données projet'!$E$9+1,1))</f>
        <v>323.98185264074681</v>
      </c>
      <c r="T42" s="62">
        <f t="shared" si="34"/>
        <v>301.22207291854005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3.7338175896237238</v>
      </c>
      <c r="AA42" s="23">
        <f>EXP(-LN(2)/25)*AA41+(1-EXP(-LN(2)/25))/(LN(2)/25)*Calculateur!V42*Calculateur!X42*VLOOKUP('Données projet'!$B$9,Paramètres!$A$1:$I$89,3,0)*0.475*44/12</f>
        <v>6.4260037581776457</v>
      </c>
      <c r="AB42" s="23">
        <f>EXP(-LN(2)/2)*AB41+(1-EXP(-LN(2)/2))/(LN(2)/2)*V42*Y42*VLOOKUP('Données projet'!$B$9,Paramètres!$A$1:$I$89,3,0)*0.475*44/12</f>
        <v>0.26904560870400329</v>
      </c>
      <c r="AC42" s="24">
        <f t="shared" si="3"/>
        <v>10.428866956505372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12.74038461538462</v>
      </c>
      <c r="AI42" s="14">
        <f>IF('Données projet'!$A$62&gt;35,AI41+AH42-AQ41,IF(A42&lt;'Données projet'!$A$62,$AF$205^A42,IF(A42='Données projet'!$A$62,'Données projet'!$B$62,AI41+AH42-AQ41)))</f>
        <v>217.33461538461535</v>
      </c>
      <c r="AJ42" s="14">
        <f>AI42*VLOOKUP('Données projet'!$B$10,Paramètres!$A$1:$I$89,3,0)*VLOOKUP('Données projet'!$B$10,Paramètres!$A$1:$I$89,5,0)</f>
        <v>129.96609999999998</v>
      </c>
      <c r="AK42" s="14">
        <f t="shared" si="35"/>
        <v>33.988525918782614</v>
      </c>
      <c r="AL42" s="22">
        <f t="shared" si="4"/>
        <v>285.5543068085463</v>
      </c>
      <c r="AM42" s="62">
        <f t="shared" si="5"/>
        <v>578.88764014187961</v>
      </c>
      <c r="AN42" s="62">
        <f ca="1">AVERAGE(OFFSET($AM$3,0,0,'Données projet'!$E$10+1,1))-AVERAGE(OFFSET($H$3,0,0,'Données projet'!$E$10+1,1))</f>
        <v>289.12367833861299</v>
      </c>
      <c r="AO42" s="62">
        <f t="shared" si="36"/>
        <v>229.06617320689003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0.18326595025837758</v>
      </c>
      <c r="AX42" s="23">
        <f t="shared" si="6"/>
        <v>0.18326595025837758</v>
      </c>
      <c r="AY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8.4</v>
      </c>
      <c r="BD42" s="13">
        <f>IF('Données projet'!$A$88&gt;35,BD41+BC42-BL41,IF(A42&lt;'Données projet'!$A$88,$BA$205^A42,IF(A42='Données projet'!$A$88,'Données projet'!$B$88,BD41+BC42-BL41)))</f>
        <v>149.60000000000002</v>
      </c>
      <c r="BE42" s="14">
        <f>BD42*VLOOKUP('Données projet'!$B$11,Paramètres!$A$1:$I$89,3,0)*VLOOKUP('Données projet'!$B$11,Paramètres!$A$1:$I$89,5,0)</f>
        <v>135.35808</v>
      </c>
      <c r="BF42" s="14">
        <f t="shared" si="37"/>
        <v>35.231528980112834</v>
      </c>
      <c r="BG42" s="22">
        <f t="shared" si="7"/>
        <v>297.11023564036316</v>
      </c>
      <c r="BH42" s="62">
        <f t="shared" si="8"/>
        <v>590.44356897369653</v>
      </c>
      <c r="BI42" s="62">
        <f ca="1">AVERAGE(OFFSET($BH$3,0,0,'Données projet'!$E$11+1,1))-AVERAGE(OFFSET($H$3,0,0,'Données projet'!$E$11+1,1))</f>
        <v>428.8489304403459</v>
      </c>
      <c r="BJ42" s="62">
        <f t="shared" si="38"/>
        <v>247.01165577562966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9.6</v>
      </c>
      <c r="BY42" s="13">
        <f>IF('Données projet'!$A$114&gt;35,BY41+BX42-CG41,IF(A42&lt;'Données projet'!$A$114,$BV$205^A42,IF(A42='Données projet'!$A$114,'Données projet'!$B$114,BY41+BX42-CG41)))</f>
        <v>210.39999999999989</v>
      </c>
      <c r="BZ42" s="14">
        <f>BY42*VLOOKUP('Données projet'!$B$12,Paramètres!$A$1:$I$89,3,0)*VLOOKUP('Données projet'!$B$12,Paramètres!$A$1:$I$89,5,0)</f>
        <v>154.26527999999993</v>
      </c>
      <c r="CA42" s="14">
        <f t="shared" si="39"/>
        <v>39.546298406974444</v>
      </c>
      <c r="CB42" s="22">
        <f t="shared" si="10"/>
        <v>337.55516572548032</v>
      </c>
      <c r="CC42" s="62">
        <f t="shared" si="11"/>
        <v>630.88849905881364</v>
      </c>
      <c r="CD42" s="62">
        <f ca="1">AVERAGE(OFFSET($CC$3,0,0,'Données projet'!$E$12+1,1))-AVERAGE(OFFSET($H$3,0,0,'Données projet'!$E$12+1,1))</f>
        <v>290.85271051443431</v>
      </c>
      <c r="CE42" s="62">
        <f t="shared" si="40"/>
        <v>318.66958823451142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11.142857142857142</v>
      </c>
      <c r="CT42" s="13">
        <f>IF('Données projet'!$A$140&gt;35,CT41+CS42-DB41,IF(A42&lt;'Données projet'!$A$140,$CQ$205^A42,IF(A42='Données projet'!$A$140,'Données projet'!$B$140,CT41+CS42-DB41)))</f>
        <v>174.28571428571425</v>
      </c>
      <c r="CU42" s="18">
        <f>CT42*VLOOKUP('Données projet'!$B$13,Paramètres!$A$1:$I$89,3,0)*VLOOKUP('Données projet'!$B$13,Paramètres!$A$1:$I$89,5,0)</f>
        <v>135.94285714285712</v>
      </c>
      <c r="CV42" s="14">
        <f t="shared" si="41"/>
        <v>35.365986273808367</v>
      </c>
      <c r="CW42" s="22">
        <f t="shared" si="13"/>
        <v>298.36290228402572</v>
      </c>
      <c r="CX42" s="62">
        <f t="shared" si="14"/>
        <v>591.69623561735898</v>
      </c>
      <c r="CY42" s="62">
        <f ca="1">AVERAGE(OFFSET($CX$3,0,0,'Données projet'!$E$13+1,1))-AVERAGE(OFFSET($H$3,0,0,'Données projet'!$E$13+1,1))</f>
        <v>292.57482726862594</v>
      </c>
      <c r="CZ42" s="62">
        <f t="shared" si="42"/>
        <v>283.48738729114024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9.6</v>
      </c>
      <c r="DO42" s="13">
        <f>IF('Données projet'!$A$166&gt;35,DO41+DN42-DW41,IF(A42&lt;'Données projet'!$A$166,$DL$205^A42,IF(A42='Données projet'!$A$166,'Données projet'!$B$166,DO41+DN42-DW41)))</f>
        <v>210.39999999999989</v>
      </c>
      <c r="DP42" s="18">
        <f>DO42*VLOOKUP('Données projet'!$B$14,Paramètres!$A$1:$I$89,3,0)*VLOOKUP('Données projet'!$B$14,Paramètres!$A$1:$I$89,5,0)</f>
        <v>167.39423999999991</v>
      </c>
      <c r="DQ42" s="14">
        <f t="shared" si="43"/>
        <v>42.505896406938106</v>
      </c>
      <c r="DR42" s="22">
        <f t="shared" si="16"/>
        <v>365.57607090875041</v>
      </c>
      <c r="DS42" s="62">
        <f t="shared" si="17"/>
        <v>658.90940424208372</v>
      </c>
      <c r="DT42" s="62">
        <f ca="1">AVERAGE(OFFSET($DS$3,0,0,'Données projet'!$E$14+1,1))-AVERAGE(OFFSET($H$3,0,0,'Données projet'!$E$14+1,1))</f>
        <v>312.53381881960331</v>
      </c>
      <c r="DU42" s="62">
        <f t="shared" si="44"/>
        <v>342.06887933351783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5.8974358974359005</v>
      </c>
      <c r="EJ42" s="13">
        <f>IF('Données projet'!$A$192&gt;35,EJ41+EI42-ER41,IF(A42&lt;'Données projet'!$A$192,$EG$205^A42,IF(A42='Données projet'!$A$192,'Données projet'!$B$192,EJ41+EI42-ER41)))</f>
        <v>146.66666666666671</v>
      </c>
      <c r="EK42" s="18">
        <f>EJ42*VLOOKUP('Données projet'!$B$15,Paramètres!$A$1:$I$89,3,0)*VLOOKUP('Données projet'!$B$15,Paramètres!$A$1:$I$89,5,0)</f>
        <v>139.56800000000004</v>
      </c>
      <c r="EL42" s="14">
        <f t="shared" si="45"/>
        <v>36.198022567902328</v>
      </c>
      <c r="EM42" s="22">
        <f t="shared" si="19"/>
        <v>306.12582263909667</v>
      </c>
      <c r="EN42" s="62">
        <f t="shared" si="20"/>
        <v>599.45915597242993</v>
      </c>
      <c r="EO42" s="62">
        <f ca="1">AVERAGE(OFFSET($EN$3,0,0,'Données projet'!$E$15+1,1))-AVERAGE(OFFSET($H$3,0,0,'Données projet'!$E$15+1,1))</f>
        <v>363.37916970915211</v>
      </c>
      <c r="EP42" s="62">
        <f t="shared" si="46"/>
        <v>281.52963027844595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9.981538461538463</v>
      </c>
      <c r="FE42" s="13">
        <f>IF('Données projet'!$A$218&gt;35,FE41+FD42-FM41,IF(A42&lt;'Données projet'!$A$218,$FB$205^A42,IF(A42='Données projet'!$A$218,'Données projet'!$B$218,FE41+FD42-FM41)))</f>
        <v>187.81846153846152</v>
      </c>
      <c r="FF42" s="18">
        <f>FE42*VLOOKUP('Données projet'!$B$16,Paramètres!$A$1:$I$89,3,0)*VLOOKUP('Données projet'!$B$16,Paramètres!$A$1:$I$89,5,0)</f>
        <v>87.899039999999985</v>
      </c>
      <c r="FG42" s="14">
        <f t="shared" si="47"/>
        <v>24.05782956318463</v>
      </c>
      <c r="FH42" s="22">
        <f t="shared" si="22"/>
        <v>194.99154782254652</v>
      </c>
      <c r="FI42" s="62">
        <f t="shared" si="23"/>
        <v>488.32488115587984</v>
      </c>
      <c r="FJ42" s="62">
        <f ca="1">AVERAGE(OFFSET($FI$3,0,0,'Données projet'!$E$16+1,1))-AVERAGE(OFFSET($H$3,0,0,'Données projet'!$E$16+1,1))</f>
        <v>245.47494516762282</v>
      </c>
      <c r="FK42" s="62">
        <f t="shared" si="48"/>
        <v>145.54897745089966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8.4</v>
      </c>
      <c r="FZ42" s="13">
        <f>IF('Données projet'!$A$244&gt;35,FZ41+FY42-GH41,IF(A42&lt;'Données projet'!$A$244,$FW$205^A42,IF(A42='Données projet'!$A$244,'Données projet'!$B$244,FZ41+FY42-GH41)))</f>
        <v>149.60000000000002</v>
      </c>
      <c r="GA42" s="18">
        <f>FZ42*VLOOKUP('Données projet'!$B$17,Paramètres!$A$1:$I$89,3,0)*VLOOKUP('Données projet'!$B$17,Paramètres!$A$1:$I$89,5,0)</f>
        <v>144.69312000000002</v>
      </c>
      <c r="GB42" s="14">
        <f t="shared" si="49"/>
        <v>37.370061524802772</v>
      </c>
      <c r="GC42" s="22">
        <f t="shared" si="25"/>
        <v>317.09337448903148</v>
      </c>
      <c r="GD42" s="62">
        <f t="shared" si="26"/>
        <v>610.42670782236473</v>
      </c>
      <c r="GE42" s="62">
        <f ca="1">AVERAGE(OFFSET($GD$3,0,0,'Données projet'!$E$17+1,1))-AVERAGE(OFFSET($H$3,0,0,'Données projet'!$E$17+1,1))</f>
        <v>455.50822833641354</v>
      </c>
      <c r="GF42" s="62">
        <f t="shared" si="50"/>
        <v>261.14722581688039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7.1794871794871824</v>
      </c>
      <c r="GU42" s="13">
        <f>IF('Données projet'!$A$270&gt;35,GU41+GT42-HC41,IF(A42&lt;'Données projet'!$A$270,$GR$205^A42,IF(A42='Données projet'!$A$270,'Données projet'!$B$270,GU41+GT42-HC41)))</f>
        <v>183.84615384615387</v>
      </c>
      <c r="GV42" s="18">
        <f>GU42*VLOOKUP('Données projet'!$B$18,Paramètres!$A$1:$I$89,3,0)*VLOOKUP('Données projet'!$B$18,Paramètres!$A$1:$I$89,5,0)</f>
        <v>123.32400000000003</v>
      </c>
      <c r="GW42" s="14">
        <f t="shared" si="51"/>
        <v>32.449030564483728</v>
      </c>
      <c r="GX42" s="22">
        <f t="shared" si="28"/>
        <v>271.30469489980919</v>
      </c>
      <c r="GY42" s="62">
        <f t="shared" si="29"/>
        <v>564.63802823314245</v>
      </c>
      <c r="GZ42" s="62">
        <f ca="1">AVERAGE(OFFSET($GY$3,0,0,'Données projet'!$E$18+1,1))-AVERAGE(OFFSET($H$3,0,0,'Données projet'!$E$18+1,1))</f>
        <v>312.06797204903796</v>
      </c>
      <c r="HA42" s="62">
        <f t="shared" si="52"/>
        <v>258.20189001775151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</row>
    <row r="43" spans="1:218" s="5" customFormat="1" x14ac:dyDescent="0.25">
      <c r="A43" s="11">
        <f t="shared" si="31"/>
        <v>40</v>
      </c>
      <c r="B43" s="76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9">
        <f t="shared" si="1"/>
        <v>256.66666666666669</v>
      </c>
      <c r="I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18.229670329670324</v>
      </c>
      <c r="N43" s="14">
        <f>IF('Données projet'!$A$36&gt;35,N42+M43-V42,IF(A43&lt;'Données projet'!$A$36,$K$205^A43,IF(A43='Données projet'!$A$36,'Données projet'!$B$36,N42+M43-V42)))</f>
        <v>326.1406593406594</v>
      </c>
      <c r="O43" s="14">
        <f>N43*VLOOKUP('Données projet'!$B$9,Paramètres!$A$1:$I$89,3,0)*VLOOKUP('Données projet'!$B$9,Paramètres!$A$1:$I$89,5,0)</f>
        <v>182.31262857142863</v>
      </c>
      <c r="P43" s="14">
        <f t="shared" si="33"/>
        <v>45.836320512875446</v>
      </c>
      <c r="Q43" s="22">
        <f t="shared" si="53"/>
        <v>397.35941965516298</v>
      </c>
      <c r="R43" s="62">
        <f t="shared" si="0"/>
        <v>690.6927529884963</v>
      </c>
      <c r="S43" s="62">
        <f ca="1">AVERAGE(OFFSET($R$3,0,0,'Données projet'!$E$9+1,1))-AVERAGE(OFFSET($H$3,0,0,'Données projet'!$E$9+1,1))</f>
        <v>323.98185264074681</v>
      </c>
      <c r="T43" s="62">
        <f t="shared" si="34"/>
        <v>301.22207291854005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3.6605997040950573</v>
      </c>
      <c r="AA43" s="23">
        <f>EXP(-LN(2)/25)*AA42+(1-EXP(-LN(2)/25))/(LN(2)/25)*Calculateur!V43*Calculateur!X43*VLOOKUP('Données projet'!$B$9,Paramètres!$A$1:$I$89,3,0)*0.475*44/12</f>
        <v>6.2502843474814274</v>
      </c>
      <c r="AB43" s="23">
        <f>EXP(-LN(2)/2)*AB42+(1-EXP(-LN(2)/2))/(LN(2)/2)*V43*Y43*VLOOKUP('Données projet'!$B$9,Paramètres!$A$1:$I$89,3,0)*0.475*44/12</f>
        <v>0.19024397436306315</v>
      </c>
      <c r="AC43" s="24">
        <f t="shared" si="3"/>
        <v>10.101128025939548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12.74038461538462</v>
      </c>
      <c r="AI43" s="14">
        <f>IF('Données projet'!$A$62&gt;35,AI42+AH43-AQ42,IF(A43&lt;'Données projet'!$A$62,$AF$205^A43,IF(A43='Données projet'!$A$62,'Données projet'!$B$62,AI42+AH43-AQ42)))</f>
        <v>230.07499999999996</v>
      </c>
      <c r="AJ43" s="14">
        <f>AI43*VLOOKUP('Données projet'!$B$10,Paramètres!$A$1:$I$89,3,0)*VLOOKUP('Données projet'!$B$10,Paramètres!$A$1:$I$89,5,0)</f>
        <v>137.58484999999999</v>
      </c>
      <c r="AK43" s="14">
        <f t="shared" si="35"/>
        <v>35.743169448737028</v>
      </c>
      <c r="AL43" s="22">
        <f t="shared" si="4"/>
        <v>301.87963387321696</v>
      </c>
      <c r="AM43" s="62">
        <f t="shared" si="5"/>
        <v>595.21296720655027</v>
      </c>
      <c r="AN43" s="62">
        <f ca="1">AVERAGE(OFFSET($AM$3,0,0,'Données projet'!$E$10+1,1))-AVERAGE(OFFSET($H$3,0,0,'Données projet'!$E$10+1,1))</f>
        <v>289.12367833861299</v>
      </c>
      <c r="AO43" s="62">
        <f t="shared" si="36"/>
        <v>229.06617320689003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0.1295885961882953</v>
      </c>
      <c r="AX43" s="23">
        <f t="shared" si="6"/>
        <v>0.1295885961882953</v>
      </c>
      <c r="AY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158</v>
      </c>
      <c r="BB43" s="13">
        <f>VLOOKUP(A43,'Données projet'!$A$87:$I$107,9,0)</f>
        <v>8.4</v>
      </c>
      <c r="BC43" s="13">
        <f t="array" ref="BC43">INDEX(BB:BB,MIN(IF(ISNUMBER(BB43:BB239),ROW(BB43:BB239),"")))</f>
        <v>8.4</v>
      </c>
      <c r="BD43" s="13">
        <f>IF('Données projet'!$A$88&gt;35,BD42+BC43-BL42,IF(A43&lt;'Données projet'!$A$88,$BA$205^A43,IF(A43='Données projet'!$A$88,'Données projet'!$B$88,BD42+BC43-BL42)))</f>
        <v>158.00000000000003</v>
      </c>
      <c r="BE43" s="14">
        <f>BD43*VLOOKUP('Données projet'!$B$11,Paramètres!$A$1:$I$89,3,0)*VLOOKUP('Données projet'!$B$11,Paramètres!$A$1:$I$89,5,0)</f>
        <v>142.95840000000004</v>
      </c>
      <c r="BF43" s="14">
        <f t="shared" si="37"/>
        <v>36.973906370811264</v>
      </c>
      <c r="BG43" s="22">
        <f t="shared" si="7"/>
        <v>313.38210026249641</v>
      </c>
      <c r="BH43" s="62">
        <f t="shared" si="8"/>
        <v>606.71543359582972</v>
      </c>
      <c r="BI43" s="62">
        <f ca="1">AVERAGE(OFFSET($BH$3,0,0,'Données projet'!$E$11+1,1))-AVERAGE(OFFSET($H$3,0,0,'Données projet'!$E$11+1,1))</f>
        <v>428.8489304403459</v>
      </c>
      <c r="BJ43" s="62">
        <f t="shared" si="38"/>
        <v>247.01165577562966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42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220</v>
      </c>
      <c r="BW43" s="13">
        <f>VLOOKUP(A43,'Données projet'!$A$113:$I$133,9,0)</f>
        <v>9.6</v>
      </c>
      <c r="BX43" s="13">
        <f t="array" ref="BX43">INDEX(BW:BW,MIN(IF(ISNUMBER(BW43:BW239),ROW(BW43:BW239),"")))</f>
        <v>9.6</v>
      </c>
      <c r="BY43" s="13">
        <f>IF('Données projet'!$A$114&gt;35,BY42+BX43-CG42,IF(A43&lt;'Données projet'!$A$114,$BV$205^A43,IF(A43='Données projet'!$A$114,'Données projet'!$B$114,BY42+BX43-CG42)))</f>
        <v>219.99999999999989</v>
      </c>
      <c r="BZ43" s="14">
        <f>BY43*VLOOKUP('Données projet'!$B$12,Paramètres!$A$1:$I$89,3,0)*VLOOKUP('Données projet'!$B$12,Paramètres!$A$1:$I$89,5,0)</f>
        <v>161.30399999999992</v>
      </c>
      <c r="CA43" s="14">
        <f t="shared" si="39"/>
        <v>41.136497157560363</v>
      </c>
      <c r="CB43" s="22">
        <f t="shared" si="10"/>
        <v>352.58386588275084</v>
      </c>
      <c r="CC43" s="62">
        <f t="shared" si="11"/>
        <v>645.9171992160841</v>
      </c>
      <c r="CD43" s="62">
        <f ca="1">AVERAGE(OFFSET($CC$3,0,0,'Données projet'!$E$12+1,1))-AVERAGE(OFFSET($H$3,0,0,'Données projet'!$E$12+1,1))</f>
        <v>290.85271051443431</v>
      </c>
      <c r="CE43" s="62">
        <f t="shared" si="40"/>
        <v>318.66958823451142</v>
      </c>
      <c r="CF43" s="16">
        <f>IF(ISNA(VLOOKUP(A43,'Données projet'!$A$113:$I$133,3,0)),0,VLOOKUP(A43,'Données projet'!$A$113:$I$133,3,0))</f>
        <v>3</v>
      </c>
      <c r="CG43" s="16">
        <f>IF(ISNA(VLOOKUP(A43,'Données projet'!$A$113:$I$133,4,0)),0,VLOOKUP(A43,'Données projet'!$A$113:$I$133,4,0))</f>
        <v>56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11.142857142857142</v>
      </c>
      <c r="CT43" s="13">
        <f>IF('Données projet'!$A$140&gt;35,CT42+CS43-DB42,IF(A43&lt;'Données projet'!$A$140,$CQ$205^A43,IF(A43='Données projet'!$A$140,'Données projet'!$B$140,CT42+CS43-DB42)))</f>
        <v>185.42857142857139</v>
      </c>
      <c r="CU43" s="18">
        <f>CT43*VLOOKUP('Données projet'!$B$13,Paramètres!$A$1:$I$89,3,0)*VLOOKUP('Données projet'!$B$13,Paramètres!$A$1:$I$89,5,0)</f>
        <v>144.63428571428568</v>
      </c>
      <c r="CV43" s="14">
        <f t="shared" si="41"/>
        <v>37.356634728420524</v>
      </c>
      <c r="CW43" s="22">
        <f t="shared" si="13"/>
        <v>316.96751977104663</v>
      </c>
      <c r="CX43" s="62">
        <f t="shared" si="14"/>
        <v>610.30085310437994</v>
      </c>
      <c r="CY43" s="62">
        <f ca="1">AVERAGE(OFFSET($CX$3,0,0,'Données projet'!$E$13+1,1))-AVERAGE(OFFSET($H$3,0,0,'Données projet'!$E$13+1,1))</f>
        <v>292.57482726862594</v>
      </c>
      <c r="CZ43" s="62">
        <f t="shared" si="42"/>
        <v>283.48738729114024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220</v>
      </c>
      <c r="DM43" s="13">
        <f>VLOOKUP(A43,'Données projet'!$A$165:$I$185,9,0)</f>
        <v>9.6</v>
      </c>
      <c r="DN43" s="13">
        <f t="array" ref="DN43">INDEX(DM:DM,MIN(IF(ISNUMBER(DM43:DM239),ROW(DM43:DM239),"")))</f>
        <v>9.6</v>
      </c>
      <c r="DO43" s="13">
        <f>IF('Données projet'!$A$166&gt;35,DO42+DN43-DW42,IF(A43&lt;'Données projet'!$A$166,$DL$205^A43,IF(A43='Données projet'!$A$166,'Données projet'!$B$166,DO42+DN43-DW42)))</f>
        <v>219.99999999999989</v>
      </c>
      <c r="DP43" s="18">
        <f>DO43*VLOOKUP('Données projet'!$B$14,Paramètres!$A$1:$I$89,3,0)*VLOOKUP('Données projet'!$B$14,Paramètres!$A$1:$I$89,5,0)</f>
        <v>175.03199999999993</v>
      </c>
      <c r="DQ43" s="14">
        <f t="shared" si="43"/>
        <v>44.215103743191008</v>
      </c>
      <c r="DR43" s="22">
        <f t="shared" si="16"/>
        <v>381.85537235272426</v>
      </c>
      <c r="DS43" s="62">
        <f t="shared" si="17"/>
        <v>675.18870568605757</v>
      </c>
      <c r="DT43" s="62">
        <f ca="1">AVERAGE(OFFSET($DS$3,0,0,'Données projet'!$E$14+1,1))-AVERAGE(OFFSET($H$3,0,0,'Données projet'!$E$14+1,1))</f>
        <v>312.53381881960331</v>
      </c>
      <c r="DU43" s="62">
        <f t="shared" si="44"/>
        <v>342.06887933351783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56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152.56410256410257</v>
      </c>
      <c r="EH43" s="13">
        <f>VLOOKUP(A43,'Données projet'!$A$191:$I$211,9,0)</f>
        <v>5.8974358974359005</v>
      </c>
      <c r="EI43" s="13">
        <f t="array" ref="EI43">INDEX(EH:EH,MIN(IF(ISNUMBER(EH43:EH239),ROW(EH43:EH239),"")))</f>
        <v>5.8974358974359005</v>
      </c>
      <c r="EJ43" s="13">
        <f>IF('Données projet'!$A$192&gt;35,EJ42+EI43-ER42,IF(A43&lt;'Données projet'!$A$192,$EG$205^A43,IF(A43='Données projet'!$A$192,'Données projet'!$B$192,EJ42+EI43-ER42)))</f>
        <v>152.56410256410263</v>
      </c>
      <c r="EK43" s="18">
        <f>EJ43*VLOOKUP('Données projet'!$B$15,Paramètres!$A$1:$I$89,3,0)*VLOOKUP('Données projet'!$B$15,Paramètres!$A$1:$I$89,5,0)</f>
        <v>145.18000000000006</v>
      </c>
      <c r="EL43" s="14">
        <f t="shared" si="45"/>
        <v>37.481149901429063</v>
      </c>
      <c r="EM43" s="22">
        <f t="shared" si="19"/>
        <v>318.13483607832239</v>
      </c>
      <c r="EN43" s="62">
        <f t="shared" si="20"/>
        <v>611.46816941165571</v>
      </c>
      <c r="EO43" s="62">
        <f ca="1">AVERAGE(OFFSET($EN$3,0,0,'Données projet'!$E$15+1,1))-AVERAGE(OFFSET($H$3,0,0,'Données projet'!$E$15+1,1))</f>
        <v>363.37916970915211</v>
      </c>
      <c r="EP43" s="62">
        <f t="shared" si="46"/>
        <v>281.52963027844595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28.846153846153847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197.79999999999998</v>
      </c>
      <c r="FC43" s="13">
        <f>VLOOKUP(A43,'Données projet'!$A$217:$I$237,9,0)</f>
        <v>9.981538461538463</v>
      </c>
      <c r="FD43" s="13">
        <f t="array" ref="FD43">INDEX(FC:FC,MIN(IF(ISNUMBER(FC43:FC239),ROW(FC43:FC239),"")))</f>
        <v>9.981538461538463</v>
      </c>
      <c r="FE43" s="13">
        <f>IF('Données projet'!$A$218&gt;35,FE42+FD43-FM42,IF(A43&lt;'Données projet'!$A$218,$FB$205^A43,IF(A43='Données projet'!$A$218,'Données projet'!$B$218,FE42+FD43-FM42)))</f>
        <v>197.79999999999998</v>
      </c>
      <c r="FF43" s="18">
        <f>FE43*VLOOKUP('Données projet'!$B$16,Paramètres!$A$1:$I$89,3,0)*VLOOKUP('Données projet'!$B$16,Paramètres!$A$1:$I$89,5,0)</f>
        <v>92.570399999999978</v>
      </c>
      <c r="FG43" s="14">
        <f t="shared" si="47"/>
        <v>25.184123943972491</v>
      </c>
      <c r="FH43" s="22">
        <f t="shared" si="22"/>
        <v>205.08912920241869</v>
      </c>
      <c r="FI43" s="62">
        <f t="shared" si="23"/>
        <v>498.422462535752</v>
      </c>
      <c r="FJ43" s="62">
        <f ca="1">AVERAGE(OFFSET($FI$3,0,0,'Données projet'!$E$16+1,1))-AVERAGE(OFFSET($H$3,0,0,'Données projet'!$E$16+1,1))</f>
        <v>245.47494516762282</v>
      </c>
      <c r="FK43" s="62">
        <f t="shared" si="48"/>
        <v>145.54897745089966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158</v>
      </c>
      <c r="FX43" s="13">
        <f>VLOOKUP(A43,'Données projet'!$A$243:$I$263,9,0)</f>
        <v>8.4</v>
      </c>
      <c r="FY43" s="13">
        <f t="array" ref="FY43">INDEX(FX:FX,MIN(IF(ISNUMBER(FX43:FX239),ROW(FX43:FX239),"")))</f>
        <v>8.4</v>
      </c>
      <c r="FZ43" s="13">
        <f>IF('Données projet'!$A$244&gt;35,FZ42+FY43-GH42,IF(A43&lt;'Données projet'!$A$244,$FW$205^A43,IF(A43='Données projet'!$A$244,'Données projet'!$B$244,FZ42+FY43-GH42)))</f>
        <v>158.00000000000003</v>
      </c>
      <c r="GA43" s="18">
        <f>FZ43*VLOOKUP('Données projet'!$B$17,Paramètres!$A$1:$I$89,3,0)*VLOOKUP('Données projet'!$B$17,Paramètres!$A$1:$I$89,5,0)</f>
        <v>152.81760000000003</v>
      </c>
      <c r="GB43" s="14">
        <f t="shared" si="49"/>
        <v>39.218200171484227</v>
      </c>
      <c r="GC43" s="22">
        <f t="shared" si="25"/>
        <v>334.46235196533502</v>
      </c>
      <c r="GD43" s="62">
        <f t="shared" si="26"/>
        <v>627.79568529866833</v>
      </c>
      <c r="GE43" s="62">
        <f ca="1">AVERAGE(OFFSET($GD$3,0,0,'Données projet'!$E$17+1,1))-AVERAGE(OFFSET($H$3,0,0,'Données projet'!$E$17+1,1))</f>
        <v>455.50822833641354</v>
      </c>
      <c r="GF43" s="62">
        <f t="shared" si="50"/>
        <v>261.14722581688039</v>
      </c>
      <c r="GG43" s="16">
        <f>IF(ISNA(VLOOKUP(A43,'Données projet'!$A$243:$I$263,3,0)),0,VLOOKUP(A43,'Données projet'!$A$243:$I$263,3,0))</f>
        <v>2</v>
      </c>
      <c r="GH43" s="16">
        <f>IF(ISNA(VLOOKUP(A43,'Données projet'!$A$243:$I$263,4,0)),0,VLOOKUP(A43,'Données projet'!$A$243:$I$263,4,0))</f>
        <v>42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>
        <f>VLOOKUP(A43,'Données projet'!$A$269:$I$289,2,0)</f>
        <v>191.02564102564102</v>
      </c>
      <c r="GS43" s="13">
        <f>VLOOKUP(A43,'Données projet'!$A$269:$I$289,9,0)</f>
        <v>7.1794871794871824</v>
      </c>
      <c r="GT43" s="13">
        <f t="array" ref="GT43">INDEX(GS:GS,MIN(IF(ISNUMBER(GS43:GS239),ROW(GS43:GS239),"")))</f>
        <v>7.1794871794871824</v>
      </c>
      <c r="GU43" s="13">
        <f>IF('Données projet'!$A$270&gt;35,GU42+GT43-HC42,IF(A43&lt;'Données projet'!$A$270,$GR$205^A43,IF(A43='Données projet'!$A$270,'Données projet'!$B$270,GU42+GT43-HC42)))</f>
        <v>191.02564102564105</v>
      </c>
      <c r="GV43" s="18">
        <f>GU43*VLOOKUP('Données projet'!$B$18,Paramètres!$A$1:$I$89,3,0)*VLOOKUP('Données projet'!$B$18,Paramètres!$A$1:$I$89,5,0)</f>
        <v>128.14000000000001</v>
      </c>
      <c r="GW43" s="14">
        <f t="shared" si="51"/>
        <v>33.566208132601098</v>
      </c>
      <c r="GX43" s="22">
        <f t="shared" si="28"/>
        <v>281.63831249761358</v>
      </c>
      <c r="GY43" s="62">
        <f t="shared" si="29"/>
        <v>574.97164583094695</v>
      </c>
      <c r="GZ43" s="62">
        <f ca="1">AVERAGE(OFFSET($GY$3,0,0,'Données projet'!$E$18+1,1))-AVERAGE(OFFSET($H$3,0,0,'Données projet'!$E$18+1,1))</f>
        <v>312.06797204903796</v>
      </c>
      <c r="HA43" s="62">
        <f t="shared" si="52"/>
        <v>258.20189001775151</v>
      </c>
      <c r="HB43" s="16">
        <f>IF(ISNA(VLOOKUP(A43,'Données projet'!$A$269:$I$289,3,0)),0,VLOOKUP(A43,'Données projet'!$A$269:$I$289,3,0))</f>
        <v>3</v>
      </c>
      <c r="HC43" s="16">
        <f>IF(ISNA(VLOOKUP(A43,'Données projet'!$A$269:$I$289,4,0)),0,VLOOKUP(A43,'Données projet'!$A$269:$I$289,4,0))</f>
        <v>34.615384615384613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</row>
    <row r="44" spans="1:218" s="5" customFormat="1" x14ac:dyDescent="0.25">
      <c r="A44" s="11">
        <f t="shared" si="31"/>
        <v>41</v>
      </c>
      <c r="B44" s="76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9">
        <f t="shared" si="1"/>
        <v>256.66666666666669</v>
      </c>
      <c r="I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18.229670329670324</v>
      </c>
      <c r="N44" s="14">
        <f>IF('Données projet'!$A$36&gt;35,N43+M44-V43,IF(A44&lt;'Données projet'!$A$36,$K$205^A44,IF(A44='Données projet'!$A$36,'Données projet'!$B$36,N43+M44-V43)))</f>
        <v>344.37032967032974</v>
      </c>
      <c r="O44" s="14">
        <f>N44*VLOOKUP('Données projet'!$B$9,Paramètres!$A$1:$I$89,3,0)*VLOOKUP('Données projet'!$B$9,Paramètres!$A$1:$I$89,5,0)</f>
        <v>192.50301428571433</v>
      </c>
      <c r="P44" s="14">
        <f t="shared" si="33"/>
        <v>48.092911552862631</v>
      </c>
      <c r="Q44" s="22">
        <f t="shared" si="53"/>
        <v>419.03790416885482</v>
      </c>
      <c r="R44" s="62">
        <f t="shared" si="0"/>
        <v>712.37123750218814</v>
      </c>
      <c r="S44" s="62">
        <f ca="1">AVERAGE(OFFSET($R$3,0,0,'Données projet'!$E$9+1,1))-AVERAGE(OFFSET($H$3,0,0,'Données projet'!$E$9+1,1))</f>
        <v>323.98185264074681</v>
      </c>
      <c r="T44" s="62">
        <f t="shared" si="34"/>
        <v>301.22207291854005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3.5888175766431076</v>
      </c>
      <c r="AA44" s="23">
        <f>EXP(-LN(2)/25)*AA43+(1-EXP(-LN(2)/25))/(LN(2)/25)*Calculateur!V44*Calculateur!X44*VLOOKUP('Données projet'!$B$9,Paramètres!$A$1:$I$89,3,0)*0.475*44/12</f>
        <v>6.0793699933113787</v>
      </c>
      <c r="AB44" s="23">
        <f>EXP(-LN(2)/2)*AB43+(1-EXP(-LN(2)/2))/(LN(2)/2)*V44*Y44*VLOOKUP('Données projet'!$B$9,Paramètres!$A$1:$I$89,3,0)*0.475*44/12</f>
        <v>0.13452280435200165</v>
      </c>
      <c r="AC44" s="24">
        <f t="shared" si="3"/>
        <v>9.8027103743064892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>
        <f>VLOOKUP(A44,'Données projet'!$A$61:$I$81,2,0)</f>
        <v>242.81538461538463</v>
      </c>
      <c r="AG44" s="13">
        <f>VLOOKUP(A44,'Données projet'!$A$61:$I$81,9,0)</f>
        <v>12.74038461538462</v>
      </c>
      <c r="AH44" s="13">
        <f t="array" ref="AH44">INDEX(AG:AG,MIN(IF(ISNUMBER(AG44:AG240),ROW(AG44:AG240),"")))</f>
        <v>12.74038461538462</v>
      </c>
      <c r="AI44" s="14">
        <f>IF('Données projet'!$A$62&gt;35,AI43+AH44-AQ43,IF(A44&lt;'Données projet'!$A$62,$AF$205^A44,IF(A44='Données projet'!$A$62,'Données projet'!$B$62,AI43+AH44-AQ43)))</f>
        <v>242.81538461538457</v>
      </c>
      <c r="AJ44" s="14">
        <f>AI44*VLOOKUP('Données projet'!$B$10,Paramètres!$A$1:$I$89,3,0)*VLOOKUP('Données projet'!$B$10,Paramètres!$A$1:$I$89,5,0)</f>
        <v>145.20359999999999</v>
      </c>
      <c r="AK44" s="14">
        <f t="shared" si="35"/>
        <v>37.4865334633907</v>
      </c>
      <c r="AL44" s="22">
        <f t="shared" si="4"/>
        <v>318.18531578207211</v>
      </c>
      <c r="AM44" s="62">
        <f t="shared" si="5"/>
        <v>611.51864911540542</v>
      </c>
      <c r="AN44" s="62">
        <f ca="1">AVERAGE(OFFSET($AM$3,0,0,'Données projet'!$E$10+1,1))-AVERAGE(OFFSET($H$3,0,0,'Données projet'!$E$10+1,1))</f>
        <v>289.12367833861299</v>
      </c>
      <c r="AO44" s="62">
        <f t="shared" si="36"/>
        <v>229.06617320689003</v>
      </c>
      <c r="AP44" s="16">
        <f>IF(ISNA(VLOOKUP(A44,'Données projet'!$A$61:$I$81,3,0)),0,VLOOKUP(A44,'Données projet'!$A$61:$I$81,3,0))</f>
        <v>4</v>
      </c>
      <c r="AQ44" s="16">
        <f>IF(ISNA(VLOOKUP(A44,'Données projet'!$A$61:$I$81,4,0)),0,VLOOKUP(A44,'Données projet'!$A$61:$I$81,4,0))</f>
        <v>58.484615384615381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9.163297512918879E-2</v>
      </c>
      <c r="AX44" s="23">
        <f t="shared" si="6"/>
        <v>9.163297512918879E-2</v>
      </c>
      <c r="AY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8.4</v>
      </c>
      <c r="BD44" s="13">
        <f>IF('Données projet'!$A$88&gt;35,BD43+BC44-BL43,IF(A44&lt;'Données projet'!$A$88,$BA$205^A44,IF(A44='Données projet'!$A$88,'Données projet'!$B$88,BD43+BC44-BL43)))</f>
        <v>124.40000000000003</v>
      </c>
      <c r="BE44" s="14">
        <f>BD44*VLOOKUP('Données projet'!$B$11,Paramètres!$A$1:$I$89,3,0)*VLOOKUP('Données projet'!$B$11,Paramètres!$A$1:$I$89,5,0)</f>
        <v>112.55712000000003</v>
      </c>
      <c r="BF44" s="14">
        <f t="shared" si="37"/>
        <v>29.932653834140599</v>
      </c>
      <c r="BG44" s="22">
        <f t="shared" si="7"/>
        <v>248.16968942779496</v>
      </c>
      <c r="BH44" s="62">
        <f t="shared" si="8"/>
        <v>541.50302276112825</v>
      </c>
      <c r="BI44" s="62">
        <f ca="1">AVERAGE(OFFSET($BH$3,0,0,'Données projet'!$E$11+1,1))-AVERAGE(OFFSET($H$3,0,0,'Données projet'!$E$11+1,1))</f>
        <v>428.8489304403459</v>
      </c>
      <c r="BJ44" s="62">
        <f t="shared" si="38"/>
        <v>247.01165577562966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8.1999999999999993</v>
      </c>
      <c r="BY44" s="13">
        <f>IF('Données projet'!$A$114&gt;35,BY43+BX44-CG43,IF(A44&lt;'Données projet'!$A$114,$BV$205^A44,IF(A44='Données projet'!$A$114,'Données projet'!$B$114,BY43+BX44-CG43)))</f>
        <v>172.19999999999987</v>
      </c>
      <c r="BZ44" s="14">
        <f>BY44*VLOOKUP('Données projet'!$B$12,Paramètres!$A$1:$I$89,3,0)*VLOOKUP('Données projet'!$B$12,Paramètres!$A$1:$I$89,5,0)</f>
        <v>126.25703999999992</v>
      </c>
      <c r="CA44" s="14">
        <f t="shared" si="39"/>
        <v>33.130006114881219</v>
      </c>
      <c r="CB44" s="22">
        <f t="shared" si="10"/>
        <v>277.59910531675132</v>
      </c>
      <c r="CC44" s="62">
        <f t="shared" si="11"/>
        <v>570.93243865008458</v>
      </c>
      <c r="CD44" s="62">
        <f ca="1">AVERAGE(OFFSET($CC$3,0,0,'Données projet'!$E$12+1,1))-AVERAGE(OFFSET($H$3,0,0,'Données projet'!$E$12+1,1))</f>
        <v>290.85271051443431</v>
      </c>
      <c r="CE44" s="62">
        <f t="shared" si="40"/>
        <v>318.66958823451142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11.142857142857142</v>
      </c>
      <c r="CT44" s="13">
        <f>IF('Données projet'!$A$140&gt;35,CT43+CS44-DB43,IF(A44&lt;'Données projet'!$A$140,$CQ$205^A44,IF(A44='Données projet'!$A$140,'Données projet'!$B$140,CT43+CS44-DB43)))</f>
        <v>196.57142857142853</v>
      </c>
      <c r="CU44" s="18">
        <f>CT44*VLOOKUP('Données projet'!$B$13,Paramètres!$A$1:$I$89,3,0)*VLOOKUP('Données projet'!$B$13,Paramètres!$A$1:$I$89,5,0)</f>
        <v>153.32571428571427</v>
      </c>
      <c r="CV44" s="14">
        <f t="shared" si="41"/>
        <v>39.33339883761419</v>
      </c>
      <c r="CW44" s="22">
        <f t="shared" si="13"/>
        <v>335.54795535646372</v>
      </c>
      <c r="CX44" s="62">
        <f t="shared" si="14"/>
        <v>628.88128868979697</v>
      </c>
      <c r="CY44" s="62">
        <f ca="1">AVERAGE(OFFSET($CX$3,0,0,'Données projet'!$E$13+1,1))-AVERAGE(OFFSET($H$3,0,0,'Données projet'!$E$13+1,1))</f>
        <v>292.57482726862594</v>
      </c>
      <c r="CZ44" s="62">
        <f t="shared" si="42"/>
        <v>283.48738729114024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8.1999999999999993</v>
      </c>
      <c r="DO44" s="13">
        <f>IF('Données projet'!$A$166&gt;35,DO43+DN44-DW43,IF(A44&lt;'Données projet'!$A$166,$DL$205^A44,IF(A44='Données projet'!$A$166,'Données projet'!$B$166,DO43+DN44-DW43)))</f>
        <v>172.19999999999987</v>
      </c>
      <c r="DP44" s="18">
        <f>DO44*VLOOKUP('Données projet'!$B$14,Paramètres!$A$1:$I$89,3,0)*VLOOKUP('Données projet'!$B$14,Paramètres!$A$1:$I$89,5,0)</f>
        <v>137.00231999999991</v>
      </c>
      <c r="DQ44" s="14">
        <f t="shared" si="43"/>
        <v>35.609416420931318</v>
      </c>
      <c r="DR44" s="22">
        <f t="shared" si="16"/>
        <v>300.63210759978858</v>
      </c>
      <c r="DS44" s="62">
        <f t="shared" si="17"/>
        <v>593.96544093312195</v>
      </c>
      <c r="DT44" s="62">
        <f ca="1">AVERAGE(OFFSET($DS$3,0,0,'Données projet'!$E$14+1,1))-AVERAGE(OFFSET($H$3,0,0,'Données projet'!$E$14+1,1))</f>
        <v>312.53381881960331</v>
      </c>
      <c r="DU44" s="62">
        <f t="shared" si="44"/>
        <v>342.06887933351783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5.7692307692307683</v>
      </c>
      <c r="EJ44" s="13">
        <f>IF('Données projet'!$A$192&gt;35,EJ43+EI44-ER43,IF(A44&lt;'Données projet'!$A$192,$EG$205^A44,IF(A44='Données projet'!$A$192,'Données projet'!$B$192,EJ43+EI44-ER43)))</f>
        <v>129.48717948717956</v>
      </c>
      <c r="EK44" s="18">
        <f>EJ44*VLOOKUP('Données projet'!$B$15,Paramètres!$A$1:$I$89,3,0)*VLOOKUP('Données projet'!$B$15,Paramètres!$A$1:$I$89,5,0)</f>
        <v>123.22000000000007</v>
      </c>
      <c r="EL44" s="14">
        <f t="shared" si="45"/>
        <v>32.42485010818541</v>
      </c>
      <c r="EM44" s="22">
        <f t="shared" si="19"/>
        <v>271.08144727175642</v>
      </c>
      <c r="EN44" s="62">
        <f t="shared" si="20"/>
        <v>564.41478060508973</v>
      </c>
      <c r="EO44" s="62">
        <f ca="1">AVERAGE(OFFSET($EN$3,0,0,'Données projet'!$E$15+1,1))-AVERAGE(OFFSET($H$3,0,0,'Données projet'!$E$15+1,1))</f>
        <v>363.37916970915211</v>
      </c>
      <c r="EP44" s="62">
        <f t="shared" si="46"/>
        <v>281.52963027844595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10.869230769230773</v>
      </c>
      <c r="FE44" s="13">
        <f>IF('Données projet'!$A$218&gt;35,FE43+FD44-FM43,IF(A44&lt;'Données projet'!$A$218,$FB$205^A44,IF(A44='Données projet'!$A$218,'Données projet'!$B$218,FE43+FD44-FM43)))</f>
        <v>208.66923076923075</v>
      </c>
      <c r="FF44" s="18">
        <f>FE44*VLOOKUP('Données projet'!$B$16,Paramètres!$A$1:$I$89,3,0)*VLOOKUP('Données projet'!$B$16,Paramètres!$A$1:$I$89,5,0)</f>
        <v>97.657199999999989</v>
      </c>
      <c r="FG44" s="14">
        <f t="shared" si="47"/>
        <v>26.403090007431878</v>
      </c>
      <c r="FH44" s="22">
        <f t="shared" si="22"/>
        <v>216.07167176294379</v>
      </c>
      <c r="FI44" s="62">
        <f t="shared" si="23"/>
        <v>509.40500509627714</v>
      </c>
      <c r="FJ44" s="62">
        <f ca="1">AVERAGE(OFFSET($FI$3,0,0,'Données projet'!$E$16+1,1))-AVERAGE(OFFSET($H$3,0,0,'Données projet'!$E$16+1,1))</f>
        <v>245.47494516762282</v>
      </c>
      <c r="FK44" s="62">
        <f t="shared" si="48"/>
        <v>145.54897745089966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8.4</v>
      </c>
      <c r="FZ44" s="13">
        <f>IF('Données projet'!$A$244&gt;35,FZ43+FY44-GH43,IF(A44&lt;'Données projet'!$A$244,$FW$205^A44,IF(A44='Données projet'!$A$244,'Données projet'!$B$244,FZ43+FY44-GH43)))</f>
        <v>124.40000000000003</v>
      </c>
      <c r="GA44" s="18">
        <f>FZ44*VLOOKUP('Données projet'!$B$17,Paramètres!$A$1:$I$89,3,0)*VLOOKUP('Données projet'!$B$17,Paramètres!$A$1:$I$89,5,0)</f>
        <v>120.31968000000002</v>
      </c>
      <c r="GB44" s="14">
        <f t="shared" si="49"/>
        <v>31.74954785566829</v>
      </c>
      <c r="GC44" s="22">
        <f t="shared" si="25"/>
        <v>264.85390518195561</v>
      </c>
      <c r="GD44" s="62">
        <f t="shared" si="26"/>
        <v>558.18723851528898</v>
      </c>
      <c r="GE44" s="62">
        <f ca="1">AVERAGE(OFFSET($GD$3,0,0,'Données projet'!$E$17+1,1))-AVERAGE(OFFSET($H$3,0,0,'Données projet'!$E$17+1,1))</f>
        <v>455.50822833641354</v>
      </c>
      <c r="GF44" s="62">
        <f t="shared" si="50"/>
        <v>261.14722581688039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6.7948717948717956</v>
      </c>
      <c r="GU44" s="13">
        <f>IF('Données projet'!$A$270&gt;35,GU43+GT44-HC43,IF(A44&lt;'Données projet'!$A$270,$GR$205^A44,IF(A44='Données projet'!$A$270,'Données projet'!$B$270,GU43+GT44-HC43)))</f>
        <v>163.20512820512823</v>
      </c>
      <c r="GV44" s="18">
        <f>GU44*VLOOKUP('Données projet'!$B$18,Paramètres!$A$1:$I$89,3,0)*VLOOKUP('Données projet'!$B$18,Paramètres!$A$1:$I$89,5,0)</f>
        <v>109.47800000000001</v>
      </c>
      <c r="GW44" s="14">
        <f t="shared" si="51"/>
        <v>29.207963273678622</v>
      </c>
      <c r="GX44" s="22">
        <f t="shared" si="28"/>
        <v>241.5447193683236</v>
      </c>
      <c r="GY44" s="62">
        <f t="shared" si="29"/>
        <v>534.87805270165688</v>
      </c>
      <c r="GZ44" s="62">
        <f ca="1">AVERAGE(OFFSET($GY$3,0,0,'Données projet'!$E$18+1,1))-AVERAGE(OFFSET($H$3,0,0,'Données projet'!$E$18+1,1))</f>
        <v>312.06797204903796</v>
      </c>
      <c r="HA44" s="62">
        <f t="shared" si="52"/>
        <v>258.20189001775151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</row>
    <row r="45" spans="1:218" s="5" customFormat="1" x14ac:dyDescent="0.25">
      <c r="A45" s="11">
        <f t="shared" si="31"/>
        <v>42</v>
      </c>
      <c r="B45" s="76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9">
        <f t="shared" si="1"/>
        <v>256.66666666666669</v>
      </c>
      <c r="I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>
        <f>VLOOKUP(A45,'Données projet'!$A$35:$I$55,2,0)</f>
        <v>362.59999999999997</v>
      </c>
      <c r="L45" s="13">
        <f>VLOOKUP(A45,'Données projet'!$A$35:$I$55,9,0)</f>
        <v>18.229670329670324</v>
      </c>
      <c r="M45" s="13">
        <f t="array" ref="M45">INDEX(L:L,MIN(IF(ISNUMBER(L45:L241),ROW(L45:L241),"")))</f>
        <v>18.229670329670324</v>
      </c>
      <c r="N45" s="14">
        <f>IF('Données projet'!$A$36&gt;35,N44+M45-V44,IF(A45&lt;'Données projet'!$A$36,$K$205^A45,IF(A45='Données projet'!$A$36,'Données projet'!$B$36,N44+M45-V44)))</f>
        <v>362.60000000000008</v>
      </c>
      <c r="O45" s="14">
        <f>N45*VLOOKUP('Données projet'!$B$9,Paramètres!$A$1:$I$89,3,0)*VLOOKUP('Données projet'!$B$9,Paramètres!$A$1:$I$89,5,0)</f>
        <v>202.69340000000005</v>
      </c>
      <c r="P45" s="14">
        <f t="shared" si="33"/>
        <v>50.335633892078647</v>
      </c>
      <c r="Q45" s="22">
        <f t="shared" si="53"/>
        <v>440.69223402870375</v>
      </c>
      <c r="R45" s="62">
        <f t="shared" si="0"/>
        <v>734.02556736203701</v>
      </c>
      <c r="S45" s="62">
        <f ca="1">AVERAGE(OFFSET($R$3,0,0,'Données projet'!$E$9+1,1))-AVERAGE(OFFSET($H$3,0,0,'Données projet'!$E$9+1,1))</f>
        <v>323.98185264074681</v>
      </c>
      <c r="T45" s="62">
        <f t="shared" si="34"/>
        <v>301.22207291854005</v>
      </c>
      <c r="U45" s="16">
        <f>IF(ISNA(VLOOKUP(A45,'Données projet'!$A$35:$I$55,3,0)),0,VLOOKUP(A45,'Données projet'!$A$35:$I$55,3,0))</f>
        <v>4</v>
      </c>
      <c r="V45" s="16">
        <f>IF(ISNA(VLOOKUP(A45,'Données projet'!$A$35:$I$55,4,0)),0,VLOOKUP(A45,'Données projet'!$A$35:$I$55,4,0))</f>
        <v>80.669230769230765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3.518443052927716</v>
      </c>
      <c r="AA45" s="23">
        <f>EXP(-LN(2)/25)*AA44+(1-EXP(-LN(2)/25))/(LN(2)/25)*Calculateur!V45*Calculateur!X45*VLOOKUP('Données projet'!$B$9,Paramètres!$A$1:$I$89,3,0)*0.475*44/12</f>
        <v>5.9131293011441057</v>
      </c>
      <c r="AB45" s="23">
        <f>EXP(-LN(2)/2)*AB44+(1-EXP(-LN(2)/2))/(LN(2)/2)*V45*Y45*VLOOKUP('Données projet'!$B$9,Paramètres!$A$1:$I$89,3,0)*0.475*44/12</f>
        <v>9.5121987181531573E-2</v>
      </c>
      <c r="AC45" s="24">
        <f t="shared" si="3"/>
        <v>9.5266943412533536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11.861538461538462</v>
      </c>
      <c r="AI45" s="14">
        <f>IF('Données projet'!$A$62&gt;35,AI44+AH45-AQ44,IF(A45&lt;'Données projet'!$A$62,$AF$205^A45,IF(A45='Données projet'!$A$62,'Données projet'!$B$62,AI44+AH45-AQ44)))</f>
        <v>196.19230769230765</v>
      </c>
      <c r="AJ45" s="14">
        <f>AI45*VLOOKUP('Données projet'!$B$10,Paramètres!$A$1:$I$89,3,0)*VLOOKUP('Données projet'!$B$10,Paramètres!$A$1:$I$89,5,0)</f>
        <v>117.32299999999999</v>
      </c>
      <c r="AK45" s="14">
        <f t="shared" si="35"/>
        <v>31.049815552357138</v>
      </c>
      <c r="AL45" s="22">
        <f t="shared" si="4"/>
        <v>258.41598708702196</v>
      </c>
      <c r="AM45" s="62">
        <f t="shared" si="5"/>
        <v>551.74932042035528</v>
      </c>
      <c r="AN45" s="62">
        <f ca="1">AVERAGE(OFFSET($AM$3,0,0,'Données projet'!$E$10+1,1))-AVERAGE(OFFSET($H$3,0,0,'Données projet'!$E$10+1,1))</f>
        <v>289.12367833861299</v>
      </c>
      <c r="AO45" s="62">
        <f t="shared" si="36"/>
        <v>229.06617320689003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6.4794298094147648E-2</v>
      </c>
      <c r="AX45" s="23">
        <f t="shared" si="6"/>
        <v>6.4794298094147648E-2</v>
      </c>
      <c r="AY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8.4</v>
      </c>
      <c r="BD45" s="13">
        <f>IF('Données projet'!$A$88&gt;35,BD44+BC45-BL44,IF(A45&lt;'Données projet'!$A$88,$BA$205^A45,IF(A45='Données projet'!$A$88,'Données projet'!$B$88,BD44+BC45-BL44)))</f>
        <v>132.80000000000004</v>
      </c>
      <c r="BE45" s="14">
        <f>BD45*VLOOKUP('Données projet'!$B$11,Paramètres!$A$1:$I$89,3,0)*VLOOKUP('Données projet'!$B$11,Paramètres!$A$1:$I$89,5,0)</f>
        <v>120.15744000000002</v>
      </c>
      <c r="BF45" s="14">
        <f t="shared" si="37"/>
        <v>31.711716786129845</v>
      </c>
      <c r="BG45" s="22">
        <f t="shared" si="7"/>
        <v>264.50544806917623</v>
      </c>
      <c r="BH45" s="62">
        <f t="shared" si="8"/>
        <v>557.83878140250954</v>
      </c>
      <c r="BI45" s="62">
        <f ca="1">AVERAGE(OFFSET($BH$3,0,0,'Données projet'!$E$11+1,1))-AVERAGE(OFFSET($H$3,0,0,'Données projet'!$E$11+1,1))</f>
        <v>428.8489304403459</v>
      </c>
      <c r="BJ45" s="62">
        <f t="shared" si="38"/>
        <v>247.01165577562966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8.1999999999999993</v>
      </c>
      <c r="BY45" s="13">
        <f>IF('Données projet'!$A$114&gt;35,BY44+BX45-CG44,IF(A45&lt;'Données projet'!$A$114,$BV$205^A45,IF(A45='Données projet'!$A$114,'Données projet'!$B$114,BY44+BX45-CG44)))</f>
        <v>180.39999999999986</v>
      </c>
      <c r="BZ45" s="14">
        <f>BY45*VLOOKUP('Données projet'!$B$12,Paramètres!$A$1:$I$89,3,0)*VLOOKUP('Données projet'!$B$12,Paramètres!$A$1:$I$89,5,0)</f>
        <v>132.2692799999999</v>
      </c>
      <c r="CA45" s="14">
        <f t="shared" si="39"/>
        <v>34.520194019648734</v>
      </c>
      <c r="CB45" s="22">
        <f t="shared" si="10"/>
        <v>290.49166725088799</v>
      </c>
      <c r="CC45" s="62">
        <f t="shared" si="11"/>
        <v>583.82500058422124</v>
      </c>
      <c r="CD45" s="62">
        <f ca="1">AVERAGE(OFFSET($CC$3,0,0,'Données projet'!$E$12+1,1))-AVERAGE(OFFSET($H$3,0,0,'Données projet'!$E$12+1,1))</f>
        <v>290.85271051443431</v>
      </c>
      <c r="CE45" s="62">
        <f t="shared" si="40"/>
        <v>318.66958823451142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11.142857142857142</v>
      </c>
      <c r="CT45" s="13">
        <f>IF('Données projet'!$A$140&gt;35,CT44+CS45-DB44,IF(A45&lt;'Données projet'!$A$140,$CQ$205^A45,IF(A45='Données projet'!$A$140,'Données projet'!$B$140,CT44+CS45-DB44)))</f>
        <v>207.71428571428567</v>
      </c>
      <c r="CU45" s="18">
        <f>CT45*VLOOKUP('Données projet'!$B$13,Paramètres!$A$1:$I$89,3,0)*VLOOKUP('Données projet'!$B$13,Paramètres!$A$1:$I$89,5,0)</f>
        <v>162.01714285714283</v>
      </c>
      <c r="CV45" s="14">
        <f t="shared" si="41"/>
        <v>41.297155335096676</v>
      </c>
      <c r="CW45" s="22">
        <f t="shared" si="13"/>
        <v>354.10573601815048</v>
      </c>
      <c r="CX45" s="62">
        <f t="shared" si="14"/>
        <v>647.43906935148379</v>
      </c>
      <c r="CY45" s="62">
        <f ca="1">AVERAGE(OFFSET($CX$3,0,0,'Données projet'!$E$13+1,1))-AVERAGE(OFFSET($H$3,0,0,'Données projet'!$E$13+1,1))</f>
        <v>292.57482726862594</v>
      </c>
      <c r="CZ45" s="62">
        <f t="shared" si="42"/>
        <v>283.48738729114024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8.1999999999999993</v>
      </c>
      <c r="DO45" s="13">
        <f>IF('Données projet'!$A$166&gt;35,DO44+DN45-DW44,IF(A45&lt;'Données projet'!$A$166,$DL$205^A45,IF(A45='Données projet'!$A$166,'Données projet'!$B$166,DO44+DN45-DW44)))</f>
        <v>180.39999999999986</v>
      </c>
      <c r="DP45" s="18">
        <f>DO45*VLOOKUP('Données projet'!$B$14,Paramètres!$A$1:$I$89,3,0)*VLOOKUP('Données projet'!$B$14,Paramètres!$A$1:$I$89,5,0)</f>
        <v>143.52623999999989</v>
      </c>
      <c r="DQ45" s="14">
        <f t="shared" si="43"/>
        <v>37.10364433723624</v>
      </c>
      <c r="DR45" s="22">
        <f t="shared" si="16"/>
        <v>314.59704855401958</v>
      </c>
      <c r="DS45" s="62">
        <f t="shared" si="17"/>
        <v>607.93038188735295</v>
      </c>
      <c r="DT45" s="62">
        <f ca="1">AVERAGE(OFFSET($DS$3,0,0,'Données projet'!$E$14+1,1))-AVERAGE(OFFSET($H$3,0,0,'Données projet'!$E$14+1,1))</f>
        <v>312.53381881960331</v>
      </c>
      <c r="DU45" s="62">
        <f t="shared" si="44"/>
        <v>342.06887933351783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5.7692307692307683</v>
      </c>
      <c r="EJ45" s="13">
        <f>IF('Données projet'!$A$192&gt;35,EJ44+EI45-ER44,IF(A45&lt;'Données projet'!$A$192,$EG$205^A45,IF(A45='Données projet'!$A$192,'Données projet'!$B$192,EJ44+EI45-ER44)))</f>
        <v>135.25641025641033</v>
      </c>
      <c r="EK45" s="18">
        <f>EJ45*VLOOKUP('Données projet'!$B$15,Paramètres!$A$1:$I$89,3,0)*VLOOKUP('Données projet'!$B$15,Paramètres!$A$1:$I$89,5,0)</f>
        <v>128.71000000000009</v>
      </c>
      <c r="EL45" s="14">
        <f t="shared" si="45"/>
        <v>33.698105419900322</v>
      </c>
      <c r="EM45" s="22">
        <f t="shared" si="19"/>
        <v>282.86078360632649</v>
      </c>
      <c r="EN45" s="62">
        <f t="shared" si="20"/>
        <v>576.19411693965981</v>
      </c>
      <c r="EO45" s="62">
        <f ca="1">AVERAGE(OFFSET($EN$3,0,0,'Données projet'!$E$15+1,1))-AVERAGE(OFFSET($H$3,0,0,'Données projet'!$E$15+1,1))</f>
        <v>363.37916970915211</v>
      </c>
      <c r="EP45" s="62">
        <f t="shared" si="46"/>
        <v>281.52963027844595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10.869230769230773</v>
      </c>
      <c r="FE45" s="13">
        <f>IF('Données projet'!$A$218&gt;35,FE44+FD45-FM44,IF(A45&lt;'Données projet'!$A$218,$FB$205^A45,IF(A45='Données projet'!$A$218,'Données projet'!$B$218,FE44+FD45-FM44)))</f>
        <v>219.53846153846152</v>
      </c>
      <c r="FF45" s="18">
        <f>FE45*VLOOKUP('Données projet'!$B$16,Paramètres!$A$1:$I$89,3,0)*VLOOKUP('Données projet'!$B$16,Paramètres!$A$1:$I$89,5,0)</f>
        <v>102.74399999999999</v>
      </c>
      <c r="FG45" s="14">
        <f t="shared" si="47"/>
        <v>27.614684221611544</v>
      </c>
      <c r="FH45" s="22">
        <f t="shared" si="22"/>
        <v>227.04137501930674</v>
      </c>
      <c r="FI45" s="62">
        <f t="shared" si="23"/>
        <v>520.37470835264003</v>
      </c>
      <c r="FJ45" s="62">
        <f ca="1">AVERAGE(OFFSET($FI$3,0,0,'Données projet'!$E$16+1,1))-AVERAGE(OFFSET($H$3,0,0,'Données projet'!$E$16+1,1))</f>
        <v>245.47494516762282</v>
      </c>
      <c r="FK45" s="62">
        <f t="shared" si="48"/>
        <v>145.54897745089966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8.4</v>
      </c>
      <c r="FZ45" s="13">
        <f>IF('Données projet'!$A$244&gt;35,FZ44+FY45-GH44,IF(A45&lt;'Données projet'!$A$244,$FW$205^A45,IF(A45='Données projet'!$A$244,'Données projet'!$B$244,FZ44+FY45-GH44)))</f>
        <v>132.80000000000004</v>
      </c>
      <c r="GA45" s="18">
        <f>FZ45*VLOOKUP('Données projet'!$B$17,Paramètres!$A$1:$I$89,3,0)*VLOOKUP('Données projet'!$B$17,Paramètres!$A$1:$I$89,5,0)</f>
        <v>128.44416000000004</v>
      </c>
      <c r="GB45" s="14">
        <f t="shared" si="49"/>
        <v>33.636598855068954</v>
      </c>
      <c r="GC45" s="22">
        <f t="shared" si="25"/>
        <v>282.29065500591184</v>
      </c>
      <c r="GD45" s="62">
        <f t="shared" si="26"/>
        <v>575.62398833924522</v>
      </c>
      <c r="GE45" s="62">
        <f ca="1">AVERAGE(OFFSET($GD$3,0,0,'Données projet'!$E$17+1,1))-AVERAGE(OFFSET($H$3,0,0,'Données projet'!$E$17+1,1))</f>
        <v>455.50822833641354</v>
      </c>
      <c r="GF45" s="62">
        <f t="shared" si="50"/>
        <v>261.14722581688039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6.7948717948717956</v>
      </c>
      <c r="GU45" s="13">
        <f>IF('Données projet'!$A$270&gt;35,GU44+GT45-HC44,IF(A45&lt;'Données projet'!$A$270,$GR$205^A45,IF(A45='Données projet'!$A$270,'Données projet'!$B$270,GU44+GT45-HC44)))</f>
        <v>170.00000000000003</v>
      </c>
      <c r="GV45" s="18">
        <f>GU45*VLOOKUP('Données projet'!$B$18,Paramètres!$A$1:$I$89,3,0)*VLOOKUP('Données projet'!$B$18,Paramètres!$A$1:$I$89,5,0)</f>
        <v>114.03600000000002</v>
      </c>
      <c r="GW45" s="14">
        <f t="shared" si="51"/>
        <v>30.279894261296121</v>
      </c>
      <c r="GX45" s="22">
        <f t="shared" si="28"/>
        <v>251.35018250509077</v>
      </c>
      <c r="GY45" s="62">
        <f t="shared" si="29"/>
        <v>544.68351583842411</v>
      </c>
      <c r="GZ45" s="62">
        <f ca="1">AVERAGE(OFFSET($GY$3,0,0,'Données projet'!$E$18+1,1))-AVERAGE(OFFSET($H$3,0,0,'Données projet'!$E$18+1,1))</f>
        <v>312.06797204903796</v>
      </c>
      <c r="HA45" s="62">
        <f t="shared" si="52"/>
        <v>258.20189001775151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</row>
    <row r="46" spans="1:218" s="5" customFormat="1" x14ac:dyDescent="0.25">
      <c r="A46" s="11">
        <f t="shared" si="31"/>
        <v>43</v>
      </c>
      <c r="B46" s="76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9">
        <f t="shared" si="1"/>
        <v>256.66666666666669</v>
      </c>
      <c r="I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17.519780219780223</v>
      </c>
      <c r="N46" s="14">
        <f>IF('Données projet'!$A$36&gt;35,N45+M46-V45,IF(A46&lt;'Données projet'!$A$36,$K$205^A46,IF(A46='Données projet'!$A$36,'Données projet'!$B$36,N45+M46-V45)))</f>
        <v>299.45054945054954</v>
      </c>
      <c r="O46" s="14">
        <f>N46*VLOOKUP('Données projet'!$B$9,Paramètres!$A$1:$I$89,3,0)*VLOOKUP('Données projet'!$B$9,Paramètres!$A$1:$I$89,5,0)</f>
        <v>167.3928571428572</v>
      </c>
      <c r="P46" s="14">
        <f t="shared" si="33"/>
        <v>42.505586135425617</v>
      </c>
      <c r="Q46" s="22">
        <f t="shared" si="53"/>
        <v>365.57312204300916</v>
      </c>
      <c r="R46" s="62">
        <f t="shared" si="0"/>
        <v>658.90645537634248</v>
      </c>
      <c r="S46" s="62">
        <f ca="1">AVERAGE(OFFSET($R$3,0,0,'Données projet'!$E$9+1,1))-AVERAGE(OFFSET($H$3,0,0,'Données projet'!$E$9+1,1))</f>
        <v>323.98185264074681</v>
      </c>
      <c r="T46" s="62">
        <f t="shared" si="34"/>
        <v>301.22207291854005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3.4494485306981622</v>
      </c>
      <c r="AA46" s="23">
        <f>EXP(-LN(2)/25)*AA45+(1-EXP(-LN(2)/25))/(LN(2)/25)*Calculateur!V46*Calculateur!X46*VLOOKUP('Données projet'!$B$9,Paramètres!$A$1:$I$89,3,0)*0.475*44/12</f>
        <v>5.751434469446365</v>
      </c>
      <c r="AB46" s="23">
        <f>EXP(-LN(2)/2)*AB45+(1-EXP(-LN(2)/2))/(LN(2)/2)*V46*Y46*VLOOKUP('Données projet'!$B$9,Paramètres!$A$1:$I$89,3,0)*0.475*44/12</f>
        <v>6.7261402176000823E-2</v>
      </c>
      <c r="AC46" s="24">
        <f t="shared" si="3"/>
        <v>9.2681444023205284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11.861538461538462</v>
      </c>
      <c r="AI46" s="14">
        <f>IF('Données projet'!$A$62&gt;35,AI45+AH46-AQ45,IF(A46&lt;'Données projet'!$A$62,$AF$205^A46,IF(A46='Données projet'!$A$62,'Données projet'!$B$62,AI45+AH46-AQ45)))</f>
        <v>208.05384615384611</v>
      </c>
      <c r="AJ46" s="14">
        <f>AI46*VLOOKUP('Données projet'!$B$10,Paramètres!$A$1:$I$89,3,0)*VLOOKUP('Données projet'!$B$10,Paramètres!$A$1:$I$89,5,0)</f>
        <v>124.41619999999999</v>
      </c>
      <c r="AK46" s="14">
        <f t="shared" si="35"/>
        <v>32.702828934083335</v>
      </c>
      <c r="AL46" s="22">
        <f t="shared" si="4"/>
        <v>273.64897539352847</v>
      </c>
      <c r="AM46" s="62">
        <f t="shared" si="5"/>
        <v>566.98230872686179</v>
      </c>
      <c r="AN46" s="62">
        <f ca="1">AVERAGE(OFFSET($AM$3,0,0,'Données projet'!$E$10+1,1))-AVERAGE(OFFSET($H$3,0,0,'Données projet'!$E$10+1,1))</f>
        <v>289.12367833861299</v>
      </c>
      <c r="AO46" s="62">
        <f t="shared" si="36"/>
        <v>229.06617320689003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4.5816487564594395E-2</v>
      </c>
      <c r="AX46" s="23">
        <f t="shared" si="6"/>
        <v>4.5816487564594395E-2</v>
      </c>
      <c r="AY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8.4</v>
      </c>
      <c r="BD46" s="13">
        <f>IF('Données projet'!$A$88&gt;35,BD45+BC46-BL45,IF(A46&lt;'Données projet'!$A$88,$BA$205^A46,IF(A46='Données projet'!$A$88,'Données projet'!$B$88,BD45+BC46-BL45)))</f>
        <v>141.20000000000005</v>
      </c>
      <c r="BE46" s="14">
        <f>BD46*VLOOKUP('Données projet'!$B$11,Paramètres!$A$1:$I$89,3,0)*VLOOKUP('Données projet'!$B$11,Paramètres!$A$1:$I$89,5,0)</f>
        <v>127.75776000000003</v>
      </c>
      <c r="BF46" s="14">
        <f t="shared" si="37"/>
        <v>33.477720030956604</v>
      </c>
      <c r="BG46" s="22">
        <f t="shared" si="7"/>
        <v>280.81846105391611</v>
      </c>
      <c r="BH46" s="62">
        <f t="shared" si="8"/>
        <v>574.15179438724942</v>
      </c>
      <c r="BI46" s="62">
        <f ca="1">AVERAGE(OFFSET($BH$3,0,0,'Données projet'!$E$11+1,1))-AVERAGE(OFFSET($H$3,0,0,'Données projet'!$E$11+1,1))</f>
        <v>428.8489304403459</v>
      </c>
      <c r="BJ46" s="62">
        <f t="shared" si="38"/>
        <v>247.01165577562966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8.1999999999999993</v>
      </c>
      <c r="BY46" s="13">
        <f>IF('Données projet'!$A$114&gt;35,BY45+BX46-CG45,IF(A46&lt;'Données projet'!$A$114,$BV$205^A46,IF(A46='Données projet'!$A$114,'Données projet'!$B$114,BY45+BX46-CG45)))</f>
        <v>188.59999999999985</v>
      </c>
      <c r="BZ46" s="14">
        <f>BY46*VLOOKUP('Données projet'!$B$12,Paramètres!$A$1:$I$89,3,0)*VLOOKUP('Données projet'!$B$12,Paramètres!$A$1:$I$89,5,0)</f>
        <v>138.28151999999989</v>
      </c>
      <c r="CA46" s="14">
        <f t="shared" si="39"/>
        <v>35.903043322174639</v>
      </c>
      <c r="CB46" s="22">
        <f t="shared" si="10"/>
        <v>303.37144778612065</v>
      </c>
      <c r="CC46" s="62">
        <f t="shared" si="11"/>
        <v>596.70478111945397</v>
      </c>
      <c r="CD46" s="62">
        <f ca="1">AVERAGE(OFFSET($CC$3,0,0,'Données projet'!$E$12+1,1))-AVERAGE(OFFSET($H$3,0,0,'Données projet'!$E$12+1,1))</f>
        <v>290.85271051443431</v>
      </c>
      <c r="CE46" s="62">
        <f t="shared" si="40"/>
        <v>318.66958823451142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11.142857142857142</v>
      </c>
      <c r="CT46" s="13">
        <f>IF('Données projet'!$A$140&gt;35,CT45+CS46-DB45,IF(A46&lt;'Données projet'!$A$140,$CQ$205^A46,IF(A46='Données projet'!$A$140,'Données projet'!$B$140,CT45+CS46-DB45)))</f>
        <v>218.8571428571428</v>
      </c>
      <c r="CU46" s="18">
        <f>CT46*VLOOKUP('Données projet'!$B$13,Paramètres!$A$1:$I$89,3,0)*VLOOKUP('Données projet'!$B$13,Paramètres!$A$1:$I$89,5,0)</f>
        <v>170.70857142857139</v>
      </c>
      <c r="CV46" s="14">
        <f t="shared" si="41"/>
        <v>43.248681576985412</v>
      </c>
      <c r="CW46" s="22">
        <f t="shared" si="13"/>
        <v>372.64221565134471</v>
      </c>
      <c r="CX46" s="62">
        <f t="shared" si="14"/>
        <v>665.97554898467797</v>
      </c>
      <c r="CY46" s="62">
        <f ca="1">AVERAGE(OFFSET($CX$3,0,0,'Données projet'!$E$13+1,1))-AVERAGE(OFFSET($H$3,0,0,'Données projet'!$E$13+1,1))</f>
        <v>292.57482726862594</v>
      </c>
      <c r="CZ46" s="62">
        <f t="shared" si="42"/>
        <v>283.48738729114024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8.1999999999999993</v>
      </c>
      <c r="DO46" s="13">
        <f>IF('Données projet'!$A$166&gt;35,DO45+DN46-DW45,IF(A46&lt;'Données projet'!$A$166,$DL$205^A46,IF(A46='Données projet'!$A$166,'Données projet'!$B$166,DO45+DN46-DW45)))</f>
        <v>188.59999999999985</v>
      </c>
      <c r="DP46" s="18">
        <f>DO46*VLOOKUP('Données projet'!$B$14,Paramètres!$A$1:$I$89,3,0)*VLOOKUP('Données projet'!$B$14,Paramètres!$A$1:$I$89,5,0)</f>
        <v>150.05015999999989</v>
      </c>
      <c r="DQ46" s="14">
        <f t="shared" si="43"/>
        <v>38.589984439024569</v>
      </c>
      <c r="DR46" s="22">
        <f t="shared" si="16"/>
        <v>328.5482515646342</v>
      </c>
      <c r="DS46" s="62">
        <f t="shared" si="17"/>
        <v>621.88158489796751</v>
      </c>
      <c r="DT46" s="62">
        <f ca="1">AVERAGE(OFFSET($DS$3,0,0,'Données projet'!$E$14+1,1))-AVERAGE(OFFSET($H$3,0,0,'Données projet'!$E$14+1,1))</f>
        <v>312.53381881960331</v>
      </c>
      <c r="DU46" s="62">
        <f t="shared" si="44"/>
        <v>342.06887933351783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5.7692307692307683</v>
      </c>
      <c r="EJ46" s="13">
        <f>IF('Données projet'!$A$192&gt;35,EJ45+EI46-ER45,IF(A46&lt;'Données projet'!$A$192,$EG$205^A46,IF(A46='Données projet'!$A$192,'Données projet'!$B$192,EJ45+EI46-ER45)))</f>
        <v>141.02564102564111</v>
      </c>
      <c r="EK46" s="18">
        <f>EJ46*VLOOKUP('Données projet'!$B$15,Paramètres!$A$1:$I$89,3,0)*VLOOKUP('Données projet'!$B$15,Paramètres!$A$1:$I$89,5,0)</f>
        <v>134.20000000000007</v>
      </c>
      <c r="EL46" s="14">
        <f t="shared" si="45"/>
        <v>34.965052756825415</v>
      </c>
      <c r="EM46" s="22">
        <f t="shared" si="19"/>
        <v>294.62913355147111</v>
      </c>
      <c r="EN46" s="62">
        <f t="shared" si="20"/>
        <v>587.96246688480437</v>
      </c>
      <c r="EO46" s="62">
        <f ca="1">AVERAGE(OFFSET($EN$3,0,0,'Données projet'!$E$15+1,1))-AVERAGE(OFFSET($H$3,0,0,'Données projet'!$E$15+1,1))</f>
        <v>363.37916970915211</v>
      </c>
      <c r="EP46" s="62">
        <f t="shared" si="46"/>
        <v>281.52963027844595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10.869230769230773</v>
      </c>
      <c r="FE46" s="13">
        <f>IF('Données projet'!$A$218&gt;35,FE45+FD46-FM45,IF(A46&lt;'Données projet'!$A$218,$FB$205^A46,IF(A46='Données projet'!$A$218,'Données projet'!$B$218,FE45+FD46-FM45)))</f>
        <v>230.40769230769229</v>
      </c>
      <c r="FF46" s="18">
        <f>FE46*VLOOKUP('Données projet'!$B$16,Paramètres!$A$1:$I$89,3,0)*VLOOKUP('Données projet'!$B$16,Paramètres!$A$1:$I$89,5,0)</f>
        <v>107.8308</v>
      </c>
      <c r="FG46" s="14">
        <f t="shared" si="47"/>
        <v>28.819313214368158</v>
      </c>
      <c r="FH46" s="22">
        <f t="shared" si="22"/>
        <v>237.99894718169116</v>
      </c>
      <c r="FI46" s="62">
        <f t="shared" si="23"/>
        <v>531.33228051502442</v>
      </c>
      <c r="FJ46" s="62">
        <f ca="1">AVERAGE(OFFSET($FI$3,0,0,'Données projet'!$E$16+1,1))-AVERAGE(OFFSET($H$3,0,0,'Données projet'!$E$16+1,1))</f>
        <v>245.47494516762282</v>
      </c>
      <c r="FK46" s="62">
        <f t="shared" si="48"/>
        <v>145.54897745089966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8.4</v>
      </c>
      <c r="FZ46" s="13">
        <f>IF('Données projet'!$A$244&gt;35,FZ45+FY46-GH45,IF(A46&lt;'Données projet'!$A$244,$FW$205^A46,IF(A46='Données projet'!$A$244,'Données projet'!$B$244,FZ45+FY46-GH45)))</f>
        <v>141.20000000000005</v>
      </c>
      <c r="GA46" s="18">
        <f>FZ46*VLOOKUP('Données projet'!$B$17,Paramètres!$A$1:$I$89,3,0)*VLOOKUP('Données projet'!$B$17,Paramètres!$A$1:$I$89,5,0)</f>
        <v>136.56864000000004</v>
      </c>
      <c r="GB46" s="14">
        <f t="shared" si="49"/>
        <v>35.509797430964703</v>
      </c>
      <c r="GC46" s="22">
        <f t="shared" si="25"/>
        <v>299.70327852559694</v>
      </c>
      <c r="GD46" s="62">
        <f t="shared" si="26"/>
        <v>593.0366118589302</v>
      </c>
      <c r="GE46" s="62">
        <f ca="1">AVERAGE(OFFSET($GD$3,0,0,'Données projet'!$E$17+1,1))-AVERAGE(OFFSET($H$3,0,0,'Données projet'!$E$17+1,1))</f>
        <v>455.50822833641354</v>
      </c>
      <c r="GF46" s="62">
        <f t="shared" si="50"/>
        <v>261.14722581688039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6.7948717948717956</v>
      </c>
      <c r="GU46" s="13">
        <f>IF('Données projet'!$A$270&gt;35,GU45+GT46-HC45,IF(A46&lt;'Données projet'!$A$270,$GR$205^A46,IF(A46='Données projet'!$A$270,'Données projet'!$B$270,GU45+GT46-HC45)))</f>
        <v>176.79487179487182</v>
      </c>
      <c r="GV46" s="18">
        <f>GU46*VLOOKUP('Données projet'!$B$18,Paramètres!$A$1:$I$89,3,0)*VLOOKUP('Données projet'!$B$18,Paramètres!$A$1:$I$89,5,0)</f>
        <v>118.59400000000002</v>
      </c>
      <c r="GW46" s="14">
        <f t="shared" si="51"/>
        <v>31.346848285873225</v>
      </c>
      <c r="GX46" s="22">
        <f t="shared" si="28"/>
        <v>261.14697743122923</v>
      </c>
      <c r="GY46" s="62">
        <f t="shared" si="29"/>
        <v>554.48031076456255</v>
      </c>
      <c r="GZ46" s="62">
        <f ca="1">AVERAGE(OFFSET($GY$3,0,0,'Données projet'!$E$18+1,1))-AVERAGE(OFFSET($H$3,0,0,'Données projet'!$E$18+1,1))</f>
        <v>312.06797204903796</v>
      </c>
      <c r="HA46" s="62">
        <f t="shared" si="52"/>
        <v>258.20189001775151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</row>
    <row r="47" spans="1:218" s="5" customFormat="1" x14ac:dyDescent="0.25">
      <c r="A47" s="11">
        <f t="shared" si="31"/>
        <v>44</v>
      </c>
      <c r="B47" s="76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9">
        <f t="shared" si="1"/>
        <v>256.66666666666669</v>
      </c>
      <c r="I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17.519780219780223</v>
      </c>
      <c r="N47" s="14">
        <f>IF('Données projet'!$A$36&gt;35,N46+M47-V46,IF(A47&lt;'Données projet'!$A$36,$K$205^A47,IF(A47='Données projet'!$A$36,'Données projet'!$B$36,N46+M47-V46)))</f>
        <v>316.97032967032976</v>
      </c>
      <c r="O47" s="14">
        <f>N47*VLOOKUP('Données projet'!$B$9,Paramètres!$A$1:$I$89,3,0)*VLOOKUP('Données projet'!$B$9,Paramètres!$A$1:$I$89,5,0)</f>
        <v>177.18641428571433</v>
      </c>
      <c r="P47" s="14">
        <f t="shared" si="33"/>
        <v>44.695642380138821</v>
      </c>
      <c r="Q47" s="22">
        <f t="shared" si="53"/>
        <v>386.44458202636088</v>
      </c>
      <c r="R47" s="62">
        <f t="shared" si="0"/>
        <v>679.77791535969413</v>
      </c>
      <c r="S47" s="62">
        <f ca="1">AVERAGE(OFFSET($R$3,0,0,'Données projet'!$E$9+1,1))-AVERAGE(OFFSET($H$3,0,0,'Données projet'!$E$9+1,1))</f>
        <v>323.98185264074681</v>
      </c>
      <c r="T47" s="62">
        <f t="shared" si="34"/>
        <v>301.22207291854005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3.3818069489670264</v>
      </c>
      <c r="AA47" s="23">
        <f>EXP(-LN(2)/25)*AA46+(1-EXP(-LN(2)/25))/(LN(2)/25)*Calculateur!V47*Calculateur!X47*VLOOKUP('Données projet'!$B$9,Paramètres!$A$1:$I$89,3,0)*0.475*44/12</f>
        <v>5.5941611914245604</v>
      </c>
      <c r="AB47" s="23">
        <f>EXP(-LN(2)/2)*AB46+(1-EXP(-LN(2)/2))/(LN(2)/2)*V47*Y47*VLOOKUP('Données projet'!$B$9,Paramètres!$A$1:$I$89,3,0)*0.475*44/12</f>
        <v>4.7560993590765786E-2</v>
      </c>
      <c r="AC47" s="24">
        <f t="shared" si="3"/>
        <v>9.0235291339823522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11.861538461538462</v>
      </c>
      <c r="AI47" s="14">
        <f>IF('Données projet'!$A$62&gt;35,AI46+AH47-AQ46,IF(A47&lt;'Données projet'!$A$62,$AF$205^A47,IF(A47='Données projet'!$A$62,'Données projet'!$B$62,AI46+AH47-AQ46)))</f>
        <v>219.91538461538457</v>
      </c>
      <c r="AJ47" s="14">
        <f>AI47*VLOOKUP('Données projet'!$B$10,Paramètres!$A$1:$I$89,3,0)*VLOOKUP('Données projet'!$B$10,Paramètres!$A$1:$I$89,5,0)</f>
        <v>131.50939999999997</v>
      </c>
      <c r="AK47" s="14">
        <f t="shared" si="35"/>
        <v>34.344902681781569</v>
      </c>
      <c r="AL47" s="22">
        <f t="shared" si="4"/>
        <v>288.86291050410284</v>
      </c>
      <c r="AM47" s="62">
        <f t="shared" si="5"/>
        <v>582.19624383743621</v>
      </c>
      <c r="AN47" s="62">
        <f ca="1">AVERAGE(OFFSET($AM$3,0,0,'Données projet'!$E$10+1,1))-AVERAGE(OFFSET($H$3,0,0,'Données projet'!$E$10+1,1))</f>
        <v>289.12367833861299</v>
      </c>
      <c r="AO47" s="62">
        <f t="shared" si="36"/>
        <v>229.06617320689003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3.2397149047073824E-2</v>
      </c>
      <c r="AX47" s="23">
        <f t="shared" si="6"/>
        <v>3.2397149047073824E-2</v>
      </c>
      <c r="AY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8.4</v>
      </c>
      <c r="BD47" s="13">
        <f>IF('Données projet'!$A$88&gt;35,BD46+BC47-BL46,IF(A47&lt;'Données projet'!$A$88,$BA$205^A47,IF(A47='Données projet'!$A$88,'Données projet'!$B$88,BD46+BC47-BL46)))</f>
        <v>149.60000000000005</v>
      </c>
      <c r="BE47" s="14">
        <f>BD47*VLOOKUP('Données projet'!$B$11,Paramètres!$A$1:$I$89,3,0)*VLOOKUP('Données projet'!$B$11,Paramètres!$A$1:$I$89,5,0)</f>
        <v>135.35808000000006</v>
      </c>
      <c r="BF47" s="14">
        <f t="shared" si="37"/>
        <v>35.231528980112834</v>
      </c>
      <c r="BG47" s="22">
        <f t="shared" si="7"/>
        <v>297.11023564036327</v>
      </c>
      <c r="BH47" s="62">
        <f t="shared" si="8"/>
        <v>590.44356897369653</v>
      </c>
      <c r="BI47" s="62">
        <f ca="1">AVERAGE(OFFSET($BH$3,0,0,'Données projet'!$E$11+1,1))-AVERAGE(OFFSET($H$3,0,0,'Données projet'!$E$11+1,1))</f>
        <v>428.8489304403459</v>
      </c>
      <c r="BJ47" s="62">
        <f t="shared" si="38"/>
        <v>247.01165577562966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8.1999999999999993</v>
      </c>
      <c r="BY47" s="13">
        <f>IF('Données projet'!$A$114&gt;35,BY46+BX47-CG46,IF(A47&lt;'Données projet'!$A$114,$BV$205^A47,IF(A47='Données projet'!$A$114,'Données projet'!$B$114,BY46+BX47-CG46)))</f>
        <v>196.79999999999984</v>
      </c>
      <c r="BZ47" s="14">
        <f>BY47*VLOOKUP('Données projet'!$B$12,Paramètres!$A$1:$I$89,3,0)*VLOOKUP('Données projet'!$B$12,Paramètres!$A$1:$I$89,5,0)</f>
        <v>144.29375999999988</v>
      </c>
      <c r="CA47" s="14">
        <f t="shared" si="39"/>
        <v>37.278909560653922</v>
      </c>
      <c r="CB47" s="22">
        <f t="shared" si="10"/>
        <v>316.23906615147206</v>
      </c>
      <c r="CC47" s="62">
        <f t="shared" si="11"/>
        <v>609.57239948480537</v>
      </c>
      <c r="CD47" s="62">
        <f ca="1">AVERAGE(OFFSET($CC$3,0,0,'Données projet'!$E$12+1,1))-AVERAGE(OFFSET($H$3,0,0,'Données projet'!$E$12+1,1))</f>
        <v>290.85271051443431</v>
      </c>
      <c r="CE47" s="62">
        <f t="shared" si="40"/>
        <v>318.66958823451142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>
        <f>VLOOKUP(A47,'Données projet'!$A$139:$I$159,2,0)</f>
        <v>230</v>
      </c>
      <c r="CR47" s="13">
        <f>VLOOKUP(A47,'Données projet'!$A$139:$I$159,9,0)</f>
        <v>11.142857142857142</v>
      </c>
      <c r="CS47" s="13">
        <f t="array" ref="CS47">INDEX(CR:CR,MIN(IF(ISNUMBER(CR47:CR243),ROW(CR47:CR243),"")))</f>
        <v>11.142857142857142</v>
      </c>
      <c r="CT47" s="13">
        <f>IF('Données projet'!$A$140&gt;35,CT46+CS47-DB46,IF(A47&lt;'Données projet'!$A$140,$CQ$205^A47,IF(A47='Données projet'!$A$140,'Données projet'!$B$140,CT46+CS47-DB46)))</f>
        <v>229.99999999999994</v>
      </c>
      <c r="CU47" s="18">
        <f>CT47*VLOOKUP('Données projet'!$B$13,Paramètres!$A$1:$I$89,3,0)*VLOOKUP('Données projet'!$B$13,Paramètres!$A$1:$I$89,5,0)</f>
        <v>179.39999999999995</v>
      </c>
      <c r="CV47" s="14">
        <f t="shared" si="41"/>
        <v>45.188671291872232</v>
      </c>
      <c r="CW47" s="22">
        <f t="shared" si="13"/>
        <v>391.15860250001066</v>
      </c>
      <c r="CX47" s="62">
        <f t="shared" si="14"/>
        <v>684.49193583334397</v>
      </c>
      <c r="CY47" s="62">
        <f ca="1">AVERAGE(OFFSET($CX$3,0,0,'Données projet'!$E$13+1,1))-AVERAGE(OFFSET($H$3,0,0,'Données projet'!$E$13+1,1))</f>
        <v>292.57482726862594</v>
      </c>
      <c r="CZ47" s="62">
        <f t="shared" si="42"/>
        <v>283.48738729114024</v>
      </c>
      <c r="DA47" s="16">
        <f>IF(ISNA(VLOOKUP(A47,'Données projet'!$A$139:$I$159,3,0)),0,VLOOKUP(A47,'Données projet'!$A$139:$I$159,3,0))</f>
        <v>4</v>
      </c>
      <c r="DB47" s="16">
        <f>IF(ISNA(VLOOKUP(A47,'Données projet'!$A$139:$I$159,4,0)),0,VLOOKUP(A47,'Données projet'!$A$139:$I$159,4,0))</f>
        <v>43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8.1999999999999993</v>
      </c>
      <c r="DO47" s="13">
        <f>IF('Données projet'!$A$166&gt;35,DO46+DN47-DW46,IF(A47&lt;'Données projet'!$A$166,$DL$205^A47,IF(A47='Données projet'!$A$166,'Données projet'!$B$166,DO46+DN47-DW46)))</f>
        <v>196.79999999999984</v>
      </c>
      <c r="DP47" s="18">
        <f>DO47*VLOOKUP('Données projet'!$B$14,Paramètres!$A$1:$I$89,3,0)*VLOOKUP('Données projet'!$B$14,Paramètres!$A$1:$I$89,5,0)</f>
        <v>156.5740799999999</v>
      </c>
      <c r="DQ47" s="14">
        <f t="shared" si="43"/>
        <v>40.068818872547432</v>
      </c>
      <c r="DR47" s="22">
        <f t="shared" si="16"/>
        <v>342.4863822030199</v>
      </c>
      <c r="DS47" s="62">
        <f t="shared" si="17"/>
        <v>635.81971553635321</v>
      </c>
      <c r="DT47" s="62">
        <f ca="1">AVERAGE(OFFSET($DS$3,0,0,'Données projet'!$E$14+1,1))-AVERAGE(OFFSET($H$3,0,0,'Données projet'!$E$14+1,1))</f>
        <v>312.53381881960331</v>
      </c>
      <c r="DU47" s="62">
        <f t="shared" si="44"/>
        <v>342.06887933351783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5.7692307692307683</v>
      </c>
      <c r="EJ47" s="13">
        <f>IF('Données projet'!$A$192&gt;35,EJ46+EI47-ER46,IF(A47&lt;'Données projet'!$A$192,$EG$205^A47,IF(A47='Données projet'!$A$192,'Données projet'!$B$192,EJ46+EI47-ER46)))</f>
        <v>146.79487179487188</v>
      </c>
      <c r="EK47" s="18">
        <f>EJ47*VLOOKUP('Données projet'!$B$15,Paramètres!$A$1:$I$89,3,0)*VLOOKUP('Données projet'!$B$15,Paramètres!$A$1:$I$89,5,0)</f>
        <v>139.69000000000008</v>
      </c>
      <c r="EL47" s="14">
        <f t="shared" si="45"/>
        <v>36.225979688604163</v>
      </c>
      <c r="EM47" s="22">
        <f t="shared" si="19"/>
        <v>306.3869979576524</v>
      </c>
      <c r="EN47" s="62">
        <f t="shared" si="20"/>
        <v>599.72033129098577</v>
      </c>
      <c r="EO47" s="62">
        <f ca="1">AVERAGE(OFFSET($EN$3,0,0,'Données projet'!$E$15+1,1))-AVERAGE(OFFSET($H$3,0,0,'Données projet'!$E$15+1,1))</f>
        <v>363.37916970915211</v>
      </c>
      <c r="EP47" s="62">
        <f t="shared" si="46"/>
        <v>281.52963027844595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10.869230769230773</v>
      </c>
      <c r="FE47" s="13">
        <f>IF('Données projet'!$A$218&gt;35,FE46+FD47-FM46,IF(A47&lt;'Données projet'!$A$218,$FB$205^A47,IF(A47='Données projet'!$A$218,'Données projet'!$B$218,FE46+FD47-FM46)))</f>
        <v>241.27692307692305</v>
      </c>
      <c r="FF47" s="18">
        <f>FE47*VLOOKUP('Données projet'!$B$16,Paramètres!$A$1:$I$89,3,0)*VLOOKUP('Données projet'!$B$16,Paramètres!$A$1:$I$89,5,0)</f>
        <v>112.91759999999999</v>
      </c>
      <c r="FG47" s="14">
        <f t="shared" si="47"/>
        <v>30.017343081157474</v>
      </c>
      <c r="FH47" s="22">
        <f t="shared" si="22"/>
        <v>248.9450258663492</v>
      </c>
      <c r="FI47" s="62">
        <f t="shared" si="23"/>
        <v>542.27835919968254</v>
      </c>
      <c r="FJ47" s="62">
        <f ca="1">AVERAGE(OFFSET($FI$3,0,0,'Données projet'!$E$16+1,1))-AVERAGE(OFFSET($H$3,0,0,'Données projet'!$E$16+1,1))</f>
        <v>245.47494516762282</v>
      </c>
      <c r="FK47" s="62">
        <f t="shared" si="48"/>
        <v>145.54897745089966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8.4</v>
      </c>
      <c r="FZ47" s="13">
        <f>IF('Données projet'!$A$244&gt;35,FZ46+FY47-GH46,IF(A47&lt;'Données projet'!$A$244,$FW$205^A47,IF(A47='Données projet'!$A$244,'Données projet'!$B$244,FZ46+FY47-GH46)))</f>
        <v>149.60000000000005</v>
      </c>
      <c r="GA47" s="18">
        <f>FZ47*VLOOKUP('Données projet'!$B$17,Paramètres!$A$1:$I$89,3,0)*VLOOKUP('Données projet'!$B$17,Paramètres!$A$1:$I$89,5,0)</f>
        <v>144.69312000000005</v>
      </c>
      <c r="GB47" s="14">
        <f t="shared" si="49"/>
        <v>37.370061524802772</v>
      </c>
      <c r="GC47" s="22">
        <f t="shared" si="25"/>
        <v>317.09337448903153</v>
      </c>
      <c r="GD47" s="62">
        <f t="shared" si="26"/>
        <v>610.42670782236485</v>
      </c>
      <c r="GE47" s="62">
        <f ca="1">AVERAGE(OFFSET($GD$3,0,0,'Données projet'!$E$17+1,1))-AVERAGE(OFFSET($H$3,0,0,'Données projet'!$E$17+1,1))</f>
        <v>455.50822833641354</v>
      </c>
      <c r="GF47" s="62">
        <f t="shared" si="50"/>
        <v>261.14722581688039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6.7948717948717956</v>
      </c>
      <c r="GU47" s="13">
        <f>IF('Données projet'!$A$270&gt;35,GU46+GT47-HC46,IF(A47&lt;'Données projet'!$A$270,$GR$205^A47,IF(A47='Données projet'!$A$270,'Données projet'!$B$270,GU46+GT47-HC46)))</f>
        <v>183.58974358974362</v>
      </c>
      <c r="GV47" s="18">
        <f>GU47*VLOOKUP('Données projet'!$B$18,Paramètres!$A$1:$I$89,3,0)*VLOOKUP('Données projet'!$B$18,Paramètres!$A$1:$I$89,5,0)</f>
        <v>123.15200000000002</v>
      </c>
      <c r="GW47" s="14">
        <f t="shared" si="51"/>
        <v>32.409038525483382</v>
      </c>
      <c r="GX47" s="22">
        <f t="shared" si="28"/>
        <v>270.93547543188362</v>
      </c>
      <c r="GY47" s="62">
        <f t="shared" si="29"/>
        <v>564.26880876521693</v>
      </c>
      <c r="GZ47" s="62">
        <f ca="1">AVERAGE(OFFSET($GY$3,0,0,'Données projet'!$E$18+1,1))-AVERAGE(OFFSET($H$3,0,0,'Données projet'!$E$18+1,1))</f>
        <v>312.06797204903796</v>
      </c>
      <c r="HA47" s="62">
        <f t="shared" si="52"/>
        <v>258.20189001775151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</row>
    <row r="48" spans="1:218" s="5" customFormat="1" x14ac:dyDescent="0.25">
      <c r="A48" s="11">
        <f t="shared" si="31"/>
        <v>45</v>
      </c>
      <c r="B48" s="76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9">
        <f t="shared" si="1"/>
        <v>256.66666666666669</v>
      </c>
      <c r="I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17.519780219780223</v>
      </c>
      <c r="N48" s="14">
        <f>IF('Données projet'!$A$36&gt;35,N47+M48-V47,IF(A48&lt;'Données projet'!$A$36,$K$205^A48,IF(A48='Données projet'!$A$36,'Données projet'!$B$36,N47+M48-V47)))</f>
        <v>334.49010989010998</v>
      </c>
      <c r="O48" s="14">
        <f>N48*VLOOKUP('Données projet'!$B$9,Paramètres!$A$1:$I$89,3,0)*VLOOKUP('Données projet'!$B$9,Paramètres!$A$1:$I$89,5,0)</f>
        <v>186.9799714285715</v>
      </c>
      <c r="P48" s="14">
        <f t="shared" si="33"/>
        <v>46.871646064498115</v>
      </c>
      <c r="Q48" s="22">
        <f t="shared" si="53"/>
        <v>407.29156713376295</v>
      </c>
      <c r="R48" s="62">
        <f t="shared" si="0"/>
        <v>700.62490046709627</v>
      </c>
      <c r="S48" s="62">
        <f ca="1">AVERAGE(OFFSET($R$3,0,0,'Données projet'!$E$9+1,1))-AVERAGE(OFFSET($H$3,0,0,'Données projet'!$E$9+1,1))</f>
        <v>323.98185264074681</v>
      </c>
      <c r="T48" s="62">
        <f t="shared" si="34"/>
        <v>301.22207291854005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3.3154917773963475</v>
      </c>
      <c r="AA48" s="23">
        <f>EXP(-LN(2)/25)*AA47+(1-EXP(-LN(2)/25))/(LN(2)/25)*Calculateur!V48*Calculateur!X48*VLOOKUP('Données projet'!$B$9,Paramètres!$A$1:$I$89,3,0)*0.475*44/12</f>
        <v>5.4411885594609046</v>
      </c>
      <c r="AB48" s="23">
        <f>EXP(-LN(2)/2)*AB47+(1-EXP(-LN(2)/2))/(LN(2)/2)*V48*Y48*VLOOKUP('Données projet'!$B$9,Paramètres!$A$1:$I$89,3,0)*0.475*44/12</f>
        <v>3.3630701088000411E-2</v>
      </c>
      <c r="AC48" s="24">
        <f t="shared" si="3"/>
        <v>8.7903110379452531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11.861538461538462</v>
      </c>
      <c r="AI48" s="14">
        <f>IF('Données projet'!$A$62&gt;35,AI47+AH48-AQ47,IF(A48&lt;'Données projet'!$A$62,$AF$205^A48,IF(A48='Données projet'!$A$62,'Données projet'!$B$62,AI47+AH48-AQ47)))</f>
        <v>231.77692307692303</v>
      </c>
      <c r="AJ48" s="14">
        <f>AI48*VLOOKUP('Données projet'!$B$10,Paramètres!$A$1:$I$89,3,0)*VLOOKUP('Données projet'!$B$10,Paramètres!$A$1:$I$89,5,0)</f>
        <v>138.60259999999997</v>
      </c>
      <c r="AK48" s="14">
        <f t="shared" si="35"/>
        <v>35.976694116938198</v>
      </c>
      <c r="AL48" s="22">
        <f t="shared" si="4"/>
        <v>304.0589372536673</v>
      </c>
      <c r="AM48" s="62">
        <f t="shared" si="5"/>
        <v>597.39227058700067</v>
      </c>
      <c r="AN48" s="62">
        <f ca="1">AVERAGE(OFFSET($AM$3,0,0,'Données projet'!$E$10+1,1))-AVERAGE(OFFSET($H$3,0,0,'Données projet'!$E$10+1,1))</f>
        <v>289.12367833861299</v>
      </c>
      <c r="AO48" s="62">
        <f t="shared" si="36"/>
        <v>229.06617320689003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2.2908243782297198E-2</v>
      </c>
      <c r="AX48" s="23">
        <f t="shared" si="6"/>
        <v>2.2908243782297198E-2</v>
      </c>
      <c r="AY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158</v>
      </c>
      <c r="BB48" s="13">
        <f>VLOOKUP(A48,'Données projet'!$A$87:$I$107,9,0)</f>
        <v>8.4</v>
      </c>
      <c r="BC48" s="13">
        <f t="array" ref="BC48">INDEX(BB:BB,MIN(IF(ISNUMBER(BB48:BB244),ROW(BB48:BB244),"")))</f>
        <v>8.4</v>
      </c>
      <c r="BD48" s="13">
        <f>IF('Données projet'!$A$88&gt;35,BD47+BC48-BL47,IF(A48&lt;'Données projet'!$A$88,$BA$205^A48,IF(A48='Données projet'!$A$88,'Données projet'!$B$88,BD47+BC48-BL47)))</f>
        <v>158.00000000000006</v>
      </c>
      <c r="BE48" s="14">
        <f>BD48*VLOOKUP('Données projet'!$B$11,Paramètres!$A$1:$I$89,3,0)*VLOOKUP('Données projet'!$B$11,Paramètres!$A$1:$I$89,5,0)</f>
        <v>142.95840000000004</v>
      </c>
      <c r="BF48" s="14">
        <f t="shared" si="37"/>
        <v>36.973906370811264</v>
      </c>
      <c r="BG48" s="22">
        <f t="shared" si="7"/>
        <v>313.38210026249641</v>
      </c>
      <c r="BH48" s="62">
        <f t="shared" si="8"/>
        <v>606.71543359582972</v>
      </c>
      <c r="BI48" s="62">
        <f ca="1">AVERAGE(OFFSET($BH$3,0,0,'Données projet'!$E$11+1,1))-AVERAGE(OFFSET($H$3,0,0,'Données projet'!$E$11+1,1))</f>
        <v>428.8489304403459</v>
      </c>
      <c r="BJ48" s="62">
        <f t="shared" si="38"/>
        <v>247.01165577562966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205</v>
      </c>
      <c r="BW48" s="13">
        <f>VLOOKUP(A48,'Données projet'!$A$113:$I$133,9,0)</f>
        <v>8.1999999999999993</v>
      </c>
      <c r="BX48" s="13">
        <f t="array" ref="BX48">INDEX(BW:BW,MIN(IF(ISNUMBER(BW48:BW244),ROW(BW48:BW244),"")))</f>
        <v>8.1999999999999993</v>
      </c>
      <c r="BY48" s="13">
        <f>IF('Données projet'!$A$114&gt;35,BY47+BX48-CG47,IF(A48&lt;'Données projet'!$A$114,$BV$205^A48,IF(A48='Données projet'!$A$114,'Données projet'!$B$114,BY47+BX48-CG47)))</f>
        <v>204.99999999999983</v>
      </c>
      <c r="BZ48" s="14">
        <f>BY48*VLOOKUP('Données projet'!$B$12,Paramètres!$A$1:$I$89,3,0)*VLOOKUP('Données projet'!$B$12,Paramètres!$A$1:$I$89,5,0)</f>
        <v>150.30599999999987</v>
      </c>
      <c r="CA48" s="14">
        <f t="shared" si="39"/>
        <v>38.648116968856641</v>
      </c>
      <c r="CB48" s="22">
        <f t="shared" si="10"/>
        <v>329.09508705409172</v>
      </c>
      <c r="CC48" s="62">
        <f t="shared" si="11"/>
        <v>622.42842038742504</v>
      </c>
      <c r="CD48" s="62">
        <f ca="1">AVERAGE(OFFSET($CC$3,0,0,'Données projet'!$E$12+1,1))-AVERAGE(OFFSET($H$3,0,0,'Données projet'!$E$12+1,1))</f>
        <v>290.85271051443431</v>
      </c>
      <c r="CE48" s="62">
        <f t="shared" si="40"/>
        <v>318.66958823451142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10.375</v>
      </c>
      <c r="CT48" s="13">
        <f>IF('Données projet'!$A$140&gt;35,CT47+CS48-DB47,IF(A48&lt;'Données projet'!$A$140,$CQ$205^A48,IF(A48='Données projet'!$A$140,'Données projet'!$B$140,CT47+CS48-DB47)))</f>
        <v>197.37499999999994</v>
      </c>
      <c r="CU48" s="18">
        <f>CT48*VLOOKUP('Données projet'!$B$13,Paramètres!$A$1:$I$89,3,0)*VLOOKUP('Données projet'!$B$13,Paramètres!$A$1:$I$89,5,0)</f>
        <v>153.95249999999996</v>
      </c>
      <c r="CV48" s="14">
        <f t="shared" si="41"/>
        <v>39.475441267837397</v>
      </c>
      <c r="CW48" s="22">
        <f t="shared" si="13"/>
        <v>336.88699770815003</v>
      </c>
      <c r="CX48" s="62">
        <f t="shared" si="14"/>
        <v>630.2203310414834</v>
      </c>
      <c r="CY48" s="62">
        <f ca="1">AVERAGE(OFFSET($CX$3,0,0,'Données projet'!$E$13+1,1))-AVERAGE(OFFSET($H$3,0,0,'Données projet'!$E$13+1,1))</f>
        <v>292.57482726862594</v>
      </c>
      <c r="CZ48" s="62">
        <f t="shared" si="42"/>
        <v>283.48738729114024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205</v>
      </c>
      <c r="DM48" s="13">
        <f>VLOOKUP(A48,'Données projet'!$A$165:$I$185,9,0)</f>
        <v>8.1999999999999993</v>
      </c>
      <c r="DN48" s="13">
        <f t="array" ref="DN48">INDEX(DM:DM,MIN(IF(ISNUMBER(DM48:DM244),ROW(DM48:DM244),"")))</f>
        <v>8.1999999999999993</v>
      </c>
      <c r="DO48" s="13">
        <f>IF('Données projet'!$A$166&gt;35,DO47+DN48-DW47,IF(A48&lt;'Données projet'!$A$166,$DL$205^A48,IF(A48='Données projet'!$A$166,'Données projet'!$B$166,DO47+DN48-DW47)))</f>
        <v>204.99999999999983</v>
      </c>
      <c r="DP48" s="18">
        <f>DO48*VLOOKUP('Données projet'!$B$14,Paramètres!$A$1:$I$89,3,0)*VLOOKUP('Données projet'!$B$14,Paramètres!$A$1:$I$89,5,0)</f>
        <v>163.09799999999987</v>
      </c>
      <c r="DQ48" s="14">
        <f t="shared" si="43"/>
        <v>41.540496136845107</v>
      </c>
      <c r="DR48" s="22">
        <f t="shared" si="16"/>
        <v>356.41204743833833</v>
      </c>
      <c r="DS48" s="62">
        <f t="shared" si="17"/>
        <v>649.74538077167165</v>
      </c>
      <c r="DT48" s="62">
        <f ca="1">AVERAGE(OFFSET($DS$3,0,0,'Données projet'!$E$14+1,1))-AVERAGE(OFFSET($H$3,0,0,'Données projet'!$E$14+1,1))</f>
        <v>312.53381881960331</v>
      </c>
      <c r="DU48" s="62">
        <f t="shared" si="44"/>
        <v>342.06887933351783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152.56410256410257</v>
      </c>
      <c r="EH48" s="13">
        <f>VLOOKUP(A48,'Données projet'!$A$191:$I$211,9,0)</f>
        <v>5.7692307692307683</v>
      </c>
      <c r="EI48" s="13">
        <f t="array" ref="EI48">INDEX(EH:EH,MIN(IF(ISNUMBER(EH48:EH244),ROW(EH48:EH244),"")))</f>
        <v>5.7692307692307683</v>
      </c>
      <c r="EJ48" s="13">
        <f>IF('Données projet'!$A$192&gt;35,EJ47+EI48-ER47,IF(A48&lt;'Données projet'!$A$192,$EG$205^A48,IF(A48='Données projet'!$A$192,'Données projet'!$B$192,EJ47+EI48-ER47)))</f>
        <v>152.56410256410265</v>
      </c>
      <c r="EK48" s="18">
        <f>EJ48*VLOOKUP('Données projet'!$B$15,Paramètres!$A$1:$I$89,3,0)*VLOOKUP('Données projet'!$B$15,Paramètres!$A$1:$I$89,5,0)</f>
        <v>145.18000000000009</v>
      </c>
      <c r="EL48" s="14">
        <f t="shared" si="45"/>
        <v>37.481149901429063</v>
      </c>
      <c r="EM48" s="22">
        <f t="shared" si="19"/>
        <v>318.13483607832245</v>
      </c>
      <c r="EN48" s="62">
        <f t="shared" si="20"/>
        <v>611.46816941165571</v>
      </c>
      <c r="EO48" s="62">
        <f ca="1">AVERAGE(OFFSET($EN$3,0,0,'Données projet'!$E$15+1,1))-AVERAGE(OFFSET($H$3,0,0,'Données projet'!$E$15+1,1))</f>
        <v>363.37916970915211</v>
      </c>
      <c r="EP48" s="62">
        <f t="shared" si="46"/>
        <v>281.52963027844595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252.14615384615385</v>
      </c>
      <c r="FC48" s="13">
        <f>VLOOKUP(A48,'Données projet'!$A$217:$I$237,9,0)</f>
        <v>10.869230769230773</v>
      </c>
      <c r="FD48" s="13">
        <f t="array" ref="FD48">INDEX(FC:FC,MIN(IF(ISNUMBER(FC48:FC244),ROW(FC48:FC244),"")))</f>
        <v>10.869230769230773</v>
      </c>
      <c r="FE48" s="13">
        <f>IF('Données projet'!$A$218&gt;35,FE47+FD48-FM47,IF(A48&lt;'Données projet'!$A$218,$FB$205^A48,IF(A48='Données projet'!$A$218,'Données projet'!$B$218,FE47+FD48-FM47)))</f>
        <v>252.14615384615382</v>
      </c>
      <c r="FF48" s="18">
        <f>FE48*VLOOKUP('Données projet'!$B$16,Paramètres!$A$1:$I$89,3,0)*VLOOKUP('Données projet'!$B$16,Paramètres!$A$1:$I$89,5,0)</f>
        <v>118.00439999999999</v>
      </c>
      <c r="FG48" s="14">
        <f t="shared" si="47"/>
        <v>31.209105068500421</v>
      </c>
      <c r="FH48" s="22">
        <f t="shared" si="22"/>
        <v>259.88018799430489</v>
      </c>
      <c r="FI48" s="62">
        <f t="shared" si="23"/>
        <v>553.2135213276382</v>
      </c>
      <c r="FJ48" s="62">
        <f ca="1">AVERAGE(OFFSET($FI$3,0,0,'Données projet'!$E$16+1,1))-AVERAGE(OFFSET($H$3,0,0,'Données projet'!$E$16+1,1))</f>
        <v>245.47494516762282</v>
      </c>
      <c r="FK48" s="62">
        <f t="shared" si="48"/>
        <v>145.54897745089966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158</v>
      </c>
      <c r="FX48" s="13">
        <f>VLOOKUP(A48,'Données projet'!$A$243:$I$263,9,0)</f>
        <v>8.4</v>
      </c>
      <c r="FY48" s="13">
        <f t="array" ref="FY48">INDEX(FX:FX,MIN(IF(ISNUMBER(FX48:FX244),ROW(FX48:FX244),"")))</f>
        <v>8.4</v>
      </c>
      <c r="FZ48" s="13">
        <f>IF('Données projet'!$A$244&gt;35,FZ47+FY48-GH47,IF(A48&lt;'Données projet'!$A$244,$FW$205^A48,IF(A48='Données projet'!$A$244,'Données projet'!$B$244,FZ47+FY48-GH47)))</f>
        <v>158.00000000000006</v>
      </c>
      <c r="GA48" s="18">
        <f>FZ48*VLOOKUP('Données projet'!$B$17,Paramètres!$A$1:$I$89,3,0)*VLOOKUP('Données projet'!$B$17,Paramètres!$A$1:$I$89,5,0)</f>
        <v>152.81760000000006</v>
      </c>
      <c r="GB48" s="14">
        <f t="shared" si="49"/>
        <v>39.218200171484227</v>
      </c>
      <c r="GC48" s="22">
        <f t="shared" si="25"/>
        <v>334.46235196533513</v>
      </c>
      <c r="GD48" s="62">
        <f t="shared" si="26"/>
        <v>627.79568529866845</v>
      </c>
      <c r="GE48" s="62">
        <f ca="1">AVERAGE(OFFSET($GD$3,0,0,'Données projet'!$E$17+1,1))-AVERAGE(OFFSET($H$3,0,0,'Données projet'!$E$17+1,1))</f>
        <v>455.50822833641354</v>
      </c>
      <c r="GF48" s="62">
        <f t="shared" si="50"/>
        <v>261.14722581688039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>
        <f>VLOOKUP(A48,'Données projet'!$A$269:$I$289,2,0)</f>
        <v>190.38461538461539</v>
      </c>
      <c r="GS48" s="13">
        <f>VLOOKUP(A48,'Données projet'!$A$269:$I$289,9,0)</f>
        <v>6.7948717948717956</v>
      </c>
      <c r="GT48" s="13">
        <f t="array" ref="GT48">INDEX(GS:GS,MIN(IF(ISNUMBER(GS48:GS244),ROW(GS48:GS244),"")))</f>
        <v>6.7948717948717956</v>
      </c>
      <c r="GU48" s="13">
        <f>IF('Données projet'!$A$270&gt;35,GU47+GT48-HC47,IF(A48&lt;'Données projet'!$A$270,$GR$205^A48,IF(A48='Données projet'!$A$270,'Données projet'!$B$270,GU47+GT48-HC47)))</f>
        <v>190.38461538461542</v>
      </c>
      <c r="GV48" s="18">
        <f>GU48*VLOOKUP('Données projet'!$B$18,Paramètres!$A$1:$I$89,3,0)*VLOOKUP('Données projet'!$B$18,Paramètres!$A$1:$I$89,5,0)</f>
        <v>127.71000000000002</v>
      </c>
      <c r="GW48" s="14">
        <f t="shared" si="51"/>
        <v>33.466661484162984</v>
      </c>
      <c r="GX48" s="22">
        <f t="shared" si="28"/>
        <v>280.71601875158382</v>
      </c>
      <c r="GY48" s="62">
        <f t="shared" si="29"/>
        <v>574.04935208491713</v>
      </c>
      <c r="GZ48" s="62">
        <f ca="1">AVERAGE(OFFSET($GY$3,0,0,'Données projet'!$E$18+1,1))-AVERAGE(OFFSET($H$3,0,0,'Données projet'!$E$18+1,1))</f>
        <v>312.06797204903796</v>
      </c>
      <c r="HA48" s="62">
        <f t="shared" si="52"/>
        <v>258.20189001775151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</row>
    <row r="49" spans="1:218" s="5" customFormat="1" x14ac:dyDescent="0.25">
      <c r="A49" s="11">
        <f t="shared" si="31"/>
        <v>46</v>
      </c>
      <c r="B49" s="76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9">
        <f t="shared" si="1"/>
        <v>256.66666666666669</v>
      </c>
      <c r="I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17.519780219780223</v>
      </c>
      <c r="N49" s="14">
        <f>IF('Données projet'!$A$36&gt;35,N48+M49-V48,IF(A49&lt;'Données projet'!$A$36,$K$205^A49,IF(A49='Données projet'!$A$36,'Données projet'!$B$36,N48+M49-V48)))</f>
        <v>352.00989010989019</v>
      </c>
      <c r="O49" s="14">
        <f>N49*VLOOKUP('Données projet'!$B$9,Paramètres!$A$1:$I$89,3,0)*VLOOKUP('Données projet'!$B$9,Paramètres!$A$1:$I$89,5,0)</f>
        <v>196.77352857142861</v>
      </c>
      <c r="P49" s="14">
        <f t="shared" si="33"/>
        <v>49.034417171503861</v>
      </c>
      <c r="Q49" s="22">
        <f t="shared" si="53"/>
        <v>428.11550550227406</v>
      </c>
      <c r="R49" s="62">
        <f t="shared" si="0"/>
        <v>721.44883883560738</v>
      </c>
      <c r="S49" s="62">
        <f ca="1">AVERAGE(OFFSET($R$3,0,0,'Données projet'!$E$9+1,1))-AVERAGE(OFFSET($H$3,0,0,'Données projet'!$E$9+1,1))</f>
        <v>323.98185264074681</v>
      </c>
      <c r="T49" s="62">
        <f t="shared" si="34"/>
        <v>301.22207291854005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3.2504770058919088</v>
      </c>
      <c r="AA49" s="23">
        <f>EXP(-LN(2)/25)*AA48+(1-EXP(-LN(2)/25))/(LN(2)/25)*Calculateur!V49*Calculateur!X49*VLOOKUP('Données projet'!$B$9,Paramètres!$A$1:$I$89,3,0)*0.475*44/12</f>
        <v>5.2923989721627756</v>
      </c>
      <c r="AB49" s="23">
        <f>EXP(-LN(2)/2)*AB48+(1-EXP(-LN(2)/2))/(LN(2)/2)*V49*Y49*VLOOKUP('Données projet'!$B$9,Paramètres!$A$1:$I$89,3,0)*0.475*44/12</f>
        <v>2.3780496795382893E-2</v>
      </c>
      <c r="AC49" s="24">
        <f t="shared" si="3"/>
        <v>8.5666564748500669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11.861538461538462</v>
      </c>
      <c r="AI49" s="14">
        <f>IF('Données projet'!$A$62&gt;35,AI48+AH49-AQ48,IF(A49&lt;'Données projet'!$A$62,$AF$205^A49,IF(A49='Données projet'!$A$62,'Données projet'!$B$62,AI48+AH49-AQ48)))</f>
        <v>243.63846153846148</v>
      </c>
      <c r="AJ49" s="14">
        <f>AI49*VLOOKUP('Données projet'!$B$10,Paramètres!$A$1:$I$89,3,0)*VLOOKUP('Données projet'!$B$10,Paramètres!$A$1:$I$89,5,0)</f>
        <v>145.69579999999996</v>
      </c>
      <c r="AK49" s="14">
        <f t="shared" si="35"/>
        <v>37.598789481990465</v>
      </c>
      <c r="AL49" s="22">
        <f t="shared" si="4"/>
        <v>319.23807668113335</v>
      </c>
      <c r="AM49" s="62">
        <f t="shared" si="5"/>
        <v>612.57141001446666</v>
      </c>
      <c r="AN49" s="62">
        <f ca="1">AVERAGE(OFFSET($AM$3,0,0,'Données projet'!$E$10+1,1))-AVERAGE(OFFSET($H$3,0,0,'Données projet'!$E$10+1,1))</f>
        <v>289.12367833861299</v>
      </c>
      <c r="AO49" s="62">
        <f t="shared" si="36"/>
        <v>229.06617320689003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1.6198574523536912E-2</v>
      </c>
      <c r="AX49" s="23">
        <f t="shared" si="6"/>
        <v>1.6198574523536912E-2</v>
      </c>
      <c r="AY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8.1999999999999993</v>
      </c>
      <c r="BD49" s="13">
        <f>IF('Données projet'!$A$88&gt;35,BD48+BC49-BL48,IF(A49&lt;'Données projet'!$A$88,$BA$205^A49,IF(A49='Données projet'!$A$88,'Données projet'!$B$88,BD48+BC49-BL48)))</f>
        <v>166.20000000000005</v>
      </c>
      <c r="BE49" s="14">
        <f>BD49*VLOOKUP('Données projet'!$B$11,Paramètres!$A$1:$I$89,3,0)*VLOOKUP('Données projet'!$B$11,Paramètres!$A$1:$I$89,5,0)</f>
        <v>150.37776000000002</v>
      </c>
      <c r="BF49" s="14">
        <f t="shared" si="37"/>
        <v>38.664420365454049</v>
      </c>
      <c r="BG49" s="22">
        <f t="shared" si="7"/>
        <v>329.24846413649914</v>
      </c>
      <c r="BH49" s="62">
        <f t="shared" si="8"/>
        <v>622.58179746983251</v>
      </c>
      <c r="BI49" s="62">
        <f ca="1">AVERAGE(OFFSET($BH$3,0,0,'Données projet'!$E$11+1,1))-AVERAGE(OFFSET($H$3,0,0,'Données projet'!$E$11+1,1))</f>
        <v>428.8489304403459</v>
      </c>
      <c r="BJ49" s="62">
        <f t="shared" si="38"/>
        <v>247.01165577562966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7</v>
      </c>
      <c r="BY49" s="13">
        <f>IF('Données projet'!$A$114&gt;35,BY48+BX49-CG48,IF(A49&lt;'Données projet'!$A$114,$BV$205^A49,IF(A49='Données projet'!$A$114,'Données projet'!$B$114,BY48+BX49-CG48)))</f>
        <v>211.99999999999983</v>
      </c>
      <c r="BZ49" s="14">
        <f>BY49*VLOOKUP('Données projet'!$B$12,Paramètres!$A$1:$I$89,3,0)*VLOOKUP('Données projet'!$B$12,Paramètres!$A$1:$I$89,5,0)</f>
        <v>155.43839999999986</v>
      </c>
      <c r="CA49" s="14">
        <f t="shared" si="39"/>
        <v>39.811908198208883</v>
      </c>
      <c r="CB49" s="22">
        <f t="shared" si="10"/>
        <v>340.06095344521356</v>
      </c>
      <c r="CC49" s="62">
        <f t="shared" si="11"/>
        <v>633.39428677854687</v>
      </c>
      <c r="CD49" s="62">
        <f ca="1">AVERAGE(OFFSET($CC$3,0,0,'Données projet'!$E$12+1,1))-AVERAGE(OFFSET($H$3,0,0,'Données projet'!$E$12+1,1))</f>
        <v>290.85271051443431</v>
      </c>
      <c r="CE49" s="62">
        <f t="shared" si="40"/>
        <v>318.66958823451142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10.375</v>
      </c>
      <c r="CT49" s="13">
        <f>IF('Données projet'!$A$140&gt;35,CT48+CS49-DB48,IF(A49&lt;'Données projet'!$A$140,$CQ$205^A49,IF(A49='Données projet'!$A$140,'Données projet'!$B$140,CT48+CS49-DB48)))</f>
        <v>207.74999999999994</v>
      </c>
      <c r="CU49" s="18">
        <f>CT49*VLOOKUP('Données projet'!$B$13,Paramètres!$A$1:$I$89,3,0)*VLOOKUP('Données projet'!$B$13,Paramètres!$A$1:$I$89,5,0)</f>
        <v>162.04499999999996</v>
      </c>
      <c r="CV49" s="14">
        <f t="shared" si="41"/>
        <v>41.303429372463391</v>
      </c>
      <c r="CW49" s="22">
        <f t="shared" si="13"/>
        <v>354.16518115704031</v>
      </c>
      <c r="CX49" s="62">
        <f t="shared" si="14"/>
        <v>647.49851449037362</v>
      </c>
      <c r="CY49" s="62">
        <f ca="1">AVERAGE(OFFSET($CX$3,0,0,'Données projet'!$E$13+1,1))-AVERAGE(OFFSET($H$3,0,0,'Données projet'!$E$13+1,1))</f>
        <v>292.57482726862594</v>
      </c>
      <c r="CZ49" s="62">
        <f t="shared" si="42"/>
        <v>283.48738729114024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7</v>
      </c>
      <c r="DO49" s="13">
        <f>IF('Données projet'!$A$166&gt;35,DO48+DN49-DW48,IF(A49&lt;'Données projet'!$A$166,$DL$205^A49,IF(A49='Données projet'!$A$166,'Données projet'!$B$166,DO48+DN49-DW48)))</f>
        <v>211.99999999999983</v>
      </c>
      <c r="DP49" s="18">
        <f>DO49*VLOOKUP('Données projet'!$B$14,Paramètres!$A$1:$I$89,3,0)*VLOOKUP('Données projet'!$B$14,Paramètres!$A$1:$I$89,5,0)</f>
        <v>168.66719999999987</v>
      </c>
      <c r="DQ49" s="14">
        <f t="shared" si="43"/>
        <v>42.791384119459089</v>
      </c>
      <c r="DR49" s="22">
        <f t="shared" si="16"/>
        <v>368.29036734139095</v>
      </c>
      <c r="DS49" s="62">
        <f t="shared" si="17"/>
        <v>661.6237006747242</v>
      </c>
      <c r="DT49" s="62">
        <f ca="1">AVERAGE(OFFSET($DS$3,0,0,'Données projet'!$E$14+1,1))-AVERAGE(OFFSET($H$3,0,0,'Données projet'!$E$14+1,1))</f>
        <v>312.53381881960331</v>
      </c>
      <c r="DU49" s="62">
        <f t="shared" si="44"/>
        <v>342.06887933351783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5.5128205128205083</v>
      </c>
      <c r="EJ49" s="13">
        <f>IF('Données projet'!$A$192&gt;35,EJ48+EI49-ER48,IF(A49&lt;'Données projet'!$A$192,$EG$205^A49,IF(A49='Données projet'!$A$192,'Données projet'!$B$192,EJ48+EI49-ER48)))</f>
        <v>158.07692307692315</v>
      </c>
      <c r="EK49" s="18">
        <f>EJ49*VLOOKUP('Données projet'!$B$15,Paramètres!$A$1:$I$89,3,0)*VLOOKUP('Données projet'!$B$15,Paramètres!$A$1:$I$89,5,0)</f>
        <v>150.42600000000007</v>
      </c>
      <c r="EL49" s="14">
        <f t="shared" si="45"/>
        <v>38.67537966484668</v>
      </c>
      <c r="EM49" s="22">
        <f t="shared" si="19"/>
        <v>329.35156958294141</v>
      </c>
      <c r="EN49" s="62">
        <f t="shared" si="20"/>
        <v>622.68490291627472</v>
      </c>
      <c r="EO49" s="62">
        <f ca="1">AVERAGE(OFFSET($EN$3,0,0,'Données projet'!$E$15+1,1))-AVERAGE(OFFSET($H$3,0,0,'Données projet'!$E$15+1,1))</f>
        <v>363.37916970915211</v>
      </c>
      <c r="EP49" s="62">
        <f t="shared" si="46"/>
        <v>281.52963027844595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11.615384615384608</v>
      </c>
      <c r="FE49" s="13">
        <f>IF('Données projet'!$A$218&gt;35,FE48+FD49-FM48,IF(A49&lt;'Données projet'!$A$218,$FB$205^A49,IF(A49='Données projet'!$A$218,'Données projet'!$B$218,FE48+FD49-FM48)))</f>
        <v>263.76153846153841</v>
      </c>
      <c r="FF49" s="18">
        <f>FE49*VLOOKUP('Données projet'!$B$16,Paramètres!$A$1:$I$89,3,0)*VLOOKUP('Données projet'!$B$16,Paramètres!$A$1:$I$89,5,0)</f>
        <v>123.44039999999998</v>
      </c>
      <c r="FG49" s="14">
        <f t="shared" si="47"/>
        <v>32.476091260477197</v>
      </c>
      <c r="FH49" s="22">
        <f t="shared" si="22"/>
        <v>271.55455561199773</v>
      </c>
      <c r="FI49" s="62">
        <f t="shared" si="23"/>
        <v>564.88788894533104</v>
      </c>
      <c r="FJ49" s="62">
        <f ca="1">AVERAGE(OFFSET($FI$3,0,0,'Données projet'!$E$16+1,1))-AVERAGE(OFFSET($H$3,0,0,'Données projet'!$E$16+1,1))</f>
        <v>245.47494516762282</v>
      </c>
      <c r="FK49" s="62">
        <f t="shared" si="48"/>
        <v>145.54897745089966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8.1999999999999993</v>
      </c>
      <c r="FZ49" s="13">
        <f>IF('Données projet'!$A$244&gt;35,FZ48+FY49-GH48,IF(A49&lt;'Données projet'!$A$244,$FW$205^A49,IF(A49='Données projet'!$A$244,'Données projet'!$B$244,FZ48+FY49-GH48)))</f>
        <v>166.20000000000005</v>
      </c>
      <c r="GA49" s="18">
        <f>FZ49*VLOOKUP('Données projet'!$B$17,Paramètres!$A$1:$I$89,3,0)*VLOOKUP('Données projet'!$B$17,Paramètres!$A$1:$I$89,5,0)</f>
        <v>160.74864000000005</v>
      </c>
      <c r="GB49" s="14">
        <f t="shared" si="49"/>
        <v>41.011327345272264</v>
      </c>
      <c r="GC49" s="22">
        <f t="shared" si="25"/>
        <v>351.39860979301596</v>
      </c>
      <c r="GD49" s="62">
        <f t="shared" si="26"/>
        <v>644.73194312634928</v>
      </c>
      <c r="GE49" s="62">
        <f ca="1">AVERAGE(OFFSET($GD$3,0,0,'Données projet'!$E$17+1,1))-AVERAGE(OFFSET($H$3,0,0,'Données projet'!$E$17+1,1))</f>
        <v>455.50822833641354</v>
      </c>
      <c r="GF49" s="62">
        <f t="shared" si="50"/>
        <v>261.14722581688039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6.2820512820512819</v>
      </c>
      <c r="GU49" s="13">
        <f>IF('Données projet'!$A$270&gt;35,GU48+GT49-HC48,IF(A49&lt;'Données projet'!$A$270,$GR$205^A49,IF(A49='Données projet'!$A$270,'Données projet'!$B$270,GU48+GT49-HC48)))</f>
        <v>196.66666666666669</v>
      </c>
      <c r="GV49" s="18">
        <f>GU49*VLOOKUP('Données projet'!$B$18,Paramètres!$A$1:$I$89,3,0)*VLOOKUP('Données projet'!$B$18,Paramètres!$A$1:$I$89,5,0)</f>
        <v>131.92400000000001</v>
      </c>
      <c r="GW49" s="14">
        <f t="shared" si="51"/>
        <v>34.440558391692079</v>
      </c>
      <c r="GX49" s="22">
        <f t="shared" si="28"/>
        <v>289.75160586553034</v>
      </c>
      <c r="GY49" s="62">
        <f t="shared" si="29"/>
        <v>583.08493919886359</v>
      </c>
      <c r="GZ49" s="62">
        <f ca="1">AVERAGE(OFFSET($GY$3,0,0,'Données projet'!$E$18+1,1))-AVERAGE(OFFSET($H$3,0,0,'Données projet'!$E$18+1,1))</f>
        <v>312.06797204903796</v>
      </c>
      <c r="HA49" s="62">
        <f t="shared" si="52"/>
        <v>258.20189001775151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</row>
    <row r="50" spans="1:218" s="5" customFormat="1" x14ac:dyDescent="0.25">
      <c r="A50" s="11">
        <f t="shared" si="31"/>
        <v>47</v>
      </c>
      <c r="B50" s="76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9">
        <f t="shared" si="1"/>
        <v>256.66666666666669</v>
      </c>
      <c r="I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17.519780219780223</v>
      </c>
      <c r="N50" s="14">
        <f>IF('Données projet'!$A$36&gt;35,N49+M50-V49,IF(A50&lt;'Données projet'!$A$36,$K$205^A50,IF(A50='Données projet'!$A$36,'Données projet'!$B$36,N49+M50-V49)))</f>
        <v>369.52967032967041</v>
      </c>
      <c r="O50" s="14">
        <f>N50*VLOOKUP('Données projet'!$B$9,Paramètres!$A$1:$I$89,3,0)*VLOOKUP('Données projet'!$B$9,Paramètres!$A$1:$I$89,5,0)</f>
        <v>206.56708571428578</v>
      </c>
      <c r="P50" s="14">
        <f t="shared" si="33"/>
        <v>51.184689450990696</v>
      </c>
      <c r="Q50" s="22">
        <f t="shared" si="53"/>
        <v>448.91767507952318</v>
      </c>
      <c r="R50" s="62">
        <f t="shared" si="0"/>
        <v>742.25100841285644</v>
      </c>
      <c r="S50" s="62">
        <f ca="1">AVERAGE(OFFSET($R$3,0,0,'Données projet'!$E$9+1,1))-AVERAGE(OFFSET($H$3,0,0,'Données projet'!$E$9+1,1))</f>
        <v>323.98185264074681</v>
      </c>
      <c r="T50" s="62">
        <f t="shared" si="34"/>
        <v>301.22207291854005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3.1867371344015769</v>
      </c>
      <c r="AA50" s="23">
        <f>EXP(-LN(2)/25)*AA49+(1-EXP(-LN(2)/25))/(LN(2)/25)*Calculateur!V50*Calculateur!X50*VLOOKUP('Données projet'!$B$9,Paramètres!$A$1:$I$89,3,0)*0.475*44/12</f>
        <v>5.1476780439538183</v>
      </c>
      <c r="AB50" s="23">
        <f>EXP(-LN(2)/2)*AB49+(1-EXP(-LN(2)/2))/(LN(2)/2)*V50*Y50*VLOOKUP('Données projet'!$B$9,Paramètres!$A$1:$I$89,3,0)*0.475*44/12</f>
        <v>1.6815350544000206E-2</v>
      </c>
      <c r="AC50" s="24">
        <f t="shared" si="3"/>
        <v>8.3512305288993964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11.861538461538462</v>
      </c>
      <c r="AI50" s="14">
        <f>IF('Données projet'!$A$62&gt;35,AI49+AH50-AQ49,IF(A50&lt;'Données projet'!$A$62,$AF$205^A50,IF(A50='Données projet'!$A$62,'Données projet'!$B$62,AI49+AH50-AQ49)))</f>
        <v>255.49999999999994</v>
      </c>
      <c r="AJ50" s="14">
        <f>AI50*VLOOKUP('Données projet'!$B$10,Paramètres!$A$1:$I$89,3,0)*VLOOKUP('Données projet'!$B$10,Paramètres!$A$1:$I$89,5,0)</f>
        <v>152.78899999999996</v>
      </c>
      <c r="AK50" s="14">
        <f t="shared" si="35"/>
        <v>39.211714711932316</v>
      </c>
      <c r="AL50" s="22">
        <f t="shared" si="4"/>
        <v>334.40124478994869</v>
      </c>
      <c r="AM50" s="62">
        <f t="shared" si="5"/>
        <v>627.73457812328206</v>
      </c>
      <c r="AN50" s="62">
        <f ca="1">AVERAGE(OFFSET($AM$3,0,0,'Données projet'!$E$10+1,1))-AVERAGE(OFFSET($H$3,0,0,'Données projet'!$E$10+1,1))</f>
        <v>289.12367833861299</v>
      </c>
      <c r="AO50" s="62">
        <f t="shared" si="36"/>
        <v>229.06617320689003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1.1454121891148599E-2</v>
      </c>
      <c r="AX50" s="23">
        <f t="shared" si="6"/>
        <v>1.1454121891148599E-2</v>
      </c>
      <c r="AY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8.1999999999999993</v>
      </c>
      <c r="BD50" s="13">
        <f>IF('Données projet'!$A$88&gt;35,BD49+BC50-BL49,IF(A50&lt;'Données projet'!$A$88,$BA$205^A50,IF(A50='Données projet'!$A$88,'Données projet'!$B$88,BD49+BC50-BL49)))</f>
        <v>174.40000000000003</v>
      </c>
      <c r="BE50" s="14">
        <f>BD50*VLOOKUP('Données projet'!$B$11,Paramètres!$A$1:$I$89,3,0)*VLOOKUP('Données projet'!$B$11,Paramètres!$A$1:$I$89,5,0)</f>
        <v>157.79712000000004</v>
      </c>
      <c r="BF50" s="14">
        <f t="shared" si="37"/>
        <v>40.345249481546155</v>
      </c>
      <c r="BG50" s="22">
        <f t="shared" si="7"/>
        <v>345.09796018035962</v>
      </c>
      <c r="BH50" s="62">
        <f t="shared" si="8"/>
        <v>638.43129351369294</v>
      </c>
      <c r="BI50" s="62">
        <f ca="1">AVERAGE(OFFSET($BH$3,0,0,'Données projet'!$E$11+1,1))-AVERAGE(OFFSET($H$3,0,0,'Données projet'!$E$11+1,1))</f>
        <v>428.8489304403459</v>
      </c>
      <c r="BJ50" s="62">
        <f t="shared" si="38"/>
        <v>247.01165577562966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7</v>
      </c>
      <c r="BY50" s="13">
        <f>IF('Données projet'!$A$114&gt;35,BY49+BX50-CG49,IF(A50&lt;'Données projet'!$A$114,$BV$205^A50,IF(A50='Données projet'!$A$114,'Données projet'!$B$114,BY49+BX50-CG49)))</f>
        <v>218.99999999999983</v>
      </c>
      <c r="BZ50" s="14">
        <f>BY50*VLOOKUP('Données projet'!$B$12,Paramètres!$A$1:$I$89,3,0)*VLOOKUP('Données projet'!$B$12,Paramètres!$A$1:$I$89,5,0)</f>
        <v>160.57079999999985</v>
      </c>
      <c r="CA50" s="14">
        <f t="shared" si="39"/>
        <v>40.97123424416818</v>
      </c>
      <c r="CB50" s="22">
        <f t="shared" si="10"/>
        <v>351.01904297525931</v>
      </c>
      <c r="CC50" s="62">
        <f t="shared" si="11"/>
        <v>644.35237630859262</v>
      </c>
      <c r="CD50" s="62">
        <f ca="1">AVERAGE(OFFSET($CC$3,0,0,'Données projet'!$E$12+1,1))-AVERAGE(OFFSET($H$3,0,0,'Données projet'!$E$12+1,1))</f>
        <v>290.85271051443431</v>
      </c>
      <c r="CE50" s="62">
        <f t="shared" si="40"/>
        <v>318.66958823451142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10.375</v>
      </c>
      <c r="CT50" s="13">
        <f>IF('Données projet'!$A$140&gt;35,CT49+CS50-DB49,IF(A50&lt;'Données projet'!$A$140,$CQ$205^A50,IF(A50='Données projet'!$A$140,'Données projet'!$B$140,CT49+CS50-DB49)))</f>
        <v>218.12499999999994</v>
      </c>
      <c r="CU50" s="18">
        <f>CT50*VLOOKUP('Données projet'!$B$13,Paramètres!$A$1:$I$89,3,0)*VLOOKUP('Données projet'!$B$13,Paramètres!$A$1:$I$89,5,0)</f>
        <v>170.13749999999996</v>
      </c>
      <c r="CV50" s="14">
        <f t="shared" si="41"/>
        <v>43.120817562072411</v>
      </c>
      <c r="CW50" s="22">
        <f t="shared" si="13"/>
        <v>371.42490308727605</v>
      </c>
      <c r="CX50" s="62">
        <f t="shared" si="14"/>
        <v>664.75823642060936</v>
      </c>
      <c r="CY50" s="62">
        <f ca="1">AVERAGE(OFFSET($CX$3,0,0,'Données projet'!$E$13+1,1))-AVERAGE(OFFSET($H$3,0,0,'Données projet'!$E$13+1,1))</f>
        <v>292.57482726862594</v>
      </c>
      <c r="CZ50" s="62">
        <f t="shared" si="42"/>
        <v>283.48738729114024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7</v>
      </c>
      <c r="DO50" s="13">
        <f>IF('Données projet'!$A$166&gt;35,DO49+DN50-DW49,IF(A50&lt;'Données projet'!$A$166,$DL$205^A50,IF(A50='Données projet'!$A$166,'Données projet'!$B$166,DO49+DN50-DW49)))</f>
        <v>218.99999999999983</v>
      </c>
      <c r="DP50" s="18">
        <f>DO50*VLOOKUP('Données projet'!$B$14,Paramètres!$A$1:$I$89,3,0)*VLOOKUP('Données projet'!$B$14,Paramètres!$A$1:$I$89,5,0)</f>
        <v>174.23639999999986</v>
      </c>
      <c r="DQ50" s="14">
        <f t="shared" si="43"/>
        <v>44.03747274965864</v>
      </c>
      <c r="DR50" s="22">
        <f t="shared" si="16"/>
        <v>380.16032837232183</v>
      </c>
      <c r="DS50" s="62">
        <f t="shared" si="17"/>
        <v>673.49366170565509</v>
      </c>
      <c r="DT50" s="62">
        <f ca="1">AVERAGE(OFFSET($DS$3,0,0,'Données projet'!$E$14+1,1))-AVERAGE(OFFSET($H$3,0,0,'Données projet'!$E$14+1,1))</f>
        <v>312.53381881960331</v>
      </c>
      <c r="DU50" s="62">
        <f t="shared" si="44"/>
        <v>342.06887933351783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5.5128205128205083</v>
      </c>
      <c r="EJ50" s="13">
        <f>IF('Données projet'!$A$192&gt;35,EJ49+EI50-ER49,IF(A50&lt;'Données projet'!$A$192,$EG$205^A50,IF(A50='Données projet'!$A$192,'Données projet'!$B$192,EJ49+EI50-ER49)))</f>
        <v>163.58974358974365</v>
      </c>
      <c r="EK50" s="18">
        <f>EJ50*VLOOKUP('Données projet'!$B$15,Paramètres!$A$1:$I$89,3,0)*VLOOKUP('Données projet'!$B$15,Paramètres!$A$1:$I$89,5,0)</f>
        <v>155.67200000000005</v>
      </c>
      <c r="EL50" s="14">
        <f t="shared" si="45"/>
        <v>39.86477040096252</v>
      </c>
      <c r="EM50" s="22">
        <f t="shared" si="19"/>
        <v>340.55987511500985</v>
      </c>
      <c r="EN50" s="62">
        <f t="shared" si="20"/>
        <v>633.8932084483431</v>
      </c>
      <c r="EO50" s="62">
        <f ca="1">AVERAGE(OFFSET($EN$3,0,0,'Données projet'!$E$15+1,1))-AVERAGE(OFFSET($H$3,0,0,'Données projet'!$E$15+1,1))</f>
        <v>363.37916970915211</v>
      </c>
      <c r="EP50" s="62">
        <f t="shared" si="46"/>
        <v>281.52963027844595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11.615384615384608</v>
      </c>
      <c r="FE50" s="13">
        <f>IF('Données projet'!$A$218&gt;35,FE49+FD50-FM49,IF(A50&lt;'Données projet'!$A$218,$FB$205^A50,IF(A50='Données projet'!$A$218,'Données projet'!$B$218,FE49+FD50-FM49)))</f>
        <v>275.37692307692299</v>
      </c>
      <c r="FF50" s="18">
        <f>FE50*VLOOKUP('Données projet'!$B$16,Paramètres!$A$1:$I$89,3,0)*VLOOKUP('Données projet'!$B$16,Paramètres!$A$1:$I$89,5,0)</f>
        <v>128.87639999999996</v>
      </c>
      <c r="FG50" s="14">
        <f t="shared" si="47"/>
        <v>33.736597338654839</v>
      </c>
      <c r="FH50" s="22">
        <f t="shared" si="22"/>
        <v>283.21763703149043</v>
      </c>
      <c r="FI50" s="62">
        <f t="shared" si="23"/>
        <v>576.5509703648238</v>
      </c>
      <c r="FJ50" s="62">
        <f ca="1">AVERAGE(OFFSET($FI$3,0,0,'Données projet'!$E$16+1,1))-AVERAGE(OFFSET($H$3,0,0,'Données projet'!$E$16+1,1))</f>
        <v>245.47494516762282</v>
      </c>
      <c r="FK50" s="62">
        <f t="shared" si="48"/>
        <v>145.54897745089966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8.1999999999999993</v>
      </c>
      <c r="FZ50" s="13">
        <f>IF('Données projet'!$A$244&gt;35,FZ49+FY50-GH49,IF(A50&lt;'Données projet'!$A$244,$FW$205^A50,IF(A50='Données projet'!$A$244,'Données projet'!$B$244,FZ49+FY50-GH49)))</f>
        <v>174.40000000000003</v>
      </c>
      <c r="GA50" s="18">
        <f>FZ50*VLOOKUP('Données projet'!$B$17,Paramètres!$A$1:$I$89,3,0)*VLOOKUP('Données projet'!$B$17,Paramètres!$A$1:$I$89,5,0)</f>
        <v>168.67968000000002</v>
      </c>
      <c r="GB50" s="14">
        <f t="shared" si="49"/>
        <v>42.794181774227013</v>
      </c>
      <c r="GC50" s="22">
        <f t="shared" si="25"/>
        <v>368.3169759234454</v>
      </c>
      <c r="GD50" s="62">
        <f t="shared" si="26"/>
        <v>661.65030925677866</v>
      </c>
      <c r="GE50" s="62">
        <f ca="1">AVERAGE(OFFSET($GD$3,0,0,'Données projet'!$E$17+1,1))-AVERAGE(OFFSET($H$3,0,0,'Données projet'!$E$17+1,1))</f>
        <v>455.50822833641354</v>
      </c>
      <c r="GF50" s="62">
        <f t="shared" si="50"/>
        <v>261.14722581688039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6.2820512820512819</v>
      </c>
      <c r="GU50" s="13">
        <f>IF('Données projet'!$A$270&gt;35,GU49+GT50-HC49,IF(A50&lt;'Données projet'!$A$270,$GR$205^A50,IF(A50='Données projet'!$A$270,'Données projet'!$B$270,GU49+GT50-HC49)))</f>
        <v>202.94871794871796</v>
      </c>
      <c r="GV50" s="18">
        <f>GU50*VLOOKUP('Données projet'!$B$18,Paramètres!$A$1:$I$89,3,0)*VLOOKUP('Données projet'!$B$18,Paramètres!$A$1:$I$89,5,0)</f>
        <v>136.13800000000001</v>
      </c>
      <c r="GW50" s="14">
        <f t="shared" si="51"/>
        <v>35.410840305135217</v>
      </c>
      <c r="GX50" s="22">
        <f t="shared" si="28"/>
        <v>298.78089686477716</v>
      </c>
      <c r="GY50" s="62">
        <f t="shared" si="29"/>
        <v>592.11423019811048</v>
      </c>
      <c r="GZ50" s="62">
        <f ca="1">AVERAGE(OFFSET($GY$3,0,0,'Données projet'!$E$18+1,1))-AVERAGE(OFFSET($H$3,0,0,'Données projet'!$E$18+1,1))</f>
        <v>312.06797204903796</v>
      </c>
      <c r="HA50" s="62">
        <f t="shared" si="52"/>
        <v>258.20189001775151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</row>
    <row r="51" spans="1:218" s="5" customFormat="1" x14ac:dyDescent="0.25">
      <c r="A51" s="11">
        <f t="shared" si="31"/>
        <v>48</v>
      </c>
      <c r="B51" s="76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9">
        <f t="shared" si="1"/>
        <v>256.66666666666669</v>
      </c>
      <c r="I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17.519780219780223</v>
      </c>
      <c r="N51" s="14">
        <f>IF('Données projet'!$A$36&gt;35,N50+M51-V50,IF(A51&lt;'Données projet'!$A$36,$K$205^A51,IF(A51='Données projet'!$A$36,'Données projet'!$B$36,N50+M51-V50)))</f>
        <v>387.04945054945063</v>
      </c>
      <c r="O51" s="14">
        <f>N51*VLOOKUP('Données projet'!$B$9,Paramètres!$A$1:$I$89,3,0)*VLOOKUP('Données projet'!$B$9,Paramètres!$A$1:$I$89,5,0)</f>
        <v>216.36064285714289</v>
      </c>
      <c r="P51" s="14">
        <f t="shared" si="33"/>
        <v>53.323123145592824</v>
      </c>
      <c r="Q51" s="22">
        <f t="shared" si="53"/>
        <v>469.69922578809798</v>
      </c>
      <c r="R51" s="62">
        <f t="shared" si="0"/>
        <v>763.03255912143129</v>
      </c>
      <c r="S51" s="62">
        <f ca="1">AVERAGE(OFFSET($R$3,0,0,'Données projet'!$E$9+1,1))-AVERAGE(OFFSET($H$3,0,0,'Données projet'!$E$9+1,1))</f>
        <v>323.98185264074681</v>
      </c>
      <c r="T51" s="62">
        <f t="shared" si="34"/>
        <v>301.22207291854005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3.1242471629136879</v>
      </c>
      <c r="AA51" s="23">
        <f>EXP(-LN(2)/25)*AA50+(1-EXP(-LN(2)/25))/(LN(2)/25)*Calculateur!V51*Calculateur!X51*VLOOKUP('Données projet'!$B$9,Paramètres!$A$1:$I$89,3,0)*0.475*44/12</f>
        <v>5.006914517137278</v>
      </c>
      <c r="AB51" s="23">
        <f>EXP(-LN(2)/2)*AB50+(1-EXP(-LN(2)/2))/(LN(2)/2)*V51*Y51*VLOOKUP('Données projet'!$B$9,Paramètres!$A$1:$I$89,3,0)*0.475*44/12</f>
        <v>1.1890248397691447E-2</v>
      </c>
      <c r="AC51" s="24">
        <f t="shared" si="3"/>
        <v>8.1430519284486564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11.861538461538462</v>
      </c>
      <c r="AI51" s="14">
        <f>IF('Données projet'!$A$62&gt;35,AI50+AH51-AQ50,IF(A51&lt;'Données projet'!$A$62,$AF$205^A51,IF(A51='Données projet'!$A$62,'Données projet'!$B$62,AI50+AH51-AQ50)))</f>
        <v>267.36153846153843</v>
      </c>
      <c r="AJ51" s="14">
        <f>AI51*VLOOKUP('Données projet'!$B$10,Paramètres!$A$1:$I$89,3,0)*VLOOKUP('Données projet'!$B$10,Paramètres!$A$1:$I$89,5,0)</f>
        <v>159.88219999999998</v>
      </c>
      <c r="AK51" s="14">
        <f t="shared" si="35"/>
        <v>40.815944149041762</v>
      </c>
      <c r="AL51" s="22">
        <f t="shared" si="4"/>
        <v>349.54926772624771</v>
      </c>
      <c r="AM51" s="62">
        <f t="shared" si="5"/>
        <v>642.88260105958102</v>
      </c>
      <c r="AN51" s="62">
        <f ca="1">AVERAGE(OFFSET($AM$3,0,0,'Données projet'!$E$10+1,1))-AVERAGE(OFFSET($H$3,0,0,'Données projet'!$E$10+1,1))</f>
        <v>289.12367833861299</v>
      </c>
      <c r="AO51" s="62">
        <f t="shared" si="36"/>
        <v>229.06617320689003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8.099287261768456E-3</v>
      </c>
      <c r="AX51" s="23">
        <f t="shared" si="6"/>
        <v>8.099287261768456E-3</v>
      </c>
      <c r="AY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8.1999999999999993</v>
      </c>
      <c r="BD51" s="13">
        <f>IF('Données projet'!$A$88&gt;35,BD50+BC51-BL50,IF(A51&lt;'Données projet'!$A$88,$BA$205^A51,IF(A51='Données projet'!$A$88,'Données projet'!$B$88,BD50+BC51-BL50)))</f>
        <v>182.60000000000002</v>
      </c>
      <c r="BE51" s="14">
        <f>BD51*VLOOKUP('Données projet'!$B$11,Paramètres!$A$1:$I$89,3,0)*VLOOKUP('Données projet'!$B$11,Paramètres!$A$1:$I$89,5,0)</f>
        <v>165.21648000000002</v>
      </c>
      <c r="BF51" s="14">
        <f t="shared" si="37"/>
        <v>42.016901084500397</v>
      </c>
      <c r="BG51" s="22">
        <f t="shared" si="7"/>
        <v>360.93147205550491</v>
      </c>
      <c r="BH51" s="62">
        <f t="shared" si="8"/>
        <v>654.26480538883823</v>
      </c>
      <c r="BI51" s="62">
        <f ca="1">AVERAGE(OFFSET($BH$3,0,0,'Données projet'!$E$11+1,1))-AVERAGE(OFFSET($H$3,0,0,'Données projet'!$E$11+1,1))</f>
        <v>428.8489304403459</v>
      </c>
      <c r="BJ51" s="62">
        <f t="shared" si="38"/>
        <v>247.01165577562966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7</v>
      </c>
      <c r="BY51" s="13">
        <f>IF('Données projet'!$A$114&gt;35,BY50+BX51-CG50,IF(A51&lt;'Données projet'!$A$114,$BV$205^A51,IF(A51='Données projet'!$A$114,'Données projet'!$B$114,BY50+BX51-CG50)))</f>
        <v>225.99999999999983</v>
      </c>
      <c r="BZ51" s="14">
        <f>BY51*VLOOKUP('Données projet'!$B$12,Paramètres!$A$1:$I$89,3,0)*VLOOKUP('Données projet'!$B$12,Paramètres!$A$1:$I$89,5,0)</f>
        <v>165.70319999999987</v>
      </c>
      <c r="CA51" s="14">
        <f t="shared" si="39"/>
        <v>42.126254201367267</v>
      </c>
      <c r="CB51" s="22">
        <f t="shared" si="10"/>
        <v>361.96963273404771</v>
      </c>
      <c r="CC51" s="62">
        <f t="shared" si="11"/>
        <v>655.30296606738102</v>
      </c>
      <c r="CD51" s="62">
        <f ca="1">AVERAGE(OFFSET($CC$3,0,0,'Données projet'!$E$12+1,1))-AVERAGE(OFFSET($H$3,0,0,'Données projet'!$E$12+1,1))</f>
        <v>290.85271051443431</v>
      </c>
      <c r="CE51" s="62">
        <f t="shared" si="40"/>
        <v>318.66958823451142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10.375</v>
      </c>
      <c r="CT51" s="13">
        <f>IF('Données projet'!$A$140&gt;35,CT50+CS51-DB50,IF(A51&lt;'Données projet'!$A$140,$CQ$205^A51,IF(A51='Données projet'!$A$140,'Données projet'!$B$140,CT50+CS51-DB50)))</f>
        <v>228.49999999999994</v>
      </c>
      <c r="CU51" s="18">
        <f>CT51*VLOOKUP('Données projet'!$B$13,Paramètres!$A$1:$I$89,3,0)*VLOOKUP('Données projet'!$B$13,Paramètres!$A$1:$I$89,5,0)</f>
        <v>178.22999999999996</v>
      </c>
      <c r="CV51" s="14">
        <f t="shared" si="41"/>
        <v>44.928167580487852</v>
      </c>
      <c r="CW51" s="22">
        <f t="shared" si="13"/>
        <v>388.66714186934956</v>
      </c>
      <c r="CX51" s="62">
        <f t="shared" si="14"/>
        <v>682.00047520268288</v>
      </c>
      <c r="CY51" s="62">
        <f ca="1">AVERAGE(OFFSET($CX$3,0,0,'Données projet'!$E$13+1,1))-AVERAGE(OFFSET($H$3,0,0,'Données projet'!$E$13+1,1))</f>
        <v>292.57482726862594</v>
      </c>
      <c r="CZ51" s="62">
        <f t="shared" si="42"/>
        <v>283.48738729114024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7</v>
      </c>
      <c r="DO51" s="13">
        <f>IF('Données projet'!$A$166&gt;35,DO50+DN51-DW50,IF(A51&lt;'Données projet'!$A$166,$DL$205^A51,IF(A51='Données projet'!$A$166,'Données projet'!$B$166,DO50+DN51-DW50)))</f>
        <v>225.99999999999983</v>
      </c>
      <c r="DP51" s="18">
        <f>DO51*VLOOKUP('Données projet'!$B$14,Paramètres!$A$1:$I$89,3,0)*VLOOKUP('Données projet'!$B$14,Paramètres!$A$1:$I$89,5,0)</f>
        <v>179.80559999999988</v>
      </c>
      <c r="DQ51" s="14">
        <f t="shared" si="43"/>
        <v>45.278933028529949</v>
      </c>
      <c r="DR51" s="22">
        <f t="shared" si="16"/>
        <v>392.0222283580228</v>
      </c>
      <c r="DS51" s="62">
        <f t="shared" si="17"/>
        <v>685.35556169135612</v>
      </c>
      <c r="DT51" s="62">
        <f ca="1">AVERAGE(OFFSET($DS$3,0,0,'Données projet'!$E$14+1,1))-AVERAGE(OFFSET($H$3,0,0,'Données projet'!$E$14+1,1))</f>
        <v>312.53381881960331</v>
      </c>
      <c r="DU51" s="62">
        <f t="shared" si="44"/>
        <v>342.06887933351783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5.5128205128205083</v>
      </c>
      <c r="EJ51" s="13">
        <f>IF('Données projet'!$A$192&gt;35,EJ50+EI51-ER50,IF(A51&lt;'Données projet'!$A$192,$EG$205^A51,IF(A51='Données projet'!$A$192,'Données projet'!$B$192,EJ50+EI51-ER50)))</f>
        <v>169.10256410256414</v>
      </c>
      <c r="EK51" s="18">
        <f>EJ51*VLOOKUP('Données projet'!$B$15,Paramètres!$A$1:$I$89,3,0)*VLOOKUP('Données projet'!$B$15,Paramètres!$A$1:$I$89,5,0)</f>
        <v>160.91800000000003</v>
      </c>
      <c r="EL51" s="14">
        <f t="shared" si="45"/>
        <v>41.049503875172206</v>
      </c>
      <c r="EM51" s="22">
        <f t="shared" si="19"/>
        <v>351.76006924925832</v>
      </c>
      <c r="EN51" s="62">
        <f t="shared" si="20"/>
        <v>645.09340258259158</v>
      </c>
      <c r="EO51" s="62">
        <f ca="1">AVERAGE(OFFSET($EN$3,0,0,'Données projet'!$E$15+1,1))-AVERAGE(OFFSET($H$3,0,0,'Données projet'!$E$15+1,1))</f>
        <v>363.37916970915211</v>
      </c>
      <c r="EP51" s="62">
        <f t="shared" si="46"/>
        <v>281.52963027844595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11.615384615384608</v>
      </c>
      <c r="FE51" s="13">
        <f>IF('Données projet'!$A$218&gt;35,FE50+FD51-FM50,IF(A51&lt;'Données projet'!$A$218,$FB$205^A51,IF(A51='Données projet'!$A$218,'Données projet'!$B$218,FE50+FD51-FM50)))</f>
        <v>286.99230769230758</v>
      </c>
      <c r="FF51" s="18">
        <f>FE51*VLOOKUP('Données projet'!$B$16,Paramètres!$A$1:$I$89,3,0)*VLOOKUP('Données projet'!$B$16,Paramètres!$A$1:$I$89,5,0)</f>
        <v>134.31239999999994</v>
      </c>
      <c r="FG51" s="14">
        <f t="shared" si="47"/>
        <v>34.990927885997522</v>
      </c>
      <c r="FH51" s="22">
        <f t="shared" si="22"/>
        <v>294.86996273477894</v>
      </c>
      <c r="FI51" s="62">
        <f t="shared" si="23"/>
        <v>588.20329606811219</v>
      </c>
      <c r="FJ51" s="62">
        <f ca="1">AVERAGE(OFFSET($FI$3,0,0,'Données projet'!$E$16+1,1))-AVERAGE(OFFSET($H$3,0,0,'Données projet'!$E$16+1,1))</f>
        <v>245.47494516762282</v>
      </c>
      <c r="FK51" s="62">
        <f t="shared" si="48"/>
        <v>145.54897745089966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8.1999999999999993</v>
      </c>
      <c r="FZ51" s="13">
        <f>IF('Données projet'!$A$244&gt;35,FZ50+FY51-GH50,IF(A51&lt;'Données projet'!$A$244,$FW$205^A51,IF(A51='Données projet'!$A$244,'Données projet'!$B$244,FZ50+FY51-GH50)))</f>
        <v>182.60000000000002</v>
      </c>
      <c r="GA51" s="18">
        <f>FZ51*VLOOKUP('Données projet'!$B$17,Paramètres!$A$1:$I$89,3,0)*VLOOKUP('Données projet'!$B$17,Paramètres!$A$1:$I$89,5,0)</f>
        <v>176.61072000000004</v>
      </c>
      <c r="GB51" s="14">
        <f t="shared" si="49"/>
        <v>44.56730162053563</v>
      </c>
      <c r="GC51" s="22">
        <f t="shared" si="25"/>
        <v>385.21838765576626</v>
      </c>
      <c r="GD51" s="62">
        <f t="shared" si="26"/>
        <v>678.55172098909952</v>
      </c>
      <c r="GE51" s="62">
        <f ca="1">AVERAGE(OFFSET($GD$3,0,0,'Données projet'!$E$17+1,1))-AVERAGE(OFFSET($H$3,0,0,'Données projet'!$E$17+1,1))</f>
        <v>455.50822833641354</v>
      </c>
      <c r="GF51" s="62">
        <f t="shared" si="50"/>
        <v>261.14722581688039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6.2820512820512819</v>
      </c>
      <c r="GU51" s="13">
        <f>IF('Données projet'!$A$270&gt;35,GU50+GT51-HC50,IF(A51&lt;'Données projet'!$A$270,$GR$205^A51,IF(A51='Données projet'!$A$270,'Données projet'!$B$270,GU50+GT51-HC50)))</f>
        <v>209.23076923076923</v>
      </c>
      <c r="GV51" s="18">
        <f>GU51*VLOOKUP('Données projet'!$B$18,Paramètres!$A$1:$I$89,3,0)*VLOOKUP('Données projet'!$B$18,Paramètres!$A$1:$I$89,5,0)</f>
        <v>140.352</v>
      </c>
      <c r="GW51" s="14">
        <f t="shared" si="51"/>
        <v>36.377631963176114</v>
      </c>
      <c r="GX51" s="22">
        <f t="shared" si="28"/>
        <v>307.80410900253173</v>
      </c>
      <c r="GY51" s="62">
        <f t="shared" si="29"/>
        <v>601.13744233586499</v>
      </c>
      <c r="GZ51" s="62">
        <f ca="1">AVERAGE(OFFSET($GY$3,0,0,'Données projet'!$E$18+1,1))-AVERAGE(OFFSET($H$3,0,0,'Données projet'!$E$18+1,1))</f>
        <v>312.06797204903796</v>
      </c>
      <c r="HA51" s="62">
        <f t="shared" si="52"/>
        <v>258.20189001775151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</row>
    <row r="52" spans="1:218" s="5" customFormat="1" x14ac:dyDescent="0.25">
      <c r="A52" s="11">
        <f t="shared" si="31"/>
        <v>49</v>
      </c>
      <c r="B52" s="76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9">
        <f t="shared" si="1"/>
        <v>256.66666666666669</v>
      </c>
      <c r="I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>
        <f>VLOOKUP(A52,'Données projet'!$A$35:$I$55,2,0)</f>
        <v>404.56923076923078</v>
      </c>
      <c r="L52" s="13">
        <f>VLOOKUP(A52,'Données projet'!$A$35:$I$55,9,0)</f>
        <v>17.519780219780223</v>
      </c>
      <c r="M52" s="13">
        <f t="array" ref="M52">INDEX(L:L,MIN(IF(ISNUMBER(L52:L248),ROW(L52:L248),"")))</f>
        <v>17.519780219780223</v>
      </c>
      <c r="N52" s="14">
        <f>IF('Données projet'!$A$36&gt;35,N51+M52-V51,IF(A52&lt;'Données projet'!$A$36,$K$205^A52,IF(A52='Données projet'!$A$36,'Données projet'!$B$36,N51+M52-V51)))</f>
        <v>404.56923076923084</v>
      </c>
      <c r="O52" s="14">
        <f>N52*VLOOKUP('Données projet'!$B$9,Paramètres!$A$1:$I$89,3,0)*VLOOKUP('Données projet'!$B$9,Paramètres!$A$1:$I$89,5,0)</f>
        <v>226.15420000000006</v>
      </c>
      <c r="P52" s="14">
        <f t="shared" si="33"/>
        <v>55.450315347427065</v>
      </c>
      <c r="Q52" s="22">
        <f t="shared" si="53"/>
        <v>490.46119756343563</v>
      </c>
      <c r="R52" s="62">
        <f t="shared" si="0"/>
        <v>783.79453089676895</v>
      </c>
      <c r="S52" s="62">
        <f ca="1">AVERAGE(OFFSET($R$3,0,0,'Données projet'!$E$9+1,1))-AVERAGE(OFFSET($H$3,0,0,'Données projet'!$E$9+1,1))</f>
        <v>323.98185264074681</v>
      </c>
      <c r="T52" s="62">
        <f t="shared" si="34"/>
        <v>301.22207291854005</v>
      </c>
      <c r="U52" s="16">
        <f>IF(ISNA(VLOOKUP(A52,'Données projet'!$A$35:$I$55,3,0)),0,VLOOKUP(A52,'Données projet'!$A$35:$I$55,3,0))</f>
        <v>5</v>
      </c>
      <c r="V52" s="16">
        <f>IF(ISNA(VLOOKUP(A52,'Données projet'!$A$35:$I$55,4,0)),0,VLOOKUP(A52,'Données projet'!$A$35:$I$55,4,0))</f>
        <v>90.453846153846158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3.062982581651557</v>
      </c>
      <c r="AA52" s="23">
        <f>EXP(-LN(2)/25)*AA51+(1-EXP(-LN(2)/25))/(LN(2)/25)*Calculateur!V52*Calculateur!X52*VLOOKUP('Données projet'!$B$9,Paramètres!$A$1:$I$89,3,0)*0.475*44/12</f>
        <v>4.870000176363968</v>
      </c>
      <c r="AB52" s="23">
        <f>EXP(-LN(2)/2)*AB51+(1-EXP(-LN(2)/2))/(LN(2)/2)*V52*Y52*VLOOKUP('Données projet'!$B$9,Paramètres!$A$1:$I$89,3,0)*0.475*44/12</f>
        <v>8.4076752720001029E-3</v>
      </c>
      <c r="AC52" s="24">
        <f t="shared" si="3"/>
        <v>7.9413904332875251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11.861538461538462</v>
      </c>
      <c r="AI52" s="14">
        <f>IF('Données projet'!$A$62&gt;35,AI51+AH52-AQ51,IF(A52&lt;'Données projet'!$A$62,$AF$205^A52,IF(A52='Données projet'!$A$62,'Données projet'!$B$62,AI51+AH52-AQ51)))</f>
        <v>279.22307692307692</v>
      </c>
      <c r="AJ52" s="14">
        <f>AI52*VLOOKUP('Données projet'!$B$10,Paramètres!$A$1:$I$89,3,0)*VLOOKUP('Données projet'!$B$10,Paramètres!$A$1:$I$89,5,0)</f>
        <v>166.97540000000001</v>
      </c>
      <c r="AK52" s="14">
        <f t="shared" si="35"/>
        <v>42.411907667415186</v>
      </c>
      <c r="AL52" s="22">
        <f t="shared" si="4"/>
        <v>364.68289418741483</v>
      </c>
      <c r="AM52" s="62">
        <f t="shared" si="5"/>
        <v>658.01622752074809</v>
      </c>
      <c r="AN52" s="62">
        <f ca="1">AVERAGE(OFFSET($AM$3,0,0,'Données projet'!$E$10+1,1))-AVERAGE(OFFSET($H$3,0,0,'Données projet'!$E$10+1,1))</f>
        <v>289.12367833861299</v>
      </c>
      <c r="AO52" s="62">
        <f t="shared" si="36"/>
        <v>229.06617320689003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5.7270609455742994E-3</v>
      </c>
      <c r="AX52" s="23">
        <f t="shared" si="6"/>
        <v>5.7270609455742994E-3</v>
      </c>
      <c r="AY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8.1999999999999993</v>
      </c>
      <c r="BD52" s="13">
        <f>IF('Données projet'!$A$88&gt;35,BD51+BC52-BL51,IF(A52&lt;'Données projet'!$A$88,$BA$205^A52,IF(A52='Données projet'!$A$88,'Données projet'!$B$88,BD51+BC52-BL51)))</f>
        <v>190.8</v>
      </c>
      <c r="BE52" s="14">
        <f>BD52*VLOOKUP('Données projet'!$B$11,Paramètres!$A$1:$I$89,3,0)*VLOOKUP('Données projet'!$B$11,Paramètres!$A$1:$I$89,5,0)</f>
        <v>172.63584</v>
      </c>
      <c r="BF52" s="14">
        <f t="shared" si="37"/>
        <v>43.679834395222109</v>
      </c>
      <c r="BG52" s="22">
        <f t="shared" si="7"/>
        <v>376.74979957167847</v>
      </c>
      <c r="BH52" s="62">
        <f t="shared" si="8"/>
        <v>670.08313290501178</v>
      </c>
      <c r="BI52" s="62">
        <f ca="1">AVERAGE(OFFSET($BH$3,0,0,'Données projet'!$E$11+1,1))-AVERAGE(OFFSET($H$3,0,0,'Données projet'!$E$11+1,1))</f>
        <v>428.8489304403459</v>
      </c>
      <c r="BJ52" s="62">
        <f t="shared" si="38"/>
        <v>247.01165577562966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7</v>
      </c>
      <c r="BY52" s="13">
        <f>IF('Données projet'!$A$114&gt;35,BY51+BX52-CG51,IF(A52&lt;'Données projet'!$A$114,$BV$205^A52,IF(A52='Données projet'!$A$114,'Données projet'!$B$114,BY51+BX52-CG51)))</f>
        <v>232.99999999999983</v>
      </c>
      <c r="BZ52" s="14">
        <f>BY52*VLOOKUP('Données projet'!$B$12,Paramètres!$A$1:$I$89,3,0)*VLOOKUP('Données projet'!$B$12,Paramètres!$A$1:$I$89,5,0)</f>
        <v>170.83559999999989</v>
      </c>
      <c r="CA52" s="14">
        <f t="shared" si="39"/>
        <v>43.277116749159646</v>
      </c>
      <c r="CB52" s="22">
        <f t="shared" si="10"/>
        <v>372.91298167145283</v>
      </c>
      <c r="CC52" s="62">
        <f t="shared" si="11"/>
        <v>666.24631500478608</v>
      </c>
      <c r="CD52" s="62">
        <f ca="1">AVERAGE(OFFSET($CC$3,0,0,'Données projet'!$E$12+1,1))-AVERAGE(OFFSET($H$3,0,0,'Données projet'!$E$12+1,1))</f>
        <v>290.85271051443431</v>
      </c>
      <c r="CE52" s="62">
        <f t="shared" si="40"/>
        <v>318.66958823451142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10.375</v>
      </c>
      <c r="CT52" s="13">
        <f>IF('Données projet'!$A$140&gt;35,CT51+CS52-DB51,IF(A52&lt;'Données projet'!$A$140,$CQ$205^A52,IF(A52='Données projet'!$A$140,'Données projet'!$B$140,CT51+CS52-DB51)))</f>
        <v>238.87499999999994</v>
      </c>
      <c r="CU52" s="18">
        <f>CT52*VLOOKUP('Données projet'!$B$13,Paramètres!$A$1:$I$89,3,0)*VLOOKUP('Données projet'!$B$13,Paramètres!$A$1:$I$89,5,0)</f>
        <v>186.32249999999996</v>
      </c>
      <c r="CV52" s="14">
        <f t="shared" si="41"/>
        <v>46.725987276254116</v>
      </c>
      <c r="CW52" s="22">
        <f t="shared" si="13"/>
        <v>405.89278200614257</v>
      </c>
      <c r="CX52" s="62">
        <f t="shared" si="14"/>
        <v>699.22611533947588</v>
      </c>
      <c r="CY52" s="62">
        <f ca="1">AVERAGE(OFFSET($CX$3,0,0,'Données projet'!$E$13+1,1))-AVERAGE(OFFSET($H$3,0,0,'Données projet'!$E$13+1,1))</f>
        <v>292.57482726862594</v>
      </c>
      <c r="CZ52" s="62">
        <f t="shared" si="42"/>
        <v>283.48738729114024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7</v>
      </c>
      <c r="DO52" s="13">
        <f>IF('Données projet'!$A$166&gt;35,DO51+DN52-DW51,IF(A52&lt;'Données projet'!$A$166,$DL$205^A52,IF(A52='Données projet'!$A$166,'Données projet'!$B$166,DO51+DN52-DW51)))</f>
        <v>232.99999999999983</v>
      </c>
      <c r="DP52" s="18">
        <f>DO52*VLOOKUP('Données projet'!$B$14,Paramètres!$A$1:$I$89,3,0)*VLOOKUP('Données projet'!$B$14,Paramètres!$A$1:$I$89,5,0)</f>
        <v>185.37479999999988</v>
      </c>
      <c r="DQ52" s="14">
        <f t="shared" si="43"/>
        <v>46.515924762412688</v>
      </c>
      <c r="DR52" s="22">
        <f t="shared" si="16"/>
        <v>403.87634562786849</v>
      </c>
      <c r="DS52" s="62">
        <f t="shared" si="17"/>
        <v>697.2096789612018</v>
      </c>
      <c r="DT52" s="62">
        <f ca="1">AVERAGE(OFFSET($DS$3,0,0,'Données projet'!$E$14+1,1))-AVERAGE(OFFSET($H$3,0,0,'Données projet'!$E$14+1,1))</f>
        <v>312.53381881960331</v>
      </c>
      <c r="DU52" s="62">
        <f t="shared" si="44"/>
        <v>342.06887933351783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5.5128205128205083</v>
      </c>
      <c r="EJ52" s="13">
        <f>IF('Données projet'!$A$192&gt;35,EJ51+EI52-ER51,IF(A52&lt;'Données projet'!$A$192,$EG$205^A52,IF(A52='Données projet'!$A$192,'Données projet'!$B$192,EJ51+EI52-ER51)))</f>
        <v>174.61538461538464</v>
      </c>
      <c r="EK52" s="18">
        <f>EJ52*VLOOKUP('Données projet'!$B$15,Paramètres!$A$1:$I$89,3,0)*VLOOKUP('Données projet'!$B$15,Paramètres!$A$1:$I$89,5,0)</f>
        <v>166.16400000000004</v>
      </c>
      <c r="EL52" s="14">
        <f t="shared" si="45"/>
        <v>42.229749328882683</v>
      </c>
      <c r="EM52" s="22">
        <f t="shared" si="19"/>
        <v>362.95244674780406</v>
      </c>
      <c r="EN52" s="62">
        <f t="shared" si="20"/>
        <v>656.28578008113732</v>
      </c>
      <c r="EO52" s="62">
        <f ca="1">AVERAGE(OFFSET($EN$3,0,0,'Données projet'!$E$15+1,1))-AVERAGE(OFFSET($H$3,0,0,'Données projet'!$E$15+1,1))</f>
        <v>363.37916970915211</v>
      </c>
      <c r="EP52" s="62">
        <f t="shared" si="46"/>
        <v>281.52963027844595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11.615384615384608</v>
      </c>
      <c r="FE52" s="13">
        <f>IF('Données projet'!$A$218&gt;35,FE51+FD52-FM51,IF(A52&lt;'Données projet'!$A$218,$FB$205^A52,IF(A52='Données projet'!$A$218,'Données projet'!$B$218,FE51+FD52-FM51)))</f>
        <v>298.60769230769216</v>
      </c>
      <c r="FF52" s="18">
        <f>FE52*VLOOKUP('Données projet'!$B$16,Paramètres!$A$1:$I$89,3,0)*VLOOKUP('Données projet'!$B$16,Paramètres!$A$1:$I$89,5,0)</f>
        <v>139.74839999999992</v>
      </c>
      <c r="FG52" s="14">
        <f t="shared" si="47"/>
        <v>36.239361435480362</v>
      </c>
      <c r="FH52" s="22">
        <f t="shared" si="22"/>
        <v>306.51201783346147</v>
      </c>
      <c r="FI52" s="62">
        <f t="shared" si="23"/>
        <v>599.84535116679479</v>
      </c>
      <c r="FJ52" s="62">
        <f ca="1">AVERAGE(OFFSET($FI$3,0,0,'Données projet'!$E$16+1,1))-AVERAGE(OFFSET($H$3,0,0,'Données projet'!$E$16+1,1))</f>
        <v>245.47494516762282</v>
      </c>
      <c r="FK52" s="62">
        <f t="shared" si="48"/>
        <v>145.54897745089966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8.1999999999999993</v>
      </c>
      <c r="FZ52" s="13">
        <f>IF('Données projet'!$A$244&gt;35,FZ51+FY52-GH51,IF(A52&lt;'Données projet'!$A$244,$FW$205^A52,IF(A52='Données projet'!$A$244,'Données projet'!$B$244,FZ51+FY52-GH51)))</f>
        <v>190.8</v>
      </c>
      <c r="GA52" s="18">
        <f>FZ52*VLOOKUP('Données projet'!$B$17,Paramètres!$A$1:$I$89,3,0)*VLOOKUP('Données projet'!$B$17,Paramètres!$A$1:$I$89,5,0)</f>
        <v>184.54176000000001</v>
      </c>
      <c r="GB52" s="14">
        <f t="shared" si="49"/>
        <v>46.33117397953523</v>
      </c>
      <c r="GC52" s="22">
        <f t="shared" si="25"/>
        <v>402.10369334769052</v>
      </c>
      <c r="GD52" s="62">
        <f t="shared" si="26"/>
        <v>695.43702668102378</v>
      </c>
      <c r="GE52" s="62">
        <f ca="1">AVERAGE(OFFSET($GD$3,0,0,'Données projet'!$E$17+1,1))-AVERAGE(OFFSET($H$3,0,0,'Données projet'!$E$17+1,1))</f>
        <v>455.50822833641354</v>
      </c>
      <c r="GF52" s="62">
        <f t="shared" si="50"/>
        <v>261.14722581688039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6.2820512820512819</v>
      </c>
      <c r="GU52" s="13">
        <f>IF('Données projet'!$A$270&gt;35,GU51+GT52-HC51,IF(A52&lt;'Données projet'!$A$270,$GR$205^A52,IF(A52='Données projet'!$A$270,'Données projet'!$B$270,GU51+GT52-HC51)))</f>
        <v>215.5128205128205</v>
      </c>
      <c r="GV52" s="18">
        <f>GU52*VLOOKUP('Données projet'!$B$18,Paramètres!$A$1:$I$89,3,0)*VLOOKUP('Données projet'!$B$18,Paramètres!$A$1:$I$89,5,0)</f>
        <v>144.566</v>
      </c>
      <c r="GW52" s="14">
        <f t="shared" si="51"/>
        <v>37.341050188349875</v>
      </c>
      <c r="GX52" s="22">
        <f t="shared" si="28"/>
        <v>316.82144574470937</v>
      </c>
      <c r="GY52" s="62">
        <f t="shared" si="29"/>
        <v>610.15477907804268</v>
      </c>
      <c r="GZ52" s="62">
        <f ca="1">AVERAGE(OFFSET($GY$3,0,0,'Données projet'!$E$18+1,1))-AVERAGE(OFFSET($H$3,0,0,'Données projet'!$E$18+1,1))</f>
        <v>312.06797204903796</v>
      </c>
      <c r="HA52" s="62">
        <f t="shared" si="52"/>
        <v>258.20189001775151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</row>
    <row r="53" spans="1:218" s="5" customFormat="1" x14ac:dyDescent="0.25">
      <c r="A53" s="11">
        <f t="shared" si="31"/>
        <v>50</v>
      </c>
      <c r="B53" s="76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9">
        <f t="shared" si="1"/>
        <v>256.66666666666669</v>
      </c>
      <c r="I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16.227472527472521</v>
      </c>
      <c r="N53" s="14">
        <f>IF('Données projet'!$A$36&gt;35,N52+M53-V52,IF(A53&lt;'Données projet'!$A$36,$K$205^A53,IF(A53='Données projet'!$A$36,'Données projet'!$B$36,N52+M53-V52)))</f>
        <v>330.34285714285721</v>
      </c>
      <c r="O53" s="14">
        <f>N53*VLOOKUP('Données projet'!$B$9,Paramètres!$A$1:$I$89,3,0)*VLOOKUP('Données projet'!$B$9,Paramètres!$A$1:$I$89,5,0)</f>
        <v>184.66165714285719</v>
      </c>
      <c r="P53" s="14">
        <f t="shared" si="33"/>
        <v>46.357770619215231</v>
      </c>
      <c r="Q53" s="22">
        <f t="shared" si="53"/>
        <v>402.3588366856095</v>
      </c>
      <c r="R53" s="62">
        <f t="shared" si="0"/>
        <v>695.69217001894276</v>
      </c>
      <c r="S53" s="62">
        <f ca="1">AVERAGE(OFFSET($R$3,0,0,'Données projet'!$E$9+1,1))-AVERAGE(OFFSET($H$3,0,0,'Données projet'!$E$9+1,1))</f>
        <v>323.98185264074681</v>
      </c>
      <c r="T53" s="62">
        <f t="shared" si="34"/>
        <v>301.22207291854005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3.0029193614602718</v>
      </c>
      <c r="AA53" s="23">
        <f>EXP(-LN(2)/25)*AA52+(1-EXP(-LN(2)/25))/(LN(2)/25)*Calculateur!V53*Calculateur!X53*VLOOKUP('Données projet'!$B$9,Paramètres!$A$1:$I$89,3,0)*0.475*44/12</f>
        <v>4.7368297654391167</v>
      </c>
      <c r="AB53" s="23">
        <f>EXP(-LN(2)/2)*AB52+(1-EXP(-LN(2)/2))/(LN(2)/2)*V53*Y53*VLOOKUP('Données projet'!$B$9,Paramètres!$A$1:$I$89,3,0)*0.475*44/12</f>
        <v>5.9451241988457233E-3</v>
      </c>
      <c r="AC53" s="24">
        <f t="shared" si="3"/>
        <v>7.7456942510982341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291.0846153846154</v>
      </c>
      <c r="AG53" s="13">
        <f>VLOOKUP(A53,'Données projet'!$A$61:$I$81,9,0)</f>
        <v>11.861538461538462</v>
      </c>
      <c r="AH53" s="13">
        <f t="array" ref="AH53">INDEX(AG:AG,MIN(IF(ISNUMBER(AG53:AG249),ROW(AG53:AG249),"")))</f>
        <v>11.861538461538462</v>
      </c>
      <c r="AI53" s="14">
        <f>IF('Données projet'!$A$62&gt;35,AI52+AH53-AQ52,IF(A53&lt;'Données projet'!$A$62,$AF$205^A53,IF(A53='Données projet'!$A$62,'Données projet'!$B$62,AI52+AH53-AQ52)))</f>
        <v>291.0846153846154</v>
      </c>
      <c r="AJ53" s="14">
        <f>AI53*VLOOKUP('Données projet'!$B$10,Paramètres!$A$1:$I$89,3,0)*VLOOKUP('Données projet'!$B$10,Paramètres!$A$1:$I$89,5,0)</f>
        <v>174.06860000000003</v>
      </c>
      <c r="AK53" s="14">
        <f t="shared" si="35"/>
        <v>43.999996552753835</v>
      </c>
      <c r="AL53" s="22">
        <f t="shared" si="4"/>
        <v>379.80280566271296</v>
      </c>
      <c r="AM53" s="62">
        <f t="shared" si="5"/>
        <v>673.13613899604627</v>
      </c>
      <c r="AN53" s="62">
        <f ca="1">AVERAGE(OFFSET($AM$3,0,0,'Données projet'!$E$10+1,1))-AVERAGE(OFFSET($H$3,0,0,'Données projet'!$E$10+1,1))</f>
        <v>289.12367833861299</v>
      </c>
      <c r="AO53" s="62">
        <f t="shared" si="36"/>
        <v>229.06617320689003</v>
      </c>
      <c r="AP53" s="16">
        <f>IF(ISNA(VLOOKUP(A53,'Données projet'!$A$61:$I$81,3,0)),0,VLOOKUP(A53,'Données projet'!$A$61:$I$81,3,0))</f>
        <v>5</v>
      </c>
      <c r="AQ53" s="16">
        <f>IF(ISNA(VLOOKUP(A53,'Données projet'!$A$61:$I$81,4,0)),0,VLOOKUP(A53,'Données projet'!$A$61:$I$81,4,0))</f>
        <v>55.292307692307688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4.049643630884228E-3</v>
      </c>
      <c r="AX53" s="23">
        <f t="shared" si="6"/>
        <v>4.049643630884228E-3</v>
      </c>
      <c r="AY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199</v>
      </c>
      <c r="BB53" s="13">
        <f>VLOOKUP(A53,'Données projet'!$A$87:$I$107,9,0)</f>
        <v>8.1999999999999993</v>
      </c>
      <c r="BC53" s="13">
        <f t="array" ref="BC53">INDEX(BB:BB,MIN(IF(ISNUMBER(BB53:BB249),ROW(BB53:BB249),"")))</f>
        <v>8.1999999999999993</v>
      </c>
      <c r="BD53" s="13">
        <f>IF('Données projet'!$A$88&gt;35,BD52+BC53-BL52,IF(A53&lt;'Données projet'!$A$88,$BA$205^A53,IF(A53='Données projet'!$A$88,'Données projet'!$B$88,BD52+BC53-BL52)))</f>
        <v>199</v>
      </c>
      <c r="BE53" s="14">
        <f>BD53*VLOOKUP('Données projet'!$B$11,Paramètres!$A$1:$I$89,3,0)*VLOOKUP('Données projet'!$B$11,Paramètres!$A$1:$I$89,5,0)</f>
        <v>180.05519999999999</v>
      </c>
      <c r="BF53" s="14">
        <f t="shared" si="37"/>
        <v>45.334466930398364</v>
      </c>
      <c r="BG53" s="22">
        <f t="shared" si="7"/>
        <v>392.55366990377706</v>
      </c>
      <c r="BH53" s="62">
        <f t="shared" si="8"/>
        <v>685.88700323711032</v>
      </c>
      <c r="BI53" s="62">
        <f ca="1">AVERAGE(OFFSET($BH$3,0,0,'Données projet'!$E$11+1,1))-AVERAGE(OFFSET($H$3,0,0,'Données projet'!$E$11+1,1))</f>
        <v>428.8489304403459</v>
      </c>
      <c r="BJ53" s="62">
        <f t="shared" si="38"/>
        <v>247.01165577562966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42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240</v>
      </c>
      <c r="BW53" s="13">
        <f>VLOOKUP(A53,'Données projet'!$A$113:$I$133,9,0)</f>
        <v>7</v>
      </c>
      <c r="BX53" s="13">
        <f t="array" ref="BX53">INDEX(BW:BW,MIN(IF(ISNUMBER(BW53:BW249),ROW(BW53:BW249),"")))</f>
        <v>7</v>
      </c>
      <c r="BY53" s="13">
        <f>IF('Données projet'!$A$114&gt;35,BY52+BX53-CG52,IF(A53&lt;'Données projet'!$A$114,$BV$205^A53,IF(A53='Données projet'!$A$114,'Données projet'!$B$114,BY52+BX53-CG52)))</f>
        <v>239.99999999999983</v>
      </c>
      <c r="BZ53" s="14">
        <f>BY53*VLOOKUP('Données projet'!$B$12,Paramètres!$A$1:$I$89,3,0)*VLOOKUP('Données projet'!$B$12,Paramètres!$A$1:$I$89,5,0)</f>
        <v>175.96799999999988</v>
      </c>
      <c r="CA53" s="14">
        <f t="shared" si="39"/>
        <v>44.423961125650585</v>
      </c>
      <c r="CB53" s="22">
        <f t="shared" si="10"/>
        <v>383.8493322938412</v>
      </c>
      <c r="CC53" s="62">
        <f t="shared" si="11"/>
        <v>677.18266562717452</v>
      </c>
      <c r="CD53" s="62">
        <f ca="1">AVERAGE(OFFSET($CC$3,0,0,'Données projet'!$E$12+1,1))-AVERAGE(OFFSET($H$3,0,0,'Données projet'!$E$12+1,1))</f>
        <v>290.85271051443431</v>
      </c>
      <c r="CE53" s="62">
        <f t="shared" si="40"/>
        <v>318.66958823451142</v>
      </c>
      <c r="CF53" s="16">
        <f>IF(ISNA(VLOOKUP(A53,'Données projet'!$A$113:$I$133,3,0)),0,VLOOKUP(A53,'Données projet'!$A$113:$I$133,3,0))</f>
        <v>4</v>
      </c>
      <c r="CG53" s="16">
        <f>IF(ISNA(VLOOKUP(A53,'Données projet'!$A$113:$I$133,4,0)),0,VLOOKUP(A53,'Données projet'!$A$113:$I$133,4,0))</f>
        <v>39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10.375</v>
      </c>
      <c r="CT53" s="13">
        <f>IF('Données projet'!$A$140&gt;35,CT52+CS53-DB52,IF(A53&lt;'Données projet'!$A$140,$CQ$205^A53,IF(A53='Données projet'!$A$140,'Données projet'!$B$140,CT52+CS53-DB52)))</f>
        <v>249.24999999999994</v>
      </c>
      <c r="CU53" s="18">
        <f>CT53*VLOOKUP('Données projet'!$B$13,Paramètres!$A$1:$I$89,3,0)*VLOOKUP('Données projet'!$B$13,Paramètres!$A$1:$I$89,5,0)</f>
        <v>194.41499999999996</v>
      </c>
      <c r="CV53" s="14">
        <f t="shared" si="41"/>
        <v>48.514737888684969</v>
      </c>
      <c r="CW53" s="22">
        <f t="shared" si="13"/>
        <v>423.1026268227929</v>
      </c>
      <c r="CX53" s="62">
        <f t="shared" si="14"/>
        <v>716.43596015612616</v>
      </c>
      <c r="CY53" s="62">
        <f ca="1">AVERAGE(OFFSET($CX$3,0,0,'Données projet'!$E$13+1,1))-AVERAGE(OFFSET($H$3,0,0,'Données projet'!$E$13+1,1))</f>
        <v>292.57482726862594</v>
      </c>
      <c r="CZ53" s="62">
        <f t="shared" si="42"/>
        <v>283.48738729114024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240</v>
      </c>
      <c r="DM53" s="13">
        <f>VLOOKUP(A53,'Données projet'!$A$165:$I$185,9,0)</f>
        <v>7</v>
      </c>
      <c r="DN53" s="13">
        <f t="array" ref="DN53">INDEX(DM:DM,MIN(IF(ISNUMBER(DM53:DM249),ROW(DM53:DM249),"")))</f>
        <v>7</v>
      </c>
      <c r="DO53" s="13">
        <f>IF('Données projet'!$A$166&gt;35,DO52+DN53-DW52,IF(A53&lt;'Données projet'!$A$166,$DL$205^A53,IF(A53='Données projet'!$A$166,'Données projet'!$B$166,DO52+DN53-DW52)))</f>
        <v>239.99999999999983</v>
      </c>
      <c r="DP53" s="18">
        <f>DO53*VLOOKUP('Données projet'!$B$14,Paramètres!$A$1:$I$89,3,0)*VLOOKUP('Données projet'!$B$14,Paramètres!$A$1:$I$89,5,0)</f>
        <v>190.94399999999987</v>
      </c>
      <c r="DQ53" s="14">
        <f t="shared" si="43"/>
        <v>47.748597609826554</v>
      </c>
      <c r="DR53" s="22">
        <f t="shared" si="16"/>
        <v>415.72294083711432</v>
      </c>
      <c r="DS53" s="62">
        <f t="shared" si="17"/>
        <v>709.05627417044764</v>
      </c>
      <c r="DT53" s="62">
        <f ca="1">AVERAGE(OFFSET($DS$3,0,0,'Données projet'!$E$14+1,1))-AVERAGE(OFFSET($H$3,0,0,'Données projet'!$E$14+1,1))</f>
        <v>312.53381881960331</v>
      </c>
      <c r="DU53" s="62">
        <f t="shared" si="44"/>
        <v>342.06887933351783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39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180.12820512820511</v>
      </c>
      <c r="EH53" s="13">
        <f>VLOOKUP(A53,'Données projet'!$A$191:$I$211,9,0)</f>
        <v>5.5128205128205083</v>
      </c>
      <c r="EI53" s="13">
        <f t="array" ref="EI53">INDEX(EH:EH,MIN(IF(ISNUMBER(EH53:EH249),ROW(EH53:EH249),"")))</f>
        <v>5.5128205128205083</v>
      </c>
      <c r="EJ53" s="13">
        <f>IF('Données projet'!$A$192&gt;35,EJ52+EI53-ER52,IF(A53&lt;'Données projet'!$A$192,$EG$205^A53,IF(A53='Données projet'!$A$192,'Données projet'!$B$192,EJ52+EI53-ER52)))</f>
        <v>180.12820512820514</v>
      </c>
      <c r="EK53" s="18">
        <f>EJ53*VLOOKUP('Données projet'!$B$15,Paramètres!$A$1:$I$89,3,0)*VLOOKUP('Données projet'!$B$15,Paramètres!$A$1:$I$89,5,0)</f>
        <v>171.41000000000003</v>
      </c>
      <c r="EL53" s="14">
        <f t="shared" si="45"/>
        <v>43.405664710300847</v>
      </c>
      <c r="EM53" s="22">
        <f t="shared" si="19"/>
        <v>374.13728270377402</v>
      </c>
      <c r="EN53" s="62">
        <f t="shared" si="20"/>
        <v>667.47061603710733</v>
      </c>
      <c r="EO53" s="62">
        <f ca="1">AVERAGE(OFFSET($EN$3,0,0,'Données projet'!$E$15+1,1))-AVERAGE(OFFSET($H$3,0,0,'Données projet'!$E$15+1,1))</f>
        <v>363.37916970915211</v>
      </c>
      <c r="EP53" s="62">
        <f t="shared" si="46"/>
        <v>281.52963027844595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30.769230769230766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11.615384615384608</v>
      </c>
      <c r="FE53" s="13">
        <f>IF('Données projet'!$A$218&gt;35,FE52+FD53-FM52,IF(A53&lt;'Données projet'!$A$218,$FB$205^A53,IF(A53='Données projet'!$A$218,'Données projet'!$B$218,FE52+FD53-FM52)))</f>
        <v>310.22307692307675</v>
      </c>
      <c r="FF53" s="18">
        <f>FE53*VLOOKUP('Données projet'!$B$16,Paramètres!$A$1:$I$89,3,0)*VLOOKUP('Données projet'!$B$16,Paramètres!$A$1:$I$89,5,0)</f>
        <v>145.18439999999993</v>
      </c>
      <c r="FG53" s="14">
        <f t="shared" si="47"/>
        <v>37.482153624096057</v>
      </c>
      <c r="FH53" s="22">
        <f t="shared" si="22"/>
        <v>318.14424756196712</v>
      </c>
      <c r="FI53" s="62">
        <f t="shared" si="23"/>
        <v>611.47758089530043</v>
      </c>
      <c r="FJ53" s="62">
        <f ca="1">AVERAGE(OFFSET($FI$3,0,0,'Données projet'!$E$16+1,1))-AVERAGE(OFFSET($H$3,0,0,'Données projet'!$E$16+1,1))</f>
        <v>245.47494516762282</v>
      </c>
      <c r="FK53" s="62">
        <f t="shared" si="48"/>
        <v>145.54897745089966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199</v>
      </c>
      <c r="FX53" s="13">
        <f>VLOOKUP(A53,'Données projet'!$A$243:$I$263,9,0)</f>
        <v>8.1999999999999993</v>
      </c>
      <c r="FY53" s="13">
        <f t="array" ref="FY53">INDEX(FX:FX,MIN(IF(ISNUMBER(FX53:FX249),ROW(FX53:FX249),"")))</f>
        <v>8.1999999999999993</v>
      </c>
      <c r="FZ53" s="13">
        <f>IF('Données projet'!$A$244&gt;35,FZ52+FY53-GH52,IF(A53&lt;'Données projet'!$A$244,$FW$205^A53,IF(A53='Données projet'!$A$244,'Données projet'!$B$244,FZ52+FY53-GH52)))</f>
        <v>199</v>
      </c>
      <c r="GA53" s="18">
        <f>FZ53*VLOOKUP('Données projet'!$B$17,Paramètres!$A$1:$I$89,3,0)*VLOOKUP('Données projet'!$B$17,Paramètres!$A$1:$I$89,5,0)</f>
        <v>192.47280000000001</v>
      </c>
      <c r="GB53" s="14">
        <f t="shared" si="49"/>
        <v>48.086241710923829</v>
      </c>
      <c r="GC53" s="22">
        <f t="shared" si="25"/>
        <v>418.97366431319239</v>
      </c>
      <c r="GD53" s="62">
        <f t="shared" si="26"/>
        <v>712.3069976465257</v>
      </c>
      <c r="GE53" s="62">
        <f ca="1">AVERAGE(OFFSET($GD$3,0,0,'Données projet'!$E$17+1,1))-AVERAGE(OFFSET($H$3,0,0,'Données projet'!$E$17+1,1))</f>
        <v>455.50822833641354</v>
      </c>
      <c r="GF53" s="62">
        <f t="shared" si="50"/>
        <v>261.14722581688039</v>
      </c>
      <c r="GG53" s="16">
        <f>IF(ISNA(VLOOKUP(A53,'Données projet'!$A$243:$I$263,3,0)),0,VLOOKUP(A53,'Données projet'!$A$243:$I$263,3,0))</f>
        <v>3</v>
      </c>
      <c r="GH53" s="16">
        <f>IF(ISNA(VLOOKUP(A53,'Données projet'!$A$243:$I$263,4,0)),0,VLOOKUP(A53,'Données projet'!$A$243:$I$263,4,0))</f>
        <v>42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>
        <f>VLOOKUP(A53,'Données projet'!$A$269:$I$289,2,0)</f>
        <v>221.7948717948718</v>
      </c>
      <c r="GS53" s="13">
        <f>VLOOKUP(A53,'Données projet'!$A$269:$I$289,9,0)</f>
        <v>6.2820512820512819</v>
      </c>
      <c r="GT53" s="13">
        <f t="array" ref="GT53">INDEX(GS:GS,MIN(IF(ISNUMBER(GS53:GS249),ROW(GS53:GS249),"")))</f>
        <v>6.2820512820512819</v>
      </c>
      <c r="GU53" s="13">
        <f>IF('Données projet'!$A$270&gt;35,GU52+GT53-HC52,IF(A53&lt;'Données projet'!$A$270,$GR$205^A53,IF(A53='Données projet'!$A$270,'Données projet'!$B$270,GU52+GT53-HC52)))</f>
        <v>221.79487179487177</v>
      </c>
      <c r="GV53" s="18">
        <f>GU53*VLOOKUP('Données projet'!$B$18,Paramètres!$A$1:$I$89,3,0)*VLOOKUP('Données projet'!$B$18,Paramètres!$A$1:$I$89,5,0)</f>
        <v>148.78</v>
      </c>
      <c r="GW53" s="14">
        <f t="shared" si="51"/>
        <v>38.301204605347834</v>
      </c>
      <c r="GX53" s="22">
        <f t="shared" si="28"/>
        <v>325.8330980209808</v>
      </c>
      <c r="GY53" s="62">
        <f t="shared" si="29"/>
        <v>619.16643135431411</v>
      </c>
      <c r="GZ53" s="62">
        <f ca="1">AVERAGE(OFFSET($GY$3,0,0,'Données projet'!$E$18+1,1))-AVERAGE(OFFSET($H$3,0,0,'Données projet'!$E$18+1,1))</f>
        <v>312.06797204903796</v>
      </c>
      <c r="HA53" s="62">
        <f t="shared" si="52"/>
        <v>258.20189001775151</v>
      </c>
      <c r="HB53" s="16">
        <f>IF(ISNA(VLOOKUP(A53,'Données projet'!$A$269:$I$289,3,0)),0,VLOOKUP(A53,'Données projet'!$A$269:$I$289,3,0))</f>
        <v>4</v>
      </c>
      <c r="HC53" s="16">
        <f>IF(ISNA(VLOOKUP(A53,'Données projet'!$A$269:$I$289,4,0)),0,VLOOKUP(A53,'Données projet'!$A$269:$I$289,4,0))</f>
        <v>32.692307692307693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</row>
    <row r="54" spans="1:218" s="5" customFormat="1" x14ac:dyDescent="0.25">
      <c r="A54" s="11">
        <f t="shared" si="31"/>
        <v>51</v>
      </c>
      <c r="B54" s="76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9">
        <f t="shared" si="1"/>
        <v>256.66666666666669</v>
      </c>
      <c r="I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16.227472527472521</v>
      </c>
      <c r="N54" s="14">
        <f>IF('Données projet'!$A$36&gt;35,N53+M54-V53,IF(A54&lt;'Données projet'!$A$36,$K$205^A54,IF(A54='Données projet'!$A$36,'Données projet'!$B$36,N53+M54-V53)))</f>
        <v>346.57032967032973</v>
      </c>
      <c r="O54" s="14">
        <f>N54*VLOOKUP('Données projet'!$B$9,Paramètres!$A$1:$I$89,3,0)*VLOOKUP('Données projet'!$B$9,Paramètres!$A$1:$I$89,5,0)</f>
        <v>193.73281428571431</v>
      </c>
      <c r="P54" s="14">
        <f t="shared" si="33"/>
        <v>48.364288285880889</v>
      </c>
      <c r="Q54" s="22">
        <f t="shared" si="53"/>
        <v>421.65245364552828</v>
      </c>
      <c r="R54" s="62">
        <f t="shared" si="0"/>
        <v>714.9857869788616</v>
      </c>
      <c r="S54" s="62">
        <f ca="1">AVERAGE(OFFSET($R$3,0,0,'Données projet'!$E$9+1,1))-AVERAGE(OFFSET($H$3,0,0,'Données projet'!$E$9+1,1))</f>
        <v>323.98185264074681</v>
      </c>
      <c r="T54" s="62">
        <f t="shared" si="34"/>
        <v>301.22207291854005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2.944033944381991</v>
      </c>
      <c r="AA54" s="23">
        <f>EXP(-LN(2)/25)*AA53+(1-EXP(-LN(2)/25))/(LN(2)/25)*Calculateur!V54*Calculateur!X54*VLOOKUP('Données projet'!$B$9,Paramètres!$A$1:$I$89,3,0)*0.475*44/12</f>
        <v>4.6073009064041326</v>
      </c>
      <c r="AB54" s="23">
        <f>EXP(-LN(2)/2)*AB53+(1-EXP(-LN(2)/2))/(LN(2)/2)*V54*Y54*VLOOKUP('Données projet'!$B$9,Paramètres!$A$1:$I$89,3,0)*0.475*44/12</f>
        <v>4.2038376360000514E-3</v>
      </c>
      <c r="AC54" s="24">
        <f t="shared" si="3"/>
        <v>7.5555386884221232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10.66307692307692</v>
      </c>
      <c r="AI54" s="14">
        <f>IF('Données projet'!$A$62&gt;35,AI53+AH54-AQ53,IF(A54&lt;'Données projet'!$A$62,$AF$205^A54,IF(A54='Données projet'!$A$62,'Données projet'!$B$62,AI53+AH54-AQ53)))</f>
        <v>246.45538461538462</v>
      </c>
      <c r="AJ54" s="14">
        <f>AI54*VLOOKUP('Données projet'!$B$10,Paramètres!$A$1:$I$89,3,0)*VLOOKUP('Données projet'!$B$10,Paramètres!$A$1:$I$89,5,0)</f>
        <v>147.38032000000001</v>
      </c>
      <c r="AK54" s="14">
        <f t="shared" si="35"/>
        <v>37.982644854557613</v>
      </c>
      <c r="AL54" s="22">
        <f t="shared" si="4"/>
        <v>322.84049712168786</v>
      </c>
      <c r="AM54" s="62">
        <f t="shared" si="5"/>
        <v>616.17383045502118</v>
      </c>
      <c r="AN54" s="62">
        <f ca="1">AVERAGE(OFFSET($AM$3,0,0,'Données projet'!$E$10+1,1))-AVERAGE(OFFSET($H$3,0,0,'Données projet'!$E$10+1,1))</f>
        <v>289.12367833861299</v>
      </c>
      <c r="AO54" s="62">
        <f t="shared" si="36"/>
        <v>229.06617320689003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2.8635304727871497E-3</v>
      </c>
      <c r="AX54" s="23">
        <f t="shared" si="6"/>
        <v>2.8635304727871497E-3</v>
      </c>
      <c r="AY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8</v>
      </c>
      <c r="BD54" s="13">
        <f>IF('Données projet'!$A$88&gt;35,BD53+BC54-BL53,IF(A54&lt;'Données projet'!$A$88,$BA$205^A54,IF(A54='Données projet'!$A$88,'Données projet'!$B$88,BD53+BC54-BL53)))</f>
        <v>165</v>
      </c>
      <c r="BE54" s="14">
        <f>BD54*VLOOKUP('Données projet'!$B$11,Paramètres!$A$1:$I$89,3,0)*VLOOKUP('Données projet'!$B$11,Paramètres!$A$1:$I$89,5,0)</f>
        <v>149.29199999999997</v>
      </c>
      <c r="BF54" s="14">
        <f t="shared" si="37"/>
        <v>38.417645803815411</v>
      </c>
      <c r="BG54" s="22">
        <f t="shared" si="7"/>
        <v>326.9276331083118</v>
      </c>
      <c r="BH54" s="62">
        <f t="shared" si="8"/>
        <v>620.26096644164511</v>
      </c>
      <c r="BI54" s="62">
        <f ca="1">AVERAGE(OFFSET($BH$3,0,0,'Données projet'!$E$11+1,1))-AVERAGE(OFFSET($H$3,0,0,'Données projet'!$E$11+1,1))</f>
        <v>428.8489304403459</v>
      </c>
      <c r="BJ54" s="62">
        <f t="shared" si="38"/>
        <v>247.01165577562966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6.4</v>
      </c>
      <c r="BY54" s="13">
        <f>IF('Données projet'!$A$114&gt;35,BY53+BX54-CG53,IF(A54&lt;'Données projet'!$A$114,$BV$205^A54,IF(A54='Données projet'!$A$114,'Données projet'!$B$114,BY53+BX54-CG53)))</f>
        <v>207.39999999999984</v>
      </c>
      <c r="BZ54" s="14">
        <f>BY54*VLOOKUP('Données projet'!$B$12,Paramètres!$A$1:$I$89,3,0)*VLOOKUP('Données projet'!$B$12,Paramètres!$A$1:$I$89,5,0)</f>
        <v>152.06567999999987</v>
      </c>
      <c r="CA54" s="14">
        <f t="shared" si="39"/>
        <v>39.047644484359502</v>
      </c>
      <c r="CB54" s="22">
        <f t="shared" si="10"/>
        <v>332.85570681025916</v>
      </c>
      <c r="CC54" s="62">
        <f t="shared" si="11"/>
        <v>626.18904014359248</v>
      </c>
      <c r="CD54" s="62">
        <f ca="1">AVERAGE(OFFSET($CC$3,0,0,'Données projet'!$E$12+1,1))-AVERAGE(OFFSET($H$3,0,0,'Données projet'!$E$12+1,1))</f>
        <v>290.85271051443431</v>
      </c>
      <c r="CE54" s="62">
        <f t="shared" si="40"/>
        <v>318.66958823451142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10.375</v>
      </c>
      <c r="CT54" s="13">
        <f>IF('Données projet'!$A$140&gt;35,CT53+CS54-DB53,IF(A54&lt;'Données projet'!$A$140,$CQ$205^A54,IF(A54='Données projet'!$A$140,'Données projet'!$B$140,CT53+CS54-DB53)))</f>
        <v>259.62499999999994</v>
      </c>
      <c r="CU54" s="18">
        <f>CT54*VLOOKUP('Données projet'!$B$13,Paramètres!$A$1:$I$89,3,0)*VLOOKUP('Données projet'!$B$13,Paramètres!$A$1:$I$89,5,0)</f>
        <v>202.50749999999996</v>
      </c>
      <c r="CV54" s="14">
        <f t="shared" si="41"/>
        <v>50.294840086606349</v>
      </c>
      <c r="CW54" s="22">
        <f t="shared" si="13"/>
        <v>440.29740898417259</v>
      </c>
      <c r="CX54" s="62">
        <f t="shared" si="14"/>
        <v>733.63074231750591</v>
      </c>
      <c r="CY54" s="62">
        <f ca="1">AVERAGE(OFFSET($CX$3,0,0,'Données projet'!$E$13+1,1))-AVERAGE(OFFSET($H$3,0,0,'Données projet'!$E$13+1,1))</f>
        <v>292.57482726862594</v>
      </c>
      <c r="CZ54" s="62">
        <f t="shared" si="42"/>
        <v>283.48738729114024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6.4</v>
      </c>
      <c r="DO54" s="13">
        <f>IF('Données projet'!$A$166&gt;35,DO53+DN54-DW53,IF(A54&lt;'Données projet'!$A$166,$DL$205^A54,IF(A54='Données projet'!$A$166,'Données projet'!$B$166,DO53+DN54-DW53)))</f>
        <v>207.39999999999984</v>
      </c>
      <c r="DP54" s="18">
        <f>DO54*VLOOKUP('Données projet'!$B$14,Paramètres!$A$1:$I$89,3,0)*VLOOKUP('Données projet'!$B$14,Paramètres!$A$1:$I$89,5,0)</f>
        <v>165.00743999999986</v>
      </c>
      <c r="DQ54" s="14">
        <f t="shared" si="43"/>
        <v>41.969923817052226</v>
      </c>
      <c r="DR54" s="22">
        <f t="shared" si="16"/>
        <v>360.48557531469902</v>
      </c>
      <c r="DS54" s="62">
        <f t="shared" si="17"/>
        <v>653.81890864803233</v>
      </c>
      <c r="DT54" s="62">
        <f ca="1">AVERAGE(OFFSET($DS$3,0,0,'Données projet'!$E$14+1,1))-AVERAGE(OFFSET($H$3,0,0,'Données projet'!$E$14+1,1))</f>
        <v>312.53381881960331</v>
      </c>
      <c r="DU54" s="62">
        <f t="shared" si="44"/>
        <v>342.06887933351783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5.2564102564102599</v>
      </c>
      <c r="EJ54" s="13">
        <f>IF('Données projet'!$A$192&gt;35,EJ53+EI54-ER53,IF(A54&lt;'Données projet'!$A$192,$EG$205^A54,IF(A54='Données projet'!$A$192,'Données projet'!$B$192,EJ53+EI54-ER53)))</f>
        <v>154.61538461538461</v>
      </c>
      <c r="EK54" s="18">
        <f>EJ54*VLOOKUP('Données projet'!$B$15,Paramètres!$A$1:$I$89,3,0)*VLOOKUP('Données projet'!$B$15,Paramètres!$A$1:$I$89,5,0)</f>
        <v>147.13200000000001</v>
      </c>
      <c r="EL54" s="14">
        <f t="shared" si="45"/>
        <v>37.926091844382093</v>
      </c>
      <c r="EM54" s="22">
        <f t="shared" si="19"/>
        <v>322.30950996229876</v>
      </c>
      <c r="EN54" s="62">
        <f t="shared" si="20"/>
        <v>615.64284329563202</v>
      </c>
      <c r="EO54" s="62">
        <f ca="1">AVERAGE(OFFSET($EN$3,0,0,'Données projet'!$E$15+1,1))-AVERAGE(OFFSET($H$3,0,0,'Données projet'!$E$15+1,1))</f>
        <v>363.37916970915211</v>
      </c>
      <c r="EP54" s="62">
        <f t="shared" si="46"/>
        <v>281.52963027844595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>
        <f>VLOOKUP(A54,'Données projet'!$A$217:$I$237,2,0)</f>
        <v>321.8384615384615</v>
      </c>
      <c r="FC54" s="13">
        <f>VLOOKUP(A54,'Données projet'!$A$217:$I$237,9,0)</f>
        <v>11.615384615384608</v>
      </c>
      <c r="FD54" s="13">
        <f t="array" ref="FD54">INDEX(FC:FC,MIN(IF(ISNUMBER(FC54:FC250),ROW(FC54:FC250),"")))</f>
        <v>11.615384615384608</v>
      </c>
      <c r="FE54" s="13">
        <f>IF('Données projet'!$A$218&gt;35,FE53+FD54-FM53,IF(A54&lt;'Données projet'!$A$218,$FB$205^A54,IF(A54='Données projet'!$A$218,'Données projet'!$B$218,FE53+FD54-FM53)))</f>
        <v>321.83846153846133</v>
      </c>
      <c r="FF54" s="18">
        <f>FE54*VLOOKUP('Données projet'!$B$16,Paramètres!$A$1:$I$89,3,0)*VLOOKUP('Données projet'!$B$16,Paramètres!$A$1:$I$89,5,0)</f>
        <v>150.6203999999999</v>
      </c>
      <c r="FG54" s="14">
        <f t="shared" si="47"/>
        <v>38.719539861211025</v>
      </c>
      <c r="FH54" s="22">
        <f t="shared" si="22"/>
        <v>329.76706192494237</v>
      </c>
      <c r="FI54" s="62">
        <f t="shared" si="23"/>
        <v>623.10039525827574</v>
      </c>
      <c r="FJ54" s="62">
        <f ca="1">AVERAGE(OFFSET($FI$3,0,0,'Données projet'!$E$16+1,1))-AVERAGE(OFFSET($H$3,0,0,'Données projet'!$E$16+1,1))</f>
        <v>245.47494516762282</v>
      </c>
      <c r="FK54" s="62">
        <f t="shared" si="48"/>
        <v>145.54897745089966</v>
      </c>
      <c r="FL54" s="16">
        <f>IF(ISNA(VLOOKUP(A54,'Données projet'!$A$217:$I$237,3,0)),0,VLOOKUP(A54,'Données projet'!$A$217:$I$237,3,0))</f>
        <v>1</v>
      </c>
      <c r="FM54" s="16">
        <f>IF(ISNA(VLOOKUP(A54,'Données projet'!$A$217:$I$237,4,0)),0,VLOOKUP(A54,'Données projet'!$A$217:$I$237,4,0))</f>
        <v>100.30769230769231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8</v>
      </c>
      <c r="FZ54" s="13">
        <f>IF('Données projet'!$A$244&gt;35,FZ53+FY54-GH53,IF(A54&lt;'Données projet'!$A$244,$FW$205^A54,IF(A54='Données projet'!$A$244,'Données projet'!$B$244,FZ53+FY54-GH53)))</f>
        <v>165</v>
      </c>
      <c r="GA54" s="18">
        <f>FZ54*VLOOKUP('Données projet'!$B$17,Paramètres!$A$1:$I$89,3,0)*VLOOKUP('Données projet'!$B$17,Paramètres!$A$1:$I$89,5,0)</f>
        <v>159.58799999999999</v>
      </c>
      <c r="GB54" s="14">
        <f t="shared" si="49"/>
        <v>40.74957371668588</v>
      </c>
      <c r="GC54" s="22">
        <f t="shared" si="25"/>
        <v>348.92127422322784</v>
      </c>
      <c r="GD54" s="62">
        <f t="shared" si="26"/>
        <v>642.25460755656115</v>
      </c>
      <c r="GE54" s="62">
        <f ca="1">AVERAGE(OFFSET($GD$3,0,0,'Données projet'!$E$17+1,1))-AVERAGE(OFFSET($H$3,0,0,'Données projet'!$E$17+1,1))</f>
        <v>455.50822833641354</v>
      </c>
      <c r="GF54" s="62">
        <f t="shared" si="50"/>
        <v>261.14722581688039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5.7692307692307683</v>
      </c>
      <c r="GU54" s="13">
        <f>IF('Données projet'!$A$270&gt;35,GU53+GT54-HC53,IF(A54&lt;'Données projet'!$A$270,$GR$205^A54,IF(A54='Données projet'!$A$270,'Données projet'!$B$270,GU53+GT54-HC53)))</f>
        <v>194.87179487179486</v>
      </c>
      <c r="GV54" s="18">
        <f>GU54*VLOOKUP('Données projet'!$B$18,Paramètres!$A$1:$I$89,3,0)*VLOOKUP('Données projet'!$B$18,Paramètres!$A$1:$I$89,5,0)</f>
        <v>130.72</v>
      </c>
      <c r="GW54" s="14">
        <f t="shared" si="51"/>
        <v>34.162676675108806</v>
      </c>
      <c r="GX54" s="22">
        <f t="shared" si="28"/>
        <v>287.17066187581446</v>
      </c>
      <c r="GY54" s="62">
        <f t="shared" si="29"/>
        <v>580.50399520914777</v>
      </c>
      <c r="GZ54" s="62">
        <f ca="1">AVERAGE(OFFSET($GY$3,0,0,'Données projet'!$E$18+1,1))-AVERAGE(OFFSET($H$3,0,0,'Données projet'!$E$18+1,1))</f>
        <v>312.06797204903796</v>
      </c>
      <c r="HA54" s="62">
        <f t="shared" si="52"/>
        <v>258.20189001775151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</row>
    <row r="55" spans="1:218" s="5" customFormat="1" x14ac:dyDescent="0.25">
      <c r="A55" s="11">
        <f t="shared" si="31"/>
        <v>52</v>
      </c>
      <c r="B55" s="76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9">
        <f t="shared" si="1"/>
        <v>256.66666666666669</v>
      </c>
      <c r="I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16.227472527472521</v>
      </c>
      <c r="N55" s="14">
        <f>IF('Données projet'!$A$36&gt;35,N54+M55-V54,IF(A55&lt;'Données projet'!$A$36,$K$205^A55,IF(A55='Données projet'!$A$36,'Données projet'!$B$36,N54+M55-V54)))</f>
        <v>362.79780219780224</v>
      </c>
      <c r="O55" s="14">
        <f>N55*VLOOKUP('Données projet'!$B$9,Paramètres!$A$1:$I$89,3,0)*VLOOKUP('Données projet'!$B$9,Paramètres!$A$1:$I$89,5,0)</f>
        <v>202.80397142857146</v>
      </c>
      <c r="P55" s="14">
        <f t="shared" si="33"/>
        <v>50.359895566849652</v>
      </c>
      <c r="Q55" s="22">
        <f t="shared" si="53"/>
        <v>440.92706835035841</v>
      </c>
      <c r="R55" s="62">
        <f t="shared" si="0"/>
        <v>734.26040168369173</v>
      </c>
      <c r="S55" s="62">
        <f ca="1">AVERAGE(OFFSET($R$3,0,0,'Données projet'!$E$9+1,1))-AVERAGE(OFFSET($H$3,0,0,'Données projet'!$E$9+1,1))</f>
        <v>323.98185264074681</v>
      </c>
      <c r="T55" s="62">
        <f t="shared" si="34"/>
        <v>301.22207291854005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2.8863032344160571</v>
      </c>
      <c r="AA55" s="23">
        <f>EXP(-LN(2)/25)*AA54+(1-EXP(-LN(2)/25))/(LN(2)/25)*Calculateur!V55*Calculateur!X55*VLOOKUP('Données projet'!$B$9,Paramètres!$A$1:$I$89,3,0)*0.475*44/12</f>
        <v>4.4813140208310873</v>
      </c>
      <c r="AB55" s="23">
        <f>EXP(-LN(2)/2)*AB54+(1-EXP(-LN(2)/2))/(LN(2)/2)*V55*Y55*VLOOKUP('Données projet'!$B$9,Paramètres!$A$1:$I$89,3,0)*0.475*44/12</f>
        <v>2.9725620994228616E-3</v>
      </c>
      <c r="AC55" s="24">
        <f t="shared" si="3"/>
        <v>7.3705898173465672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10.66307692307692</v>
      </c>
      <c r="AI55" s="14">
        <f>IF('Données projet'!$A$62&gt;35,AI54+AH55-AQ54,IF(A55&lt;'Données projet'!$A$62,$AF$205^A55,IF(A55='Données projet'!$A$62,'Données projet'!$B$62,AI54+AH55-AQ54)))</f>
        <v>257.11846153846153</v>
      </c>
      <c r="AJ55" s="14">
        <f>AI55*VLOOKUP('Données projet'!$B$10,Paramètres!$A$1:$I$89,3,0)*VLOOKUP('Données projet'!$B$10,Paramètres!$A$1:$I$89,5,0)</f>
        <v>153.75684000000001</v>
      </c>
      <c r="AK55" s="14">
        <f t="shared" si="35"/>
        <v>39.431107959482766</v>
      </c>
      <c r="AL55" s="22">
        <f t="shared" si="4"/>
        <v>336.4690093627658</v>
      </c>
      <c r="AM55" s="62">
        <f t="shared" si="5"/>
        <v>629.80234269609912</v>
      </c>
      <c r="AN55" s="62">
        <f ca="1">AVERAGE(OFFSET($AM$3,0,0,'Données projet'!$E$10+1,1))-AVERAGE(OFFSET($H$3,0,0,'Données projet'!$E$10+1,1))</f>
        <v>289.12367833861299</v>
      </c>
      <c r="AO55" s="62">
        <f t="shared" si="36"/>
        <v>229.06617320689003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2.024821815442114E-3</v>
      </c>
      <c r="AX55" s="23">
        <f t="shared" si="6"/>
        <v>2.024821815442114E-3</v>
      </c>
      <c r="AY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8</v>
      </c>
      <c r="BD55" s="13">
        <f>IF('Données projet'!$A$88&gt;35,BD54+BC55-BL54,IF(A55&lt;'Données projet'!$A$88,$BA$205^A55,IF(A55='Données projet'!$A$88,'Données projet'!$B$88,BD54+BC55-BL54)))</f>
        <v>173</v>
      </c>
      <c r="BE55" s="14">
        <f>BD55*VLOOKUP('Données projet'!$B$11,Paramètres!$A$1:$I$89,3,0)*VLOOKUP('Données projet'!$B$11,Paramètres!$A$1:$I$89,5,0)</f>
        <v>156.53039999999999</v>
      </c>
      <c r="BF55" s="14">
        <f t="shared" si="37"/>
        <v>40.058941713182037</v>
      </c>
      <c r="BG55" s="22">
        <f t="shared" si="7"/>
        <v>342.393103483792</v>
      </c>
      <c r="BH55" s="62">
        <f t="shared" si="8"/>
        <v>635.72643681712532</v>
      </c>
      <c r="BI55" s="62">
        <f ca="1">AVERAGE(OFFSET($BH$3,0,0,'Données projet'!$E$11+1,1))-AVERAGE(OFFSET($H$3,0,0,'Données projet'!$E$11+1,1))</f>
        <v>428.8489304403459</v>
      </c>
      <c r="BJ55" s="62">
        <f t="shared" si="38"/>
        <v>247.01165577562966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6.4</v>
      </c>
      <c r="BY55" s="13">
        <f>IF('Données projet'!$A$114&gt;35,BY54+BX55-CG54,IF(A55&lt;'Données projet'!$A$114,$BV$205^A55,IF(A55='Données projet'!$A$114,'Données projet'!$B$114,BY54+BX55-CG54)))</f>
        <v>213.79999999999984</v>
      </c>
      <c r="BZ55" s="14">
        <f>BY55*VLOOKUP('Données projet'!$B$12,Paramètres!$A$1:$I$89,3,0)*VLOOKUP('Données projet'!$B$12,Paramètres!$A$1:$I$89,5,0)</f>
        <v>156.75815999999989</v>
      </c>
      <c r="CA55" s="14">
        <f t="shared" si="39"/>
        <v>40.110440521385584</v>
      </c>
      <c r="CB55" s="22">
        <f t="shared" si="10"/>
        <v>342.87947924141304</v>
      </c>
      <c r="CC55" s="62">
        <f t="shared" si="11"/>
        <v>636.21281257474629</v>
      </c>
      <c r="CD55" s="62">
        <f ca="1">AVERAGE(OFFSET($CC$3,0,0,'Données projet'!$E$12+1,1))-AVERAGE(OFFSET($H$3,0,0,'Données projet'!$E$12+1,1))</f>
        <v>290.85271051443431</v>
      </c>
      <c r="CE55" s="62">
        <f t="shared" si="40"/>
        <v>318.66958823451142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>
        <f>VLOOKUP(A55,'Données projet'!$A$139:$I$159,2,0)</f>
        <v>270</v>
      </c>
      <c r="CR55" s="13">
        <f>VLOOKUP(A55,'Données projet'!$A$139:$I$159,9,0)</f>
        <v>10.375</v>
      </c>
      <c r="CS55" s="13">
        <f t="array" ref="CS55">INDEX(CR:CR,MIN(IF(ISNUMBER(CR55:CR251),ROW(CR55:CR251),"")))</f>
        <v>10.375</v>
      </c>
      <c r="CT55" s="13">
        <f>IF('Données projet'!$A$140&gt;35,CT54+CS55-DB54,IF(A55&lt;'Données projet'!$A$140,$CQ$205^A55,IF(A55='Données projet'!$A$140,'Données projet'!$B$140,CT54+CS55-DB54)))</f>
        <v>269.99999999999994</v>
      </c>
      <c r="CU55" s="18">
        <f>CT55*VLOOKUP('Données projet'!$B$13,Paramètres!$A$1:$I$89,3,0)*VLOOKUP('Données projet'!$B$13,Paramètres!$A$1:$I$89,5,0)</f>
        <v>210.59999999999997</v>
      </c>
      <c r="CV55" s="14">
        <f t="shared" si="41"/>
        <v>52.066679014659961</v>
      </c>
      <c r="CW55" s="22">
        <f t="shared" si="13"/>
        <v>457.47779928386598</v>
      </c>
      <c r="CX55" s="62">
        <f t="shared" si="14"/>
        <v>750.81113261719929</v>
      </c>
      <c r="CY55" s="62">
        <f ca="1">AVERAGE(OFFSET($CX$3,0,0,'Données projet'!$E$13+1,1))-AVERAGE(OFFSET($H$3,0,0,'Données projet'!$E$13+1,1))</f>
        <v>292.57482726862594</v>
      </c>
      <c r="CZ55" s="62">
        <f t="shared" si="42"/>
        <v>283.48738729114024</v>
      </c>
      <c r="DA55" s="16">
        <f>IF(ISNA(VLOOKUP(A55,'Données projet'!$A$139:$I$159,3,0)),0,VLOOKUP(A55,'Données projet'!$A$139:$I$159,3,0))</f>
        <v>5</v>
      </c>
      <c r="DB55" s="16">
        <f>IF(ISNA(VLOOKUP(A55,'Données projet'!$A$139:$I$159,4,0)),0,VLOOKUP(A55,'Données projet'!$A$139:$I$159,4,0))</f>
        <v>48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6.4</v>
      </c>
      <c r="DO55" s="13">
        <f>IF('Données projet'!$A$166&gt;35,DO54+DN55-DW54,IF(A55&lt;'Données projet'!$A$166,$DL$205^A55,IF(A55='Données projet'!$A$166,'Données projet'!$B$166,DO54+DN55-DW54)))</f>
        <v>213.79999999999984</v>
      </c>
      <c r="DP55" s="18">
        <f>DO55*VLOOKUP('Données projet'!$B$14,Paramètres!$A$1:$I$89,3,0)*VLOOKUP('Données projet'!$B$14,Paramètres!$A$1:$I$89,5,0)</f>
        <v>170.09927999999988</v>
      </c>
      <c r="DQ55" s="14">
        <f t="shared" si="43"/>
        <v>43.112258247107711</v>
      </c>
      <c r="DR55" s="22">
        <f t="shared" si="16"/>
        <v>371.34342911371238</v>
      </c>
      <c r="DS55" s="62">
        <f t="shared" si="17"/>
        <v>664.67676244704569</v>
      </c>
      <c r="DT55" s="62">
        <f ca="1">AVERAGE(OFFSET($DS$3,0,0,'Données projet'!$E$14+1,1))-AVERAGE(OFFSET($H$3,0,0,'Données projet'!$E$14+1,1))</f>
        <v>312.53381881960331</v>
      </c>
      <c r="DU55" s="62">
        <f t="shared" si="44"/>
        <v>342.06887933351783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5.2564102564102599</v>
      </c>
      <c r="EJ55" s="13">
        <f>IF('Données projet'!$A$192&gt;35,EJ54+EI55-ER54,IF(A55&lt;'Données projet'!$A$192,$EG$205^A55,IF(A55='Données projet'!$A$192,'Données projet'!$B$192,EJ54+EI55-ER54)))</f>
        <v>159.87179487179486</v>
      </c>
      <c r="EK55" s="18">
        <f>EJ55*VLOOKUP('Données projet'!$B$15,Paramètres!$A$1:$I$89,3,0)*VLOOKUP('Données projet'!$B$15,Paramètres!$A$1:$I$89,5,0)</f>
        <v>152.13399999999999</v>
      </c>
      <c r="EL55" s="14">
        <f t="shared" si="45"/>
        <v>39.063145346110034</v>
      </c>
      <c r="EM55" s="22">
        <f t="shared" si="19"/>
        <v>333.00169481114159</v>
      </c>
      <c r="EN55" s="62">
        <f t="shared" si="20"/>
        <v>626.3350281444749</v>
      </c>
      <c r="EO55" s="62">
        <f ca="1">AVERAGE(OFFSET($EN$3,0,0,'Données projet'!$E$15+1,1))-AVERAGE(OFFSET($H$3,0,0,'Données projet'!$E$15+1,1))</f>
        <v>363.37916970915211</v>
      </c>
      <c r="EP55" s="62">
        <f t="shared" si="46"/>
        <v>281.52963027844595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10.542307692307702</v>
      </c>
      <c r="FE55" s="13">
        <f>IF('Données projet'!$A$218&gt;35,FE54+FD55-FM54,IF(A55&lt;'Données projet'!$A$218,$FB$205^A55,IF(A55='Données projet'!$A$218,'Données projet'!$B$218,FE54+FD55-FM54)))</f>
        <v>232.07307692307671</v>
      </c>
      <c r="FF55" s="18">
        <f>FE55*VLOOKUP('Données projet'!$B$16,Paramètres!$A$1:$I$89,3,0)*VLOOKUP('Données projet'!$B$16,Paramètres!$A$1:$I$89,5,0)</f>
        <v>108.61019999999989</v>
      </c>
      <c r="FG55" s="14">
        <f t="shared" si="47"/>
        <v>29.003294930485936</v>
      </c>
      <c r="FH55" s="22">
        <f t="shared" si="22"/>
        <v>239.67683700392948</v>
      </c>
      <c r="FI55" s="62">
        <f t="shared" si="23"/>
        <v>533.01017033726282</v>
      </c>
      <c r="FJ55" s="62">
        <f ca="1">AVERAGE(OFFSET($FI$3,0,0,'Données projet'!$E$16+1,1))-AVERAGE(OFFSET($H$3,0,0,'Données projet'!$E$16+1,1))</f>
        <v>245.47494516762282</v>
      </c>
      <c r="FK55" s="62">
        <f t="shared" si="48"/>
        <v>145.54897745089966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8</v>
      </c>
      <c r="FZ55" s="13">
        <f>IF('Données projet'!$A$244&gt;35,FZ54+FY55-GH54,IF(A55&lt;'Données projet'!$A$244,$FW$205^A55,IF(A55='Données projet'!$A$244,'Données projet'!$B$244,FZ54+FY55-GH54)))</f>
        <v>173</v>
      </c>
      <c r="GA55" s="18">
        <f>FZ55*VLOOKUP('Données projet'!$B$17,Paramètres!$A$1:$I$89,3,0)*VLOOKUP('Données projet'!$B$17,Paramètres!$A$1:$I$89,5,0)</f>
        <v>167.32560000000001</v>
      </c>
      <c r="GB55" s="14">
        <f t="shared" si="49"/>
        <v>42.490495297127609</v>
      </c>
      <c r="GC55" s="22">
        <f t="shared" si="25"/>
        <v>365.42969930916388</v>
      </c>
      <c r="GD55" s="62">
        <f t="shared" si="26"/>
        <v>658.76303264249714</v>
      </c>
      <c r="GE55" s="62">
        <f ca="1">AVERAGE(OFFSET($GD$3,0,0,'Données projet'!$E$17+1,1))-AVERAGE(OFFSET($H$3,0,0,'Données projet'!$E$17+1,1))</f>
        <v>455.50822833641354</v>
      </c>
      <c r="GF55" s="62">
        <f t="shared" si="50"/>
        <v>261.14722581688039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5.7692307692307683</v>
      </c>
      <c r="GU55" s="13">
        <f>IF('Données projet'!$A$270&gt;35,GU54+GT55-HC54,IF(A55&lt;'Données projet'!$A$270,$GR$205^A55,IF(A55='Données projet'!$A$270,'Données projet'!$B$270,GU54+GT55-HC54)))</f>
        <v>200.64102564102564</v>
      </c>
      <c r="GV55" s="18">
        <f>GU55*VLOOKUP('Données projet'!$B$18,Paramètres!$A$1:$I$89,3,0)*VLOOKUP('Données projet'!$B$18,Paramètres!$A$1:$I$89,5,0)</f>
        <v>134.59</v>
      </c>
      <c r="GW55" s="14">
        <f t="shared" si="51"/>
        <v>35.054822215165878</v>
      </c>
      <c r="GX55" s="22">
        <f t="shared" si="28"/>
        <v>295.46473202474721</v>
      </c>
      <c r="GY55" s="62">
        <f t="shared" si="29"/>
        <v>588.79806535808052</v>
      </c>
      <c r="GZ55" s="62">
        <f ca="1">AVERAGE(OFFSET($GY$3,0,0,'Données projet'!$E$18+1,1))-AVERAGE(OFFSET($H$3,0,0,'Données projet'!$E$18+1,1))</f>
        <v>312.06797204903796</v>
      </c>
      <c r="HA55" s="62">
        <f t="shared" si="52"/>
        <v>258.20189001775151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</row>
    <row r="56" spans="1:218" s="5" customFormat="1" x14ac:dyDescent="0.25">
      <c r="A56" s="11">
        <f t="shared" si="31"/>
        <v>53</v>
      </c>
      <c r="B56" s="76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9">
        <f t="shared" si="1"/>
        <v>256.66666666666669</v>
      </c>
      <c r="I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16.227472527472521</v>
      </c>
      <c r="N56" s="14">
        <f>IF('Données projet'!$A$36&gt;35,N55+M56-V55,IF(A56&lt;'Données projet'!$A$36,$K$205^A56,IF(A56='Données projet'!$A$36,'Données projet'!$B$36,N55+M56-V55)))</f>
        <v>379.02527472527476</v>
      </c>
      <c r="O56" s="14">
        <f>N56*VLOOKUP('Données projet'!$B$9,Paramètres!$A$1:$I$89,3,0)*VLOOKUP('Données projet'!$B$9,Paramètres!$A$1:$I$89,5,0)</f>
        <v>211.87512857142858</v>
      </c>
      <c r="P56" s="14">
        <f t="shared" si="33"/>
        <v>52.345136228066735</v>
      </c>
      <c r="Q56" s="22">
        <f t="shared" si="53"/>
        <v>460.18362785912103</v>
      </c>
      <c r="R56" s="62">
        <f t="shared" si="0"/>
        <v>753.51696119245435</v>
      </c>
      <c r="S56" s="62">
        <f ca="1">AVERAGE(OFFSET($R$3,0,0,'Données projet'!$E$9+1,1))-AVERAGE(OFFSET($H$3,0,0,'Données projet'!$E$9+1,1))</f>
        <v>323.98185264074681</v>
      </c>
      <c r="T56" s="62">
        <f t="shared" si="34"/>
        <v>301.22207291854005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2.8297045884602992</v>
      </c>
      <c r="AA56" s="23">
        <f>EXP(-LN(2)/25)*AA55+(1-EXP(-LN(2)/25))/(LN(2)/25)*Calculateur!V56*Calculateur!X56*VLOOKUP('Données projet'!$B$9,Paramètres!$A$1:$I$89,3,0)*0.475*44/12</f>
        <v>4.3587722532693993</v>
      </c>
      <c r="AB56" s="23">
        <f>EXP(-LN(2)/2)*AB55+(1-EXP(-LN(2)/2))/(LN(2)/2)*V56*Y56*VLOOKUP('Données projet'!$B$9,Paramètres!$A$1:$I$89,3,0)*0.475*44/12</f>
        <v>2.1019188180000257E-3</v>
      </c>
      <c r="AC56" s="24">
        <f t="shared" si="3"/>
        <v>7.190578760547699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10.66307692307692</v>
      </c>
      <c r="AI56" s="14">
        <f>IF('Données projet'!$A$62&gt;35,AI55+AH56-AQ55,IF(A56&lt;'Données projet'!$A$62,$AF$205^A56,IF(A56='Données projet'!$A$62,'Données projet'!$B$62,AI55+AH56-AQ55)))</f>
        <v>267.78153846153845</v>
      </c>
      <c r="AJ56" s="14">
        <f>AI56*VLOOKUP('Données projet'!$B$10,Paramètres!$A$1:$I$89,3,0)*VLOOKUP('Données projet'!$B$10,Paramètres!$A$1:$I$89,5,0)</f>
        <v>160.13336000000001</v>
      </c>
      <c r="AK56" s="14">
        <f t="shared" si="35"/>
        <v>40.872593668242253</v>
      </c>
      <c r="AL56" s="22">
        <f t="shared" si="4"/>
        <v>350.08536930552191</v>
      </c>
      <c r="AM56" s="62">
        <f t="shared" si="5"/>
        <v>643.41870263885517</v>
      </c>
      <c r="AN56" s="62">
        <f ca="1">AVERAGE(OFFSET($AM$3,0,0,'Données projet'!$E$10+1,1))-AVERAGE(OFFSET($H$3,0,0,'Données projet'!$E$10+1,1))</f>
        <v>289.12367833861299</v>
      </c>
      <c r="AO56" s="62">
        <f t="shared" si="36"/>
        <v>229.06617320689003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1.4317652363935748E-3</v>
      </c>
      <c r="AX56" s="23">
        <f t="shared" si="6"/>
        <v>1.4317652363935748E-3</v>
      </c>
      <c r="AY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8</v>
      </c>
      <c r="BD56" s="13">
        <f>IF('Données projet'!$A$88&gt;35,BD55+BC56-BL55,IF(A56&lt;'Données projet'!$A$88,$BA$205^A56,IF(A56='Données projet'!$A$88,'Données projet'!$B$88,BD55+BC56-BL55)))</f>
        <v>181</v>
      </c>
      <c r="BE56" s="14">
        <f>BD56*VLOOKUP('Données projet'!$B$11,Paramètres!$A$1:$I$89,3,0)*VLOOKUP('Données projet'!$B$11,Paramètres!$A$1:$I$89,5,0)</f>
        <v>163.7688</v>
      </c>
      <c r="BF56" s="14">
        <f t="shared" si="37"/>
        <v>41.691423503509803</v>
      </c>
      <c r="BG56" s="22">
        <f t="shared" si="7"/>
        <v>357.84322260194625</v>
      </c>
      <c r="BH56" s="62">
        <f t="shared" si="8"/>
        <v>651.17655593527957</v>
      </c>
      <c r="BI56" s="62">
        <f ca="1">AVERAGE(OFFSET($BH$3,0,0,'Données projet'!$E$11+1,1))-AVERAGE(OFFSET($H$3,0,0,'Données projet'!$E$11+1,1))</f>
        <v>428.8489304403459</v>
      </c>
      <c r="BJ56" s="62">
        <f t="shared" si="38"/>
        <v>247.01165577562966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6.4</v>
      </c>
      <c r="BY56" s="13">
        <f>IF('Données projet'!$A$114&gt;35,BY55+BX56-CG55,IF(A56&lt;'Données projet'!$A$114,$BV$205^A56,IF(A56='Données projet'!$A$114,'Données projet'!$B$114,BY55+BX56-CG55)))</f>
        <v>220.19999999999985</v>
      </c>
      <c r="BZ56" s="14">
        <f>BY56*VLOOKUP('Données projet'!$B$12,Paramètres!$A$1:$I$89,3,0)*VLOOKUP('Données projet'!$B$12,Paramètres!$A$1:$I$89,5,0)</f>
        <v>161.45063999999991</v>
      </c>
      <c r="CA56" s="14">
        <f t="shared" si="39"/>
        <v>41.169539236094941</v>
      </c>
      <c r="CB56" s="22">
        <f t="shared" si="10"/>
        <v>352.89681216953187</v>
      </c>
      <c r="CC56" s="62">
        <f t="shared" si="11"/>
        <v>646.23014550286518</v>
      </c>
      <c r="CD56" s="62">
        <f ca="1">AVERAGE(OFFSET($CC$3,0,0,'Données projet'!$E$12+1,1))-AVERAGE(OFFSET($H$3,0,0,'Données projet'!$E$12+1,1))</f>
        <v>290.85271051443431</v>
      </c>
      <c r="CE56" s="62">
        <f t="shared" si="40"/>
        <v>318.66958823451142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9.375</v>
      </c>
      <c r="CT56" s="13">
        <f>IF('Données projet'!$A$140&gt;35,CT55+CS56-DB55,IF(A56&lt;'Données projet'!$A$140,$CQ$205^A56,IF(A56='Données projet'!$A$140,'Données projet'!$B$140,CT55+CS56-DB55)))</f>
        <v>231.37499999999994</v>
      </c>
      <c r="CU56" s="18">
        <f>CT56*VLOOKUP('Données projet'!$B$13,Paramètres!$A$1:$I$89,3,0)*VLOOKUP('Données projet'!$B$13,Paramètres!$A$1:$I$89,5,0)</f>
        <v>180.47249999999997</v>
      </c>
      <c r="CV56" s="14">
        <f t="shared" si="41"/>
        <v>45.427292666837829</v>
      </c>
      <c r="CW56" s="22">
        <f t="shared" si="13"/>
        <v>393.44213889474253</v>
      </c>
      <c r="CX56" s="62">
        <f t="shared" si="14"/>
        <v>686.77547222807584</v>
      </c>
      <c r="CY56" s="62">
        <f ca="1">AVERAGE(OFFSET($CX$3,0,0,'Données projet'!$E$13+1,1))-AVERAGE(OFFSET($H$3,0,0,'Données projet'!$E$13+1,1))</f>
        <v>292.57482726862594</v>
      </c>
      <c r="CZ56" s="62">
        <f t="shared" si="42"/>
        <v>283.48738729114024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6.4</v>
      </c>
      <c r="DO56" s="13">
        <f>IF('Données projet'!$A$166&gt;35,DO55+DN56-DW55,IF(A56&lt;'Données projet'!$A$166,$DL$205^A56,IF(A56='Données projet'!$A$166,'Données projet'!$B$166,DO55+DN56-DW55)))</f>
        <v>220.19999999999985</v>
      </c>
      <c r="DP56" s="18">
        <f>DO56*VLOOKUP('Données projet'!$B$14,Paramètres!$A$1:$I$89,3,0)*VLOOKUP('Données projet'!$B$14,Paramètres!$A$1:$I$89,5,0)</f>
        <v>175.19111999999987</v>
      </c>
      <c r="DQ56" s="14">
        <f t="shared" si="43"/>
        <v>44.250618651635925</v>
      </c>
      <c r="DR56" s="22">
        <f t="shared" si="16"/>
        <v>382.19436148493236</v>
      </c>
      <c r="DS56" s="62">
        <f t="shared" si="17"/>
        <v>675.52769481826567</v>
      </c>
      <c r="DT56" s="62">
        <f ca="1">AVERAGE(OFFSET($DS$3,0,0,'Données projet'!$E$14+1,1))-AVERAGE(OFFSET($H$3,0,0,'Données projet'!$E$14+1,1))</f>
        <v>312.53381881960331</v>
      </c>
      <c r="DU56" s="62">
        <f t="shared" si="44"/>
        <v>342.06887933351783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5.2564102564102599</v>
      </c>
      <c r="EJ56" s="13">
        <f>IF('Données projet'!$A$192&gt;35,EJ55+EI56-ER55,IF(A56&lt;'Données projet'!$A$192,$EG$205^A56,IF(A56='Données projet'!$A$192,'Données projet'!$B$192,EJ55+EI56-ER55)))</f>
        <v>165.12820512820511</v>
      </c>
      <c r="EK56" s="18">
        <f>EJ56*VLOOKUP('Données projet'!$B$15,Paramètres!$A$1:$I$89,3,0)*VLOOKUP('Données projet'!$B$15,Paramètres!$A$1:$I$89,5,0)</f>
        <v>157.136</v>
      </c>
      <c r="EL56" s="14">
        <f t="shared" si="45"/>
        <v>40.195854714214285</v>
      </c>
      <c r="EM56" s="22">
        <f t="shared" si="19"/>
        <v>343.68631362725654</v>
      </c>
      <c r="EN56" s="62">
        <f t="shared" si="20"/>
        <v>637.01964696058985</v>
      </c>
      <c r="EO56" s="62">
        <f ca="1">AVERAGE(OFFSET($EN$3,0,0,'Données projet'!$E$15+1,1))-AVERAGE(OFFSET($H$3,0,0,'Données projet'!$E$15+1,1))</f>
        <v>363.37916970915211</v>
      </c>
      <c r="EP56" s="62">
        <f t="shared" si="46"/>
        <v>281.52963027844595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10.542307692307702</v>
      </c>
      <c r="FE56" s="13">
        <f>IF('Données projet'!$A$218&gt;35,FE55+FD56-FM55,IF(A56&lt;'Données projet'!$A$218,$FB$205^A56,IF(A56='Données projet'!$A$218,'Données projet'!$B$218,FE55+FD56-FM55)))</f>
        <v>242.61538461538441</v>
      </c>
      <c r="FF56" s="18">
        <f>FE56*VLOOKUP('Données projet'!$B$16,Paramètres!$A$1:$I$89,3,0)*VLOOKUP('Données projet'!$B$16,Paramètres!$A$1:$I$89,5,0)</f>
        <v>113.54399999999991</v>
      </c>
      <c r="FG56" s="14">
        <f t="shared" si="47"/>
        <v>30.164431377064304</v>
      </c>
      <c r="FH56" s="22">
        <f t="shared" si="22"/>
        <v>250.29218464838678</v>
      </c>
      <c r="FI56" s="62">
        <f t="shared" si="23"/>
        <v>543.62551798172012</v>
      </c>
      <c r="FJ56" s="62">
        <f ca="1">AVERAGE(OFFSET($FI$3,0,0,'Données projet'!$E$16+1,1))-AVERAGE(OFFSET($H$3,0,0,'Données projet'!$E$16+1,1))</f>
        <v>245.47494516762282</v>
      </c>
      <c r="FK56" s="62">
        <f t="shared" si="48"/>
        <v>145.54897745089966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8</v>
      </c>
      <c r="FZ56" s="13">
        <f>IF('Données projet'!$A$244&gt;35,FZ55+FY56-GH55,IF(A56&lt;'Données projet'!$A$244,$FW$205^A56,IF(A56='Données projet'!$A$244,'Données projet'!$B$244,FZ55+FY56-GH55)))</f>
        <v>181</v>
      </c>
      <c r="GA56" s="18">
        <f>FZ56*VLOOKUP('Données projet'!$B$17,Paramètres!$A$1:$I$89,3,0)*VLOOKUP('Données projet'!$B$17,Paramètres!$A$1:$I$89,5,0)</f>
        <v>175.06319999999999</v>
      </c>
      <c r="GB56" s="14">
        <f t="shared" si="49"/>
        <v>44.22206774682472</v>
      </c>
      <c r="GC56" s="22">
        <f t="shared" si="25"/>
        <v>381.9218413257197</v>
      </c>
      <c r="GD56" s="62">
        <f t="shared" si="26"/>
        <v>675.25517465905295</v>
      </c>
      <c r="GE56" s="62">
        <f ca="1">AVERAGE(OFFSET($GD$3,0,0,'Données projet'!$E$17+1,1))-AVERAGE(OFFSET($H$3,0,0,'Données projet'!$E$17+1,1))</f>
        <v>455.50822833641354</v>
      </c>
      <c r="GF56" s="62">
        <f t="shared" si="50"/>
        <v>261.14722581688039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5.7692307692307683</v>
      </c>
      <c r="GU56" s="13">
        <f>IF('Données projet'!$A$270&gt;35,GU55+GT56-HC55,IF(A56&lt;'Données projet'!$A$270,$GR$205^A56,IF(A56='Données projet'!$A$270,'Données projet'!$B$270,GU55+GT56-HC55)))</f>
        <v>206.41025641025641</v>
      </c>
      <c r="GV56" s="18">
        <f>GU56*VLOOKUP('Données projet'!$B$18,Paramètres!$A$1:$I$89,3,0)*VLOOKUP('Données projet'!$B$18,Paramètres!$A$1:$I$89,5,0)</f>
        <v>138.45999999999998</v>
      </c>
      <c r="GW56" s="14">
        <f t="shared" si="51"/>
        <v>35.943986332761526</v>
      </c>
      <c r="GX56" s="22">
        <f t="shared" si="28"/>
        <v>303.75360952955964</v>
      </c>
      <c r="GY56" s="62">
        <f t="shared" si="29"/>
        <v>597.08694286289301</v>
      </c>
      <c r="GZ56" s="62">
        <f ca="1">AVERAGE(OFFSET($GY$3,0,0,'Données projet'!$E$18+1,1))-AVERAGE(OFFSET($H$3,0,0,'Données projet'!$E$18+1,1))</f>
        <v>312.06797204903796</v>
      </c>
      <c r="HA56" s="62">
        <f t="shared" si="52"/>
        <v>258.20189001775151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</row>
    <row r="57" spans="1:218" s="5" customFormat="1" x14ac:dyDescent="0.25">
      <c r="A57" s="11">
        <f t="shared" si="31"/>
        <v>54</v>
      </c>
      <c r="B57" s="76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9">
        <f t="shared" si="1"/>
        <v>256.66666666666669</v>
      </c>
      <c r="I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16.227472527472521</v>
      </c>
      <c r="N57" s="14">
        <f>IF('Données projet'!$A$36&gt;35,N56+M57-V56,IF(A57&lt;'Données projet'!$A$36,$K$205^A57,IF(A57='Données projet'!$A$36,'Données projet'!$B$36,N56+M57-V56)))</f>
        <v>395.25274725274727</v>
      </c>
      <c r="O57" s="14">
        <f>N57*VLOOKUP('Données projet'!$B$9,Paramètres!$A$1:$I$89,3,0)*VLOOKUP('Données projet'!$B$9,Paramètres!$A$1:$I$89,5,0)</f>
        <v>220.94628571428572</v>
      </c>
      <c r="P57" s="14">
        <f t="shared" si="33"/>
        <v>54.320504840756463</v>
      </c>
      <c r="Q57" s="22">
        <f t="shared" si="53"/>
        <v>479.42299355003178</v>
      </c>
      <c r="R57" s="62">
        <f t="shared" si="0"/>
        <v>772.75632688336509</v>
      </c>
      <c r="S57" s="62">
        <f ca="1">AVERAGE(OFFSET($R$3,0,0,'Données projet'!$E$9+1,1))-AVERAGE(OFFSET($H$3,0,0,'Données projet'!$E$9+1,1))</f>
        <v>323.98185264074681</v>
      </c>
      <c r="T57" s="62">
        <f t="shared" si="34"/>
        <v>301.22207291854005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2.7742158074299681</v>
      </c>
      <c r="AA57" s="23">
        <f>EXP(-LN(2)/25)*AA56+(1-EXP(-LN(2)/25))/(LN(2)/25)*Calculateur!V57*Calculateur!X57*VLOOKUP('Données projet'!$B$9,Paramètres!$A$1:$I$89,3,0)*0.475*44/12</f>
        <v>4.2395813967858773</v>
      </c>
      <c r="AB57" s="23">
        <f>EXP(-LN(2)/2)*AB56+(1-EXP(-LN(2)/2))/(LN(2)/2)*V57*Y57*VLOOKUP('Données projet'!$B$9,Paramètres!$A$1:$I$89,3,0)*0.475*44/12</f>
        <v>1.4862810497114308E-3</v>
      </c>
      <c r="AC57" s="24">
        <f t="shared" si="3"/>
        <v>7.0152834852655568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10.66307692307692</v>
      </c>
      <c r="AI57" s="14">
        <f>IF('Données projet'!$A$62&gt;35,AI56+AH57-AQ56,IF(A57&lt;'Données projet'!$A$62,$AF$205^A57,IF(A57='Données projet'!$A$62,'Données projet'!$B$62,AI56+AH57-AQ56)))</f>
        <v>278.44461538461536</v>
      </c>
      <c r="AJ57" s="14">
        <f>AI57*VLOOKUP('Données projet'!$B$10,Paramètres!$A$1:$I$89,3,0)*VLOOKUP('Données projet'!$B$10,Paramètres!$A$1:$I$89,5,0)</f>
        <v>166.50987999999998</v>
      </c>
      <c r="AK57" s="14">
        <f t="shared" si="35"/>
        <v>42.307411610776938</v>
      </c>
      <c r="AL57" s="22">
        <f t="shared" si="4"/>
        <v>363.69011622210314</v>
      </c>
      <c r="AM57" s="62">
        <f t="shared" si="5"/>
        <v>657.0234495554364</v>
      </c>
      <c r="AN57" s="62">
        <f ca="1">AVERAGE(OFFSET($AM$3,0,0,'Données projet'!$E$10+1,1))-AVERAGE(OFFSET($H$3,0,0,'Données projet'!$E$10+1,1))</f>
        <v>289.12367833861299</v>
      </c>
      <c r="AO57" s="62">
        <f t="shared" si="36"/>
        <v>229.06617320689003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1.012410907721057E-3</v>
      </c>
      <c r="AX57" s="23">
        <f t="shared" si="6"/>
        <v>1.012410907721057E-3</v>
      </c>
      <c r="AY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8</v>
      </c>
      <c r="BD57" s="13">
        <f>IF('Données projet'!$A$88&gt;35,BD56+BC57-BL56,IF(A57&lt;'Données projet'!$A$88,$BA$205^A57,IF(A57='Données projet'!$A$88,'Données projet'!$B$88,BD56+BC57-BL56)))</f>
        <v>189</v>
      </c>
      <c r="BE57" s="14">
        <f>BD57*VLOOKUP('Données projet'!$B$11,Paramètres!$A$1:$I$89,3,0)*VLOOKUP('Données projet'!$B$11,Paramètres!$A$1:$I$89,5,0)</f>
        <v>171.00719999999998</v>
      </c>
      <c r="BF57" s="14">
        <f t="shared" si="37"/>
        <v>43.315525267338089</v>
      </c>
      <c r="BG57" s="22">
        <f t="shared" si="7"/>
        <v>373.27874650728046</v>
      </c>
      <c r="BH57" s="62">
        <f t="shared" si="8"/>
        <v>666.61207984061377</v>
      </c>
      <c r="BI57" s="62">
        <f ca="1">AVERAGE(OFFSET($BH$3,0,0,'Données projet'!$E$11+1,1))-AVERAGE(OFFSET($H$3,0,0,'Données projet'!$E$11+1,1))</f>
        <v>428.8489304403459</v>
      </c>
      <c r="BJ57" s="62">
        <f t="shared" si="38"/>
        <v>247.01165577562966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6.4</v>
      </c>
      <c r="BY57" s="13">
        <f>IF('Données projet'!$A$114&gt;35,BY56+BX57-CG56,IF(A57&lt;'Données projet'!$A$114,$BV$205^A57,IF(A57='Données projet'!$A$114,'Données projet'!$B$114,BY56+BX57-CG56)))</f>
        <v>226.59999999999985</v>
      </c>
      <c r="BZ57" s="14">
        <f>BY57*VLOOKUP('Données projet'!$B$12,Paramètres!$A$1:$I$89,3,0)*VLOOKUP('Données projet'!$B$12,Paramètres!$A$1:$I$89,5,0)</f>
        <v>166.1431199999999</v>
      </c>
      <c r="CA57" s="14">
        <f t="shared" si="39"/>
        <v>42.225060429180445</v>
      </c>
      <c r="CB57" s="22">
        <f t="shared" si="10"/>
        <v>362.90791424748909</v>
      </c>
      <c r="CC57" s="62">
        <f t="shared" si="11"/>
        <v>656.24124758082235</v>
      </c>
      <c r="CD57" s="62">
        <f ca="1">AVERAGE(OFFSET($CC$3,0,0,'Données projet'!$E$12+1,1))-AVERAGE(OFFSET($H$3,0,0,'Données projet'!$E$12+1,1))</f>
        <v>290.85271051443431</v>
      </c>
      <c r="CE57" s="62">
        <f t="shared" si="40"/>
        <v>318.66958823451142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9.375</v>
      </c>
      <c r="CT57" s="13">
        <f>IF('Données projet'!$A$140&gt;35,CT56+CS57-DB56,IF(A57&lt;'Données projet'!$A$140,$CQ$205^A57,IF(A57='Données projet'!$A$140,'Données projet'!$B$140,CT56+CS57-DB56)))</f>
        <v>240.74999999999994</v>
      </c>
      <c r="CU57" s="18">
        <f>CT57*VLOOKUP('Données projet'!$B$13,Paramètres!$A$1:$I$89,3,0)*VLOOKUP('Données projet'!$B$13,Paramètres!$A$1:$I$89,5,0)</f>
        <v>187.78499999999997</v>
      </c>
      <c r="CV57" s="14">
        <f t="shared" si="41"/>
        <v>47.049914090154054</v>
      </c>
      <c r="CW57" s="22">
        <f t="shared" si="13"/>
        <v>409.00414204035161</v>
      </c>
      <c r="CX57" s="62">
        <f t="shared" si="14"/>
        <v>702.33747537368492</v>
      </c>
      <c r="CY57" s="62">
        <f ca="1">AVERAGE(OFFSET($CX$3,0,0,'Données projet'!$E$13+1,1))-AVERAGE(OFFSET($H$3,0,0,'Données projet'!$E$13+1,1))</f>
        <v>292.57482726862594</v>
      </c>
      <c r="CZ57" s="62">
        <f t="shared" si="42"/>
        <v>283.48738729114024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6.4</v>
      </c>
      <c r="DO57" s="13">
        <f>IF('Données projet'!$A$166&gt;35,DO56+DN57-DW56,IF(A57&lt;'Données projet'!$A$166,$DL$205^A57,IF(A57='Données projet'!$A$166,'Données projet'!$B$166,DO56+DN57-DW56)))</f>
        <v>226.59999999999985</v>
      </c>
      <c r="DP57" s="18">
        <f>DO57*VLOOKUP('Données projet'!$B$14,Paramètres!$A$1:$I$89,3,0)*VLOOKUP('Données projet'!$B$14,Paramètres!$A$1:$I$89,5,0)</f>
        <v>180.28295999999989</v>
      </c>
      <c r="DQ57" s="14">
        <f t="shared" si="43"/>
        <v>45.385133797071362</v>
      </c>
      <c r="DR57" s="22">
        <f t="shared" si="16"/>
        <v>393.03859669656578</v>
      </c>
      <c r="DS57" s="62">
        <f t="shared" si="17"/>
        <v>686.37193002989909</v>
      </c>
      <c r="DT57" s="62">
        <f ca="1">AVERAGE(OFFSET($DS$3,0,0,'Données projet'!$E$14+1,1))-AVERAGE(OFFSET($H$3,0,0,'Données projet'!$E$14+1,1))</f>
        <v>312.53381881960331</v>
      </c>
      <c r="DU57" s="62">
        <f t="shared" si="44"/>
        <v>342.06887933351783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5.2564102564102599</v>
      </c>
      <c r="EJ57" s="13">
        <f>IF('Données projet'!$A$192&gt;35,EJ56+EI57-ER56,IF(A57&lt;'Données projet'!$A$192,$EG$205^A57,IF(A57='Données projet'!$A$192,'Données projet'!$B$192,EJ56+EI57-ER56)))</f>
        <v>170.38461538461536</v>
      </c>
      <c r="EK57" s="18">
        <f>EJ57*VLOOKUP('Données projet'!$B$15,Paramètres!$A$1:$I$89,3,0)*VLOOKUP('Données projet'!$B$15,Paramètres!$A$1:$I$89,5,0)</f>
        <v>162.13799999999998</v>
      </c>
      <c r="EL57" s="14">
        <f t="shared" si="45"/>
        <v>41.324374095861224</v>
      </c>
      <c r="EM57" s="22">
        <f t="shared" si="19"/>
        <v>354.36363488362491</v>
      </c>
      <c r="EN57" s="62">
        <f t="shared" si="20"/>
        <v>647.69696821695823</v>
      </c>
      <c r="EO57" s="62">
        <f ca="1">AVERAGE(OFFSET($EN$3,0,0,'Données projet'!$E$15+1,1))-AVERAGE(OFFSET($H$3,0,0,'Données projet'!$E$15+1,1))</f>
        <v>363.37916970915211</v>
      </c>
      <c r="EP57" s="62">
        <f t="shared" si="46"/>
        <v>281.52963027844595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10.542307692307702</v>
      </c>
      <c r="FE57" s="13">
        <f>IF('Données projet'!$A$218&gt;35,FE56+FD57-FM56,IF(A57&lt;'Données projet'!$A$218,$FB$205^A57,IF(A57='Données projet'!$A$218,'Données projet'!$B$218,FE56+FD57-FM56)))</f>
        <v>253.15769230769212</v>
      </c>
      <c r="FF57" s="18">
        <f>FE57*VLOOKUP('Données projet'!$B$16,Paramètres!$A$1:$I$89,3,0)*VLOOKUP('Données projet'!$B$16,Paramètres!$A$1:$I$89,5,0)</f>
        <v>118.47779999999992</v>
      </c>
      <c r="FG57" s="14">
        <f t="shared" si="47"/>
        <v>31.319707790273014</v>
      </c>
      <c r="FH57" s="22">
        <f t="shared" si="22"/>
        <v>260.8973260680587</v>
      </c>
      <c r="FI57" s="62">
        <f t="shared" si="23"/>
        <v>554.23065940139202</v>
      </c>
      <c r="FJ57" s="62">
        <f ca="1">AVERAGE(OFFSET($FI$3,0,0,'Données projet'!$E$16+1,1))-AVERAGE(OFFSET($H$3,0,0,'Données projet'!$E$16+1,1))</f>
        <v>245.47494516762282</v>
      </c>
      <c r="FK57" s="62">
        <f t="shared" si="48"/>
        <v>145.54897745089966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8</v>
      </c>
      <c r="FZ57" s="13">
        <f>IF('Données projet'!$A$244&gt;35,FZ56+FY57-GH56,IF(A57&lt;'Données projet'!$A$244,$FW$205^A57,IF(A57='Données projet'!$A$244,'Données projet'!$B$244,FZ56+FY57-GH56)))</f>
        <v>189</v>
      </c>
      <c r="GA57" s="18">
        <f>FZ57*VLOOKUP('Données projet'!$B$17,Paramètres!$A$1:$I$89,3,0)*VLOOKUP('Données projet'!$B$17,Paramètres!$A$1:$I$89,5,0)</f>
        <v>182.80079999999998</v>
      </c>
      <c r="GB57" s="14">
        <f t="shared" si="49"/>
        <v>45.944751507471658</v>
      </c>
      <c r="GC57" s="22">
        <f t="shared" si="25"/>
        <v>398.39850220884642</v>
      </c>
      <c r="GD57" s="62">
        <f t="shared" si="26"/>
        <v>691.73183554217974</v>
      </c>
      <c r="GE57" s="62">
        <f ca="1">AVERAGE(OFFSET($GD$3,0,0,'Données projet'!$E$17+1,1))-AVERAGE(OFFSET($H$3,0,0,'Données projet'!$E$17+1,1))</f>
        <v>455.50822833641354</v>
      </c>
      <c r="GF57" s="62">
        <f t="shared" si="50"/>
        <v>261.14722581688039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5.7692307692307683</v>
      </c>
      <c r="GU57" s="13">
        <f>IF('Données projet'!$A$270&gt;35,GU56+GT57-HC56,IF(A57&lt;'Données projet'!$A$270,$GR$205^A57,IF(A57='Données projet'!$A$270,'Données projet'!$B$270,GU56+GT57-HC56)))</f>
        <v>212.17948717948718</v>
      </c>
      <c r="GV57" s="18">
        <f>GU57*VLOOKUP('Données projet'!$B$18,Paramètres!$A$1:$I$89,3,0)*VLOOKUP('Données projet'!$B$18,Paramètres!$A$1:$I$89,5,0)</f>
        <v>142.33000000000001</v>
      </c>
      <c r="GW57" s="14">
        <f t="shared" si="51"/>
        <v>36.830261932722308</v>
      </c>
      <c r="GX57" s="22">
        <f t="shared" si="28"/>
        <v>312.03745619949137</v>
      </c>
      <c r="GY57" s="62">
        <f t="shared" si="29"/>
        <v>605.37078953282469</v>
      </c>
      <c r="GZ57" s="62">
        <f ca="1">AVERAGE(OFFSET($GY$3,0,0,'Données projet'!$E$18+1,1))-AVERAGE(OFFSET($H$3,0,0,'Données projet'!$E$18+1,1))</f>
        <v>312.06797204903796</v>
      </c>
      <c r="HA57" s="62">
        <f t="shared" si="52"/>
        <v>258.20189001775151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</row>
    <row r="58" spans="1:218" s="5" customFormat="1" x14ac:dyDescent="0.25">
      <c r="A58" s="11">
        <f t="shared" si="31"/>
        <v>55</v>
      </c>
      <c r="B58" s="76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9">
        <f t="shared" si="1"/>
        <v>256.66666666666669</v>
      </c>
      <c r="I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16.227472527472521</v>
      </c>
      <c r="N58" s="14">
        <f>IF('Données projet'!$A$36&gt;35,N57+M58-V57,IF(A58&lt;'Données projet'!$A$36,$K$205^A58,IF(A58='Données projet'!$A$36,'Données projet'!$B$36,N57+M58-V57)))</f>
        <v>411.48021978021978</v>
      </c>
      <c r="O58" s="14">
        <f>N58*VLOOKUP('Données projet'!$B$9,Paramètres!$A$1:$I$89,3,0)*VLOOKUP('Données projet'!$B$9,Paramètres!$A$1:$I$89,5,0)</f>
        <v>230.01744285714284</v>
      </c>
      <c r="P58" s="14">
        <f t="shared" si="33"/>
        <v>56.286453068022915</v>
      </c>
      <c r="Q58" s="22">
        <f t="shared" si="53"/>
        <v>498.64595206966368</v>
      </c>
      <c r="R58" s="62">
        <f t="shared" si="0"/>
        <v>791.97928540299699</v>
      </c>
      <c r="S58" s="62">
        <f ca="1">AVERAGE(OFFSET($R$3,0,0,'Données projet'!$E$9+1,1))-AVERAGE(OFFSET($H$3,0,0,'Données projet'!$E$9+1,1))</f>
        <v>323.98185264074681</v>
      </c>
      <c r="T58" s="62">
        <f t="shared" si="34"/>
        <v>301.22207291854005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2.7198151275508273</v>
      </c>
      <c r="AA58" s="23">
        <f>EXP(-LN(2)/25)*AA57+(1-EXP(-LN(2)/25))/(LN(2)/25)*Calculateur!V58*Calculateur!X58*VLOOKUP('Données projet'!$B$9,Paramètres!$A$1:$I$89,3,0)*0.475*44/12</f>
        <v>4.1236498205408711</v>
      </c>
      <c r="AB58" s="23">
        <f>EXP(-LN(2)/2)*AB57+(1-EXP(-LN(2)/2))/(LN(2)/2)*V58*Y58*VLOOKUP('Données projet'!$B$9,Paramètres!$A$1:$I$89,3,0)*0.475*44/12</f>
        <v>1.0509594090000129E-3</v>
      </c>
      <c r="AC58" s="24">
        <f t="shared" si="3"/>
        <v>6.844515907500698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10.66307692307692</v>
      </c>
      <c r="AI58" s="14">
        <f>IF('Données projet'!$A$62&gt;35,AI57+AH58-AQ57,IF(A58&lt;'Données projet'!$A$62,$AF$205^A58,IF(A58='Données projet'!$A$62,'Données projet'!$B$62,AI57+AH58-AQ57)))</f>
        <v>289.10769230769228</v>
      </c>
      <c r="AJ58" s="14">
        <f>AI58*VLOOKUP('Données projet'!$B$10,Paramètres!$A$1:$I$89,3,0)*VLOOKUP('Données projet'!$B$10,Paramètres!$A$1:$I$89,5,0)</f>
        <v>172.88639999999998</v>
      </c>
      <c r="AK58" s="14">
        <f t="shared" si="35"/>
        <v>43.735846359314316</v>
      </c>
      <c r="AL58" s="22">
        <f t="shared" si="4"/>
        <v>377.28374574247232</v>
      </c>
      <c r="AM58" s="62">
        <f t="shared" si="5"/>
        <v>670.61707907580558</v>
      </c>
      <c r="AN58" s="62">
        <f ca="1">AVERAGE(OFFSET($AM$3,0,0,'Données projet'!$E$10+1,1))-AVERAGE(OFFSET($H$3,0,0,'Données projet'!$E$10+1,1))</f>
        <v>289.12367833861299</v>
      </c>
      <c r="AO58" s="62">
        <f t="shared" si="36"/>
        <v>229.06617320689003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7.1588261819678742E-4</v>
      </c>
      <c r="AX58" s="23">
        <f t="shared" si="6"/>
        <v>7.1588261819678742E-4</v>
      </c>
      <c r="AY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197</v>
      </c>
      <c r="BB58" s="13">
        <f>VLOOKUP(A58,'Données projet'!$A$87:$I$107,9,0)</f>
        <v>8</v>
      </c>
      <c r="BC58" s="13">
        <f t="array" ref="BC58">INDEX(BB:BB,MIN(IF(ISNUMBER(BB58:BB254),ROW(BB58:BB254),"")))</f>
        <v>8</v>
      </c>
      <c r="BD58" s="13">
        <f>IF('Données projet'!$A$88&gt;35,BD57+BC58-BL57,IF(A58&lt;'Données projet'!$A$88,$BA$205^A58,IF(A58='Données projet'!$A$88,'Données projet'!$B$88,BD57+BC58-BL57)))</f>
        <v>197</v>
      </c>
      <c r="BE58" s="14">
        <f>BD58*VLOOKUP('Données projet'!$B$11,Paramètres!$A$1:$I$89,3,0)*VLOOKUP('Données projet'!$B$11,Paramètres!$A$1:$I$89,5,0)</f>
        <v>178.2456</v>
      </c>
      <c r="BF58" s="14">
        <f t="shared" si="37"/>
        <v>44.931642269910427</v>
      </c>
      <c r="BG58" s="22">
        <f t="shared" si="7"/>
        <v>388.70036362009404</v>
      </c>
      <c r="BH58" s="62">
        <f t="shared" si="8"/>
        <v>682.03369695342735</v>
      </c>
      <c r="BI58" s="62">
        <f ca="1">AVERAGE(OFFSET($BH$3,0,0,'Données projet'!$E$11+1,1))-AVERAGE(OFFSET($H$3,0,0,'Données projet'!$E$11+1,1))</f>
        <v>428.8489304403459</v>
      </c>
      <c r="BJ58" s="62">
        <f t="shared" si="38"/>
        <v>247.01165577562966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233</v>
      </c>
      <c r="BW58" s="13">
        <f>VLOOKUP(A58,'Données projet'!$A$113:$I$133,9,0)</f>
        <v>6.4</v>
      </c>
      <c r="BX58" s="13">
        <f t="array" ref="BX58">INDEX(BW:BW,MIN(IF(ISNUMBER(BW58:BW254),ROW(BW58:BW254),"")))</f>
        <v>6.4</v>
      </c>
      <c r="BY58" s="13">
        <f>IF('Données projet'!$A$114&gt;35,BY57+BX58-CG57,IF(A58&lt;'Données projet'!$A$114,$BV$205^A58,IF(A58='Données projet'!$A$114,'Données projet'!$B$114,BY57+BX58-CG57)))</f>
        <v>232.99999999999986</v>
      </c>
      <c r="BZ58" s="14">
        <f>BY58*VLOOKUP('Données projet'!$B$12,Paramètres!$A$1:$I$89,3,0)*VLOOKUP('Données projet'!$B$12,Paramètres!$A$1:$I$89,5,0)</f>
        <v>170.83559999999991</v>
      </c>
      <c r="CA58" s="14">
        <f t="shared" si="39"/>
        <v>43.277116749159646</v>
      </c>
      <c r="CB58" s="22">
        <f t="shared" si="10"/>
        <v>372.91298167145288</v>
      </c>
      <c r="CC58" s="62">
        <f t="shared" si="11"/>
        <v>666.2463150047862</v>
      </c>
      <c r="CD58" s="62">
        <f ca="1">AVERAGE(OFFSET($CC$3,0,0,'Données projet'!$E$12+1,1))-AVERAGE(OFFSET($H$3,0,0,'Données projet'!$E$12+1,1))</f>
        <v>290.85271051443431</v>
      </c>
      <c r="CE58" s="62">
        <f t="shared" si="40"/>
        <v>318.66958823451142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9.375</v>
      </c>
      <c r="CT58" s="13">
        <f>IF('Données projet'!$A$140&gt;35,CT57+CS58-DB57,IF(A58&lt;'Données projet'!$A$140,$CQ$205^A58,IF(A58='Données projet'!$A$140,'Données projet'!$B$140,CT57+CS58-DB57)))</f>
        <v>250.12499999999994</v>
      </c>
      <c r="CU58" s="18">
        <f>CT58*VLOOKUP('Données projet'!$B$13,Paramètres!$A$1:$I$89,3,0)*VLOOKUP('Données projet'!$B$13,Paramètres!$A$1:$I$89,5,0)</f>
        <v>195.09749999999997</v>
      </c>
      <c r="CV58" s="14">
        <f t="shared" si="41"/>
        <v>48.66519532492584</v>
      </c>
      <c r="CW58" s="22">
        <f t="shared" si="13"/>
        <v>424.55336102424576</v>
      </c>
      <c r="CX58" s="62">
        <f t="shared" si="14"/>
        <v>717.88669435757902</v>
      </c>
      <c r="CY58" s="62">
        <f ca="1">AVERAGE(OFFSET($CX$3,0,0,'Données projet'!$E$13+1,1))-AVERAGE(OFFSET($H$3,0,0,'Données projet'!$E$13+1,1))</f>
        <v>292.57482726862594</v>
      </c>
      <c r="CZ58" s="62">
        <f t="shared" si="42"/>
        <v>283.48738729114024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233</v>
      </c>
      <c r="DM58" s="13">
        <f>VLOOKUP(A58,'Données projet'!$A$165:$I$185,9,0)</f>
        <v>6.4</v>
      </c>
      <c r="DN58" s="13">
        <f t="array" ref="DN58">INDEX(DM:DM,MIN(IF(ISNUMBER(DM58:DM254),ROW(DM58:DM254),"")))</f>
        <v>6.4</v>
      </c>
      <c r="DO58" s="13">
        <f>IF('Données projet'!$A$166&gt;35,DO57+DN58-DW57,IF(A58&lt;'Données projet'!$A$166,$DL$205^A58,IF(A58='Données projet'!$A$166,'Données projet'!$B$166,DO57+DN58-DW57)))</f>
        <v>232.99999999999986</v>
      </c>
      <c r="DP58" s="18">
        <f>DO58*VLOOKUP('Données projet'!$B$14,Paramètres!$A$1:$I$89,3,0)*VLOOKUP('Données projet'!$B$14,Paramètres!$A$1:$I$89,5,0)</f>
        <v>185.37479999999988</v>
      </c>
      <c r="DQ58" s="14">
        <f t="shared" si="43"/>
        <v>46.515924762412688</v>
      </c>
      <c r="DR58" s="22">
        <f t="shared" si="16"/>
        <v>403.87634562786849</v>
      </c>
      <c r="DS58" s="62">
        <f t="shared" si="17"/>
        <v>697.2096789612018</v>
      </c>
      <c r="DT58" s="62">
        <f ca="1">AVERAGE(OFFSET($DS$3,0,0,'Données projet'!$E$14+1,1))-AVERAGE(OFFSET($H$3,0,0,'Données projet'!$E$14+1,1))</f>
        <v>312.53381881960331</v>
      </c>
      <c r="DU58" s="62">
        <f t="shared" si="44"/>
        <v>342.06887933351783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175.64102564102564</v>
      </c>
      <c r="EH58" s="13">
        <f>VLOOKUP(A58,'Données projet'!$A$191:$I$211,9,0)</f>
        <v>5.2564102564102599</v>
      </c>
      <c r="EI58" s="13">
        <f t="array" ref="EI58">INDEX(EH:EH,MIN(IF(ISNUMBER(EH58:EH254),ROW(EH58:EH254),"")))</f>
        <v>5.2564102564102599</v>
      </c>
      <c r="EJ58" s="13">
        <f>IF('Données projet'!$A$192&gt;35,EJ57+EI58-ER57,IF(A58&lt;'Données projet'!$A$192,$EG$205^A58,IF(A58='Données projet'!$A$192,'Données projet'!$B$192,EJ57+EI58-ER57)))</f>
        <v>175.64102564102561</v>
      </c>
      <c r="EK58" s="18">
        <f>EJ58*VLOOKUP('Données projet'!$B$15,Paramètres!$A$1:$I$89,3,0)*VLOOKUP('Données projet'!$B$15,Paramètres!$A$1:$I$89,5,0)</f>
        <v>167.14</v>
      </c>
      <c r="EL58" s="14">
        <f t="shared" si="45"/>
        <v>42.448847586931429</v>
      </c>
      <c r="EM58" s="22">
        <f t="shared" si="19"/>
        <v>365.03390954723886</v>
      </c>
      <c r="EN58" s="62">
        <f t="shared" si="20"/>
        <v>658.36724288057212</v>
      </c>
      <c r="EO58" s="62">
        <f ca="1">AVERAGE(OFFSET($EN$3,0,0,'Données projet'!$E$15+1,1))-AVERAGE(OFFSET($H$3,0,0,'Données projet'!$E$15+1,1))</f>
        <v>363.37916970915211</v>
      </c>
      <c r="EP58" s="62">
        <f t="shared" si="46"/>
        <v>281.52963027844595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10.542307692307702</v>
      </c>
      <c r="FE58" s="13">
        <f>IF('Données projet'!$A$218&gt;35,FE57+FD58-FM57,IF(A58&lt;'Données projet'!$A$218,$FB$205^A58,IF(A58='Données projet'!$A$218,'Données projet'!$B$218,FE57+FD58-FM57)))</f>
        <v>263.69999999999982</v>
      </c>
      <c r="FF58" s="18">
        <f>FE58*VLOOKUP('Données projet'!$B$16,Paramètres!$A$1:$I$89,3,0)*VLOOKUP('Données projet'!$B$16,Paramètres!$A$1:$I$89,5,0)</f>
        <v>123.41159999999991</v>
      </c>
      <c r="FG58" s="14">
        <f t="shared" si="47"/>
        <v>32.46939610718038</v>
      </c>
      <c r="FH58" s="22">
        <f t="shared" si="22"/>
        <v>271.49273488667239</v>
      </c>
      <c r="FI58" s="62">
        <f t="shared" si="23"/>
        <v>564.82606822000571</v>
      </c>
      <c r="FJ58" s="62">
        <f ca="1">AVERAGE(OFFSET($FI$3,0,0,'Données projet'!$E$16+1,1))-AVERAGE(OFFSET($H$3,0,0,'Données projet'!$E$16+1,1))</f>
        <v>245.47494516762282</v>
      </c>
      <c r="FK58" s="62">
        <f t="shared" si="48"/>
        <v>145.54897745089966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197</v>
      </c>
      <c r="FX58" s="13">
        <f>VLOOKUP(A58,'Données projet'!$A$243:$I$263,9,0)</f>
        <v>8</v>
      </c>
      <c r="FY58" s="13">
        <f t="array" ref="FY58">INDEX(FX:FX,MIN(IF(ISNUMBER(FX58:FX254),ROW(FX58:FX254),"")))</f>
        <v>8</v>
      </c>
      <c r="FZ58" s="13">
        <f>IF('Données projet'!$A$244&gt;35,FZ57+FY58-GH57,IF(A58&lt;'Données projet'!$A$244,$FW$205^A58,IF(A58='Données projet'!$A$244,'Données projet'!$B$244,FZ57+FY58-GH57)))</f>
        <v>197</v>
      </c>
      <c r="GA58" s="18">
        <f>FZ58*VLOOKUP('Données projet'!$B$17,Paramètres!$A$1:$I$89,3,0)*VLOOKUP('Données projet'!$B$17,Paramètres!$A$1:$I$89,5,0)</f>
        <v>190.5384</v>
      </c>
      <c r="GB58" s="14">
        <f t="shared" si="49"/>
        <v>47.658965836673829</v>
      </c>
      <c r="GC58" s="22">
        <f t="shared" si="25"/>
        <v>414.86041216554025</v>
      </c>
      <c r="GD58" s="62">
        <f t="shared" si="26"/>
        <v>708.19374549887357</v>
      </c>
      <c r="GE58" s="62">
        <f ca="1">AVERAGE(OFFSET($GD$3,0,0,'Données projet'!$E$17+1,1))-AVERAGE(OFFSET($H$3,0,0,'Données projet'!$E$17+1,1))</f>
        <v>455.50822833641354</v>
      </c>
      <c r="GF58" s="62">
        <f t="shared" si="50"/>
        <v>261.14722581688039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>
        <f>VLOOKUP(A58,'Données projet'!$A$269:$I$289,2,0)</f>
        <v>217.94871794871793</v>
      </c>
      <c r="GS58" s="13">
        <f>VLOOKUP(A58,'Données projet'!$A$269:$I$289,9,0)</f>
        <v>5.7692307692307683</v>
      </c>
      <c r="GT58" s="13">
        <f t="array" ref="GT58">INDEX(GS:GS,MIN(IF(ISNUMBER(GS58:GS254),ROW(GS58:GS254),"")))</f>
        <v>5.7692307692307683</v>
      </c>
      <c r="GU58" s="13">
        <f>IF('Données projet'!$A$270&gt;35,GU57+GT58-HC57,IF(A58&lt;'Données projet'!$A$270,$GR$205^A58,IF(A58='Données projet'!$A$270,'Données projet'!$B$270,GU57+GT58-HC57)))</f>
        <v>217.94871794871796</v>
      </c>
      <c r="GV58" s="18">
        <f>GU58*VLOOKUP('Données projet'!$B$18,Paramètres!$A$1:$I$89,3,0)*VLOOKUP('Données projet'!$B$18,Paramètres!$A$1:$I$89,5,0)</f>
        <v>146.19999999999999</v>
      </c>
      <c r="GW58" s="14">
        <f t="shared" si="51"/>
        <v>37.713736580072478</v>
      </c>
      <c r="GX58" s="22">
        <f t="shared" si="28"/>
        <v>320.31642454362617</v>
      </c>
      <c r="GY58" s="62">
        <f t="shared" si="29"/>
        <v>613.64975787695948</v>
      </c>
      <c r="GZ58" s="62">
        <f ca="1">AVERAGE(OFFSET($GY$3,0,0,'Données projet'!$E$18+1,1))-AVERAGE(OFFSET($H$3,0,0,'Données projet'!$E$18+1,1))</f>
        <v>312.06797204903796</v>
      </c>
      <c r="HA58" s="62">
        <f t="shared" si="52"/>
        <v>258.20189001775151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</row>
    <row r="59" spans="1:218" s="5" customFormat="1" x14ac:dyDescent="0.25">
      <c r="A59" s="11">
        <f t="shared" si="31"/>
        <v>56</v>
      </c>
      <c r="B59" s="76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9">
        <f t="shared" si="1"/>
        <v>256.66666666666669</v>
      </c>
      <c r="I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>
        <f>VLOOKUP(A59,'Données projet'!$A$35:$I$55,2,0)</f>
        <v>427.7076923076923</v>
      </c>
      <c r="L59" s="13">
        <f>VLOOKUP(A59,'Données projet'!$A$35:$I$55,9,0)</f>
        <v>16.227472527472521</v>
      </c>
      <c r="M59" s="13">
        <f t="array" ref="M59">INDEX(L:L,MIN(IF(ISNUMBER(L59:L255),ROW(L59:L255),"")))</f>
        <v>16.227472527472521</v>
      </c>
      <c r="N59" s="14">
        <f>IF('Données projet'!$A$36&gt;35,N58+M59-V58,IF(A59&lt;'Données projet'!$A$36,$K$205^A59,IF(A59='Données projet'!$A$36,'Données projet'!$B$36,N58+M59-V58)))</f>
        <v>427.7076923076923</v>
      </c>
      <c r="O59" s="14">
        <f>N59*VLOOKUP('Données projet'!$B$9,Paramètres!$A$1:$I$89,3,0)*VLOOKUP('Données projet'!$B$9,Paramètres!$A$1:$I$89,5,0)</f>
        <v>239.08860000000001</v>
      </c>
      <c r="P59" s="14">
        <f t="shared" si="33"/>
        <v>58.243394931850105</v>
      </c>
      <c r="Q59" s="22">
        <f t="shared" si="53"/>
        <v>517.85322450630554</v>
      </c>
      <c r="R59" s="62">
        <f t="shared" si="0"/>
        <v>811.18655783963891</v>
      </c>
      <c r="S59" s="62">
        <f ca="1">AVERAGE(OFFSET($R$3,0,0,'Données projet'!$E$9+1,1))-AVERAGE(OFFSET($H$3,0,0,'Données projet'!$E$9+1,1))</f>
        <v>323.98185264074681</v>
      </c>
      <c r="T59" s="62">
        <f t="shared" si="34"/>
        <v>301.22207291854005</v>
      </c>
      <c r="U59" s="16">
        <f>IF(ISNA(VLOOKUP(A59,'Données projet'!$A$35:$I$55,3,0)),0,VLOOKUP(A59,'Données projet'!$A$35:$I$55,3,0))</f>
        <v>6</v>
      </c>
      <c r="V59" s="16">
        <f>IF(ISNA(VLOOKUP(A59,'Données projet'!$A$35:$I$55,4,0)),0,VLOOKUP(A59,'Données projet'!$A$35:$I$55,4,0))</f>
        <v>75.869230769230768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2.6664812118229784</v>
      </c>
      <c r="AA59" s="23">
        <f>EXP(-LN(2)/25)*AA58+(1-EXP(-LN(2)/25))/(LN(2)/25)*Calculateur!V59*Calculateur!X59*VLOOKUP('Données projet'!$B$9,Paramètres!$A$1:$I$89,3,0)*0.475*44/12</f>
        <v>4.0108883993448616</v>
      </c>
      <c r="AB59" s="23">
        <f>EXP(-LN(2)/2)*AB58+(1-EXP(-LN(2)/2))/(LN(2)/2)*V59*Y59*VLOOKUP('Données projet'!$B$9,Paramètres!$A$1:$I$89,3,0)*0.475*44/12</f>
        <v>7.4314052485571541E-4</v>
      </c>
      <c r="AC59" s="24">
        <f t="shared" si="3"/>
        <v>6.6781127516926961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10.66307692307692</v>
      </c>
      <c r="AI59" s="14">
        <f>IF('Données projet'!$A$62&gt;35,AI58+AH59-AQ58,IF(A59&lt;'Données projet'!$A$62,$AF$205^A59,IF(A59='Données projet'!$A$62,'Données projet'!$B$62,AI58+AH59-AQ58)))</f>
        <v>299.77076923076919</v>
      </c>
      <c r="AJ59" s="14">
        <f>AI59*VLOOKUP('Données projet'!$B$10,Paramètres!$A$1:$I$89,3,0)*VLOOKUP('Données projet'!$B$10,Paramètres!$A$1:$I$89,5,0)</f>
        <v>179.26291999999998</v>
      </c>
      <c r="AK59" s="14">
        <f t="shared" si="35"/>
        <v>45.158160305042841</v>
      </c>
      <c r="AL59" s="22">
        <f t="shared" si="4"/>
        <v>390.8667148646162</v>
      </c>
      <c r="AM59" s="62">
        <f t="shared" si="5"/>
        <v>684.20004819794951</v>
      </c>
      <c r="AN59" s="62">
        <f ca="1">AVERAGE(OFFSET($AM$3,0,0,'Données projet'!$E$10+1,1))-AVERAGE(OFFSET($H$3,0,0,'Données projet'!$E$10+1,1))</f>
        <v>289.12367833861299</v>
      </c>
      <c r="AO59" s="62">
        <f t="shared" si="36"/>
        <v>229.06617320689003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5.062054538605285E-4</v>
      </c>
      <c r="AX59" s="23">
        <f t="shared" si="6"/>
        <v>5.062054538605285E-4</v>
      </c>
      <c r="AY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7.6</v>
      </c>
      <c r="BD59" s="13">
        <f>IF('Données projet'!$A$88&gt;35,BD58+BC59-BL58,IF(A59&lt;'Données projet'!$A$88,$BA$205^A59,IF(A59='Données projet'!$A$88,'Données projet'!$B$88,BD58+BC59-BL58)))</f>
        <v>204.6</v>
      </c>
      <c r="BE59" s="14">
        <f>BD59*VLOOKUP('Données projet'!$B$11,Paramètres!$A$1:$I$89,3,0)*VLOOKUP('Données projet'!$B$11,Paramètres!$A$1:$I$89,5,0)</f>
        <v>185.12207999999998</v>
      </c>
      <c r="BF59" s="14">
        <f t="shared" si="37"/>
        <v>46.459887003478677</v>
      </c>
      <c r="BG59" s="22">
        <f t="shared" si="7"/>
        <v>403.33859253105862</v>
      </c>
      <c r="BH59" s="62">
        <f t="shared" si="8"/>
        <v>696.67192586439194</v>
      </c>
      <c r="BI59" s="62">
        <f ca="1">AVERAGE(OFFSET($BH$3,0,0,'Données projet'!$E$11+1,1))-AVERAGE(OFFSET($H$3,0,0,'Données projet'!$E$11+1,1))</f>
        <v>428.8489304403459</v>
      </c>
      <c r="BJ59" s="62">
        <f t="shared" si="38"/>
        <v>247.01165577562966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5</v>
      </c>
      <c r="BY59" s="13">
        <f>IF('Données projet'!$A$114&gt;35,BY58+BX59-CG58,IF(A59&lt;'Données projet'!$A$114,$BV$205^A59,IF(A59='Données projet'!$A$114,'Données projet'!$B$114,BY58+BX59-CG58)))</f>
        <v>237.99999999999986</v>
      </c>
      <c r="BZ59" s="14">
        <f>BY59*VLOOKUP('Données projet'!$B$12,Paramètres!$A$1:$I$89,3,0)*VLOOKUP('Données projet'!$B$12,Paramètres!$A$1:$I$89,5,0)</f>
        <v>174.50159999999988</v>
      </c>
      <c r="CA59" s="14">
        <f t="shared" si="39"/>
        <v>44.096693550140635</v>
      </c>
      <c r="CB59" s="22">
        <f t="shared" si="10"/>
        <v>380.7253612664947</v>
      </c>
      <c r="CC59" s="62">
        <f t="shared" si="11"/>
        <v>674.05869459982796</v>
      </c>
      <c r="CD59" s="62">
        <f ca="1">AVERAGE(OFFSET($CC$3,0,0,'Données projet'!$E$12+1,1))-AVERAGE(OFFSET($H$3,0,0,'Données projet'!$E$12+1,1))</f>
        <v>290.85271051443431</v>
      </c>
      <c r="CE59" s="62">
        <f t="shared" si="40"/>
        <v>318.66958823451142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9.375</v>
      </c>
      <c r="CT59" s="13">
        <f>IF('Données projet'!$A$140&gt;35,CT58+CS59-DB58,IF(A59&lt;'Données projet'!$A$140,$CQ$205^A59,IF(A59='Données projet'!$A$140,'Données projet'!$B$140,CT58+CS59-DB58)))</f>
        <v>259.49999999999994</v>
      </c>
      <c r="CU59" s="18">
        <f>CT59*VLOOKUP('Données projet'!$B$13,Paramètres!$A$1:$I$89,3,0)*VLOOKUP('Données projet'!$B$13,Paramètres!$A$1:$I$89,5,0)</f>
        <v>202.40999999999997</v>
      </c>
      <c r="CV59" s="14">
        <f t="shared" si="41"/>
        <v>50.273442991661867</v>
      </c>
      <c r="CW59" s="22">
        <f t="shared" si="13"/>
        <v>440.09032987714431</v>
      </c>
      <c r="CX59" s="62">
        <f t="shared" si="14"/>
        <v>733.42366321047757</v>
      </c>
      <c r="CY59" s="62">
        <f ca="1">AVERAGE(OFFSET($CX$3,0,0,'Données projet'!$E$13+1,1))-AVERAGE(OFFSET($H$3,0,0,'Données projet'!$E$13+1,1))</f>
        <v>292.57482726862594</v>
      </c>
      <c r="CZ59" s="62">
        <f t="shared" si="42"/>
        <v>283.48738729114024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5</v>
      </c>
      <c r="DO59" s="13">
        <f>IF('Données projet'!$A$166&gt;35,DO58+DN59-DW58,IF(A59&lt;'Données projet'!$A$166,$DL$205^A59,IF(A59='Données projet'!$A$166,'Données projet'!$B$166,DO58+DN59-DW58)))</f>
        <v>237.99999999999986</v>
      </c>
      <c r="DP59" s="18">
        <f>DO59*VLOOKUP('Données projet'!$B$14,Paramètres!$A$1:$I$89,3,0)*VLOOKUP('Données projet'!$B$14,Paramètres!$A$1:$I$89,5,0)</f>
        <v>189.35279999999989</v>
      </c>
      <c r="DQ59" s="14">
        <f t="shared" si="43"/>
        <v>47.396837717691554</v>
      </c>
      <c r="DR59" s="22">
        <f t="shared" si="16"/>
        <v>412.33895235831255</v>
      </c>
      <c r="DS59" s="62">
        <f t="shared" si="17"/>
        <v>705.67228569164581</v>
      </c>
      <c r="DT59" s="62">
        <f ca="1">AVERAGE(OFFSET($DS$3,0,0,'Données projet'!$E$14+1,1))-AVERAGE(OFFSET($H$3,0,0,'Données projet'!$E$14+1,1))</f>
        <v>312.53381881960331</v>
      </c>
      <c r="DU59" s="62">
        <f t="shared" si="44"/>
        <v>342.06887933351783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4.8717948717948731</v>
      </c>
      <c r="EJ59" s="13">
        <f>IF('Données projet'!$A$192&gt;35,EJ58+EI59-ER58,IF(A59&lt;'Données projet'!$A$192,$EG$205^A59,IF(A59='Données projet'!$A$192,'Données projet'!$B$192,EJ58+EI59-ER58)))</f>
        <v>180.51282051282047</v>
      </c>
      <c r="EK59" s="18">
        <f>EJ59*VLOOKUP('Données projet'!$B$15,Paramètres!$A$1:$I$89,3,0)*VLOOKUP('Données projet'!$B$15,Paramètres!$A$1:$I$89,5,0)</f>
        <v>171.77599999999995</v>
      </c>
      <c r="EL59" s="14">
        <f t="shared" si="45"/>
        <v>43.48754759203468</v>
      </c>
      <c r="EM59" s="22">
        <f t="shared" si="19"/>
        <v>374.91734538946031</v>
      </c>
      <c r="EN59" s="62">
        <f t="shared" si="20"/>
        <v>668.25067872279362</v>
      </c>
      <c r="EO59" s="62">
        <f ca="1">AVERAGE(OFFSET($EN$3,0,0,'Données projet'!$E$15+1,1))-AVERAGE(OFFSET($H$3,0,0,'Données projet'!$E$15+1,1))</f>
        <v>363.37916970915211</v>
      </c>
      <c r="EP59" s="62">
        <f t="shared" si="46"/>
        <v>281.52963027844595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10.542307692307702</v>
      </c>
      <c r="FE59" s="13">
        <f>IF('Données projet'!$A$218&gt;35,FE58+FD59-FM58,IF(A59&lt;'Données projet'!$A$218,$FB$205^A59,IF(A59='Données projet'!$A$218,'Données projet'!$B$218,FE58+FD59-FM58)))</f>
        <v>274.24230769230752</v>
      </c>
      <c r="FF59" s="18">
        <f>FE59*VLOOKUP('Données projet'!$B$16,Paramètres!$A$1:$I$89,3,0)*VLOOKUP('Données projet'!$B$16,Paramètres!$A$1:$I$89,5,0)</f>
        <v>128.34539999999993</v>
      </c>
      <c r="FG59" s="14">
        <f t="shared" si="47"/>
        <v>33.61374529088544</v>
      </c>
      <c r="FH59" s="22">
        <f t="shared" si="22"/>
        <v>282.07884471495868</v>
      </c>
      <c r="FI59" s="62">
        <f t="shared" si="23"/>
        <v>575.41217804829193</v>
      </c>
      <c r="FJ59" s="62">
        <f ca="1">AVERAGE(OFFSET($FI$3,0,0,'Données projet'!$E$16+1,1))-AVERAGE(OFFSET($H$3,0,0,'Données projet'!$E$16+1,1))</f>
        <v>245.47494516762282</v>
      </c>
      <c r="FK59" s="62">
        <f t="shared" si="48"/>
        <v>145.54897745089966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7.6</v>
      </c>
      <c r="FZ59" s="13">
        <f>IF('Données projet'!$A$244&gt;35,FZ58+FY59-GH58,IF(A59&lt;'Données projet'!$A$244,$FW$205^A59,IF(A59='Données projet'!$A$244,'Données projet'!$B$244,FZ58+FY59-GH58)))</f>
        <v>204.6</v>
      </c>
      <c r="GA59" s="18">
        <f>FZ59*VLOOKUP('Données projet'!$B$17,Paramètres!$A$1:$I$89,3,0)*VLOOKUP('Données projet'!$B$17,Paramètres!$A$1:$I$89,5,0)</f>
        <v>197.88911999999999</v>
      </c>
      <c r="GB59" s="14">
        <f t="shared" si="49"/>
        <v>49.279974103179534</v>
      </c>
      <c r="GC59" s="22">
        <f t="shared" si="25"/>
        <v>430.48617222970438</v>
      </c>
      <c r="GD59" s="62">
        <f t="shared" si="26"/>
        <v>723.81950556303764</v>
      </c>
      <c r="GE59" s="62">
        <f ca="1">AVERAGE(OFFSET($GD$3,0,0,'Données projet'!$E$17+1,1))-AVERAGE(OFFSET($H$3,0,0,'Données projet'!$E$17+1,1))</f>
        <v>455.50822833641354</v>
      </c>
      <c r="GF59" s="62">
        <f t="shared" si="50"/>
        <v>261.14722581688039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5.3846153846153868</v>
      </c>
      <c r="GU59" s="13">
        <f>IF('Données projet'!$A$270&gt;35,GU58+GT59-HC58,IF(A59&lt;'Données projet'!$A$270,$GR$205^A59,IF(A59='Données projet'!$A$270,'Données projet'!$B$270,GU58+GT59-HC58)))</f>
        <v>223.33333333333334</v>
      </c>
      <c r="GV59" s="18">
        <f>GU59*VLOOKUP('Données projet'!$B$18,Paramètres!$A$1:$I$89,3,0)*VLOOKUP('Données projet'!$B$18,Paramètres!$A$1:$I$89,5,0)</f>
        <v>149.81200000000001</v>
      </c>
      <c r="GW59" s="14">
        <f t="shared" si="51"/>
        <v>38.535858828351053</v>
      </c>
      <c r="GX59" s="22">
        <f t="shared" si="28"/>
        <v>328.03918745937807</v>
      </c>
      <c r="GY59" s="62">
        <f t="shared" si="29"/>
        <v>621.37252079271138</v>
      </c>
      <c r="GZ59" s="62">
        <f ca="1">AVERAGE(OFFSET($GY$3,0,0,'Données projet'!$E$18+1,1))-AVERAGE(OFFSET($H$3,0,0,'Données projet'!$E$18+1,1))</f>
        <v>312.06797204903796</v>
      </c>
      <c r="HA59" s="62">
        <f t="shared" si="52"/>
        <v>258.20189001775151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</row>
    <row r="60" spans="1:218" s="5" customFormat="1" x14ac:dyDescent="0.25">
      <c r="A60" s="11">
        <f t="shared" si="31"/>
        <v>57</v>
      </c>
      <c r="B60" s="76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9">
        <f t="shared" si="1"/>
        <v>256.66666666666669</v>
      </c>
      <c r="I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14.839560439560435</v>
      </c>
      <c r="N60" s="14">
        <f>IF('Données projet'!$A$36&gt;35,N59+M60-V59,IF(A60&lt;'Données projet'!$A$36,$K$205^A60,IF(A60='Données projet'!$A$36,'Données projet'!$B$36,N59+M60-V59)))</f>
        <v>366.678021978022</v>
      </c>
      <c r="O60" s="14">
        <f>N60*VLOOKUP('Données projet'!$B$9,Paramètres!$A$1:$I$89,3,0)*VLOOKUP('Données projet'!$B$9,Paramètres!$A$1:$I$89,5,0)</f>
        <v>204.9730142857143</v>
      </c>
      <c r="P60" s="14">
        <f t="shared" si="33"/>
        <v>50.835518579260878</v>
      </c>
      <c r="Q60" s="22">
        <f t="shared" si="53"/>
        <v>445.53319473983174</v>
      </c>
      <c r="R60" s="62">
        <f t="shared" si="0"/>
        <v>738.866528073165</v>
      </c>
      <c r="S60" s="62">
        <f ca="1">AVERAGE(OFFSET($R$3,0,0,'Données projet'!$E$9+1,1))-AVERAGE(OFFSET($H$3,0,0,'Données projet'!$E$9+1,1))</f>
        <v>323.98185264074681</v>
      </c>
      <c r="T60" s="62">
        <f t="shared" si="34"/>
        <v>301.22207291854005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2.6141931416520761</v>
      </c>
      <c r="AA60" s="23">
        <f>EXP(-LN(2)/25)*AA59+(1-EXP(-LN(2)/25))/(LN(2)/25)*Calculateur!V60*Calculateur!X60*VLOOKUP('Données projet'!$B$9,Paramètres!$A$1:$I$89,3,0)*0.475*44/12</f>
        <v>3.9012104451413223</v>
      </c>
      <c r="AB60" s="23">
        <f>EXP(-LN(2)/2)*AB59+(1-EXP(-LN(2)/2))/(LN(2)/2)*V60*Y60*VLOOKUP('Données projet'!$B$9,Paramètres!$A$1:$I$89,3,0)*0.475*44/12</f>
        <v>5.2547970450000643E-4</v>
      </c>
      <c r="AC60" s="24">
        <f t="shared" si="3"/>
        <v>6.5159290664978986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10.66307692307692</v>
      </c>
      <c r="AI60" s="14">
        <f>IF('Données projet'!$A$62&gt;35,AI59+AH60-AQ59,IF(A60&lt;'Données projet'!$A$62,$AF$205^A60,IF(A60='Données projet'!$A$62,'Données projet'!$B$62,AI59+AH60-AQ59)))</f>
        <v>310.4338461538461</v>
      </c>
      <c r="AJ60" s="14">
        <f>AI60*VLOOKUP('Données projet'!$B$10,Paramètres!$A$1:$I$89,3,0)*VLOOKUP('Données projet'!$B$10,Paramètres!$A$1:$I$89,5,0)</f>
        <v>185.63943999999998</v>
      </c>
      <c r="AK60" s="14">
        <f t="shared" si="35"/>
        <v>46.574596113982338</v>
      </c>
      <c r="AL60" s="22">
        <f t="shared" si="4"/>
        <v>404.43944623185251</v>
      </c>
      <c r="AM60" s="62">
        <f t="shared" si="5"/>
        <v>697.77277956518583</v>
      </c>
      <c r="AN60" s="62">
        <f ca="1">AVERAGE(OFFSET($AM$3,0,0,'Données projet'!$E$10+1,1))-AVERAGE(OFFSET($H$3,0,0,'Données projet'!$E$10+1,1))</f>
        <v>289.12367833861299</v>
      </c>
      <c r="AO60" s="62">
        <f t="shared" si="36"/>
        <v>229.06617320689003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3.5794130909839371E-4</v>
      </c>
      <c r="AX60" s="23">
        <f t="shared" si="6"/>
        <v>3.5794130909839371E-4</v>
      </c>
      <c r="AY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7.6</v>
      </c>
      <c r="BD60" s="13">
        <f>IF('Données projet'!$A$88&gt;35,BD59+BC60-BL59,IF(A60&lt;'Données projet'!$A$88,$BA$205^A60,IF(A60='Données projet'!$A$88,'Données projet'!$B$88,BD59+BC60-BL59)))</f>
        <v>212.2</v>
      </c>
      <c r="BE60" s="14">
        <f>BD60*VLOOKUP('Données projet'!$B$11,Paramètres!$A$1:$I$89,3,0)*VLOOKUP('Données projet'!$B$11,Paramètres!$A$1:$I$89,5,0)</f>
        <v>191.99855999999997</v>
      </c>
      <c r="BF60" s="14">
        <f t="shared" si="37"/>
        <v>47.981536645873334</v>
      </c>
      <c r="BG60" s="22">
        <f t="shared" si="7"/>
        <v>417.96533499156266</v>
      </c>
      <c r="BH60" s="62">
        <f t="shared" si="8"/>
        <v>711.29866832489597</v>
      </c>
      <c r="BI60" s="62">
        <f ca="1">AVERAGE(OFFSET($BH$3,0,0,'Données projet'!$E$11+1,1))-AVERAGE(OFFSET($H$3,0,0,'Données projet'!$E$11+1,1))</f>
        <v>428.8489304403459</v>
      </c>
      <c r="BJ60" s="62">
        <f t="shared" si="38"/>
        <v>247.01165577562966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5</v>
      </c>
      <c r="BY60" s="13">
        <f>IF('Données projet'!$A$114&gt;35,BY59+BX60-CG59,IF(A60&lt;'Données projet'!$A$114,$BV$205^A60,IF(A60='Données projet'!$A$114,'Données projet'!$B$114,BY59+BX60-CG59)))</f>
        <v>242.99999999999986</v>
      </c>
      <c r="BZ60" s="14">
        <f>BY60*VLOOKUP('Données projet'!$B$12,Paramètres!$A$1:$I$89,3,0)*VLOOKUP('Données projet'!$B$12,Paramètres!$A$1:$I$89,5,0)</f>
        <v>178.16759999999988</v>
      </c>
      <c r="CA60" s="14">
        <f t="shared" si="39"/>
        <v>44.91426846875347</v>
      </c>
      <c r="CB60" s="22">
        <f t="shared" si="10"/>
        <v>388.5342542497454</v>
      </c>
      <c r="CC60" s="62">
        <f t="shared" si="11"/>
        <v>681.86758758307872</v>
      </c>
      <c r="CD60" s="62">
        <f ca="1">AVERAGE(OFFSET($CC$3,0,0,'Données projet'!$E$12+1,1))-AVERAGE(OFFSET($H$3,0,0,'Données projet'!$E$12+1,1))</f>
        <v>290.85271051443431</v>
      </c>
      <c r="CE60" s="62">
        <f t="shared" si="40"/>
        <v>318.66958823451142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9.375</v>
      </c>
      <c r="CT60" s="13">
        <f>IF('Données projet'!$A$140&gt;35,CT59+CS60-DB59,IF(A60&lt;'Données projet'!$A$140,$CQ$205^A60,IF(A60='Données projet'!$A$140,'Données projet'!$B$140,CT59+CS60-DB59)))</f>
        <v>268.87499999999994</v>
      </c>
      <c r="CU60" s="18">
        <f>CT60*VLOOKUP('Données projet'!$B$13,Paramètres!$A$1:$I$89,3,0)*VLOOKUP('Données projet'!$B$13,Paramètres!$A$1:$I$89,5,0)</f>
        <v>209.72249999999997</v>
      </c>
      <c r="CV60" s="14">
        <f t="shared" si="41"/>
        <v>51.874940300502296</v>
      </c>
      <c r="CW60" s="22">
        <f t="shared" si="13"/>
        <v>455.61554185670815</v>
      </c>
      <c r="CX60" s="62">
        <f t="shared" si="14"/>
        <v>748.94887519004146</v>
      </c>
      <c r="CY60" s="62">
        <f ca="1">AVERAGE(OFFSET($CX$3,0,0,'Données projet'!$E$13+1,1))-AVERAGE(OFFSET($H$3,0,0,'Données projet'!$E$13+1,1))</f>
        <v>292.57482726862594</v>
      </c>
      <c r="CZ60" s="62">
        <f t="shared" si="42"/>
        <v>283.48738729114024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5</v>
      </c>
      <c r="DO60" s="13">
        <f>IF('Données projet'!$A$166&gt;35,DO59+DN60-DW59,IF(A60&lt;'Données projet'!$A$166,$DL$205^A60,IF(A60='Données projet'!$A$166,'Données projet'!$B$166,DO59+DN60-DW59)))</f>
        <v>242.99999999999986</v>
      </c>
      <c r="DP60" s="18">
        <f>DO60*VLOOKUP('Données projet'!$B$14,Paramètres!$A$1:$I$89,3,0)*VLOOKUP('Données projet'!$B$14,Paramètres!$A$1:$I$89,5,0)</f>
        <v>193.3307999999999</v>
      </c>
      <c r="DQ60" s="14">
        <f t="shared" si="43"/>
        <v>48.275598972103651</v>
      </c>
      <c r="DR60" s="22">
        <f t="shared" si="16"/>
        <v>420.79781154308029</v>
      </c>
      <c r="DS60" s="62">
        <f t="shared" si="17"/>
        <v>714.1311448764136</v>
      </c>
      <c r="DT60" s="62">
        <f ca="1">AVERAGE(OFFSET($DS$3,0,0,'Données projet'!$E$14+1,1))-AVERAGE(OFFSET($H$3,0,0,'Données projet'!$E$14+1,1))</f>
        <v>312.53381881960331</v>
      </c>
      <c r="DU60" s="62">
        <f t="shared" si="44"/>
        <v>342.06887933351783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4.8717948717948731</v>
      </c>
      <c r="EJ60" s="13">
        <f>IF('Données projet'!$A$192&gt;35,EJ59+EI60-ER59,IF(A60&lt;'Données projet'!$A$192,$EG$205^A60,IF(A60='Données projet'!$A$192,'Données projet'!$B$192,EJ59+EI60-ER59)))</f>
        <v>185.38461538461533</v>
      </c>
      <c r="EK60" s="18">
        <f>EJ60*VLOOKUP('Données projet'!$B$15,Paramètres!$A$1:$I$89,3,0)*VLOOKUP('Données projet'!$B$15,Paramètres!$A$1:$I$89,5,0)</f>
        <v>176.41199999999995</v>
      </c>
      <c r="EL60" s="14">
        <f t="shared" si="45"/>
        <v>44.522989246723967</v>
      </c>
      <c r="EM60" s="22">
        <f t="shared" si="19"/>
        <v>384.79510627137751</v>
      </c>
      <c r="EN60" s="62">
        <f t="shared" si="20"/>
        <v>678.12843960471082</v>
      </c>
      <c r="EO60" s="62">
        <f ca="1">AVERAGE(OFFSET($EN$3,0,0,'Données projet'!$E$15+1,1))-AVERAGE(OFFSET($H$3,0,0,'Données projet'!$E$15+1,1))</f>
        <v>363.37916970915211</v>
      </c>
      <c r="EP60" s="62">
        <f t="shared" si="46"/>
        <v>281.52963027844595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>
        <f>VLOOKUP(A60,'Données projet'!$A$217:$I$237,2,0)</f>
        <v>284.78461538461539</v>
      </c>
      <c r="FC60" s="13">
        <f>VLOOKUP(A60,'Données projet'!$A$217:$I$237,9,0)</f>
        <v>10.542307692307702</v>
      </c>
      <c r="FD60" s="13">
        <f t="array" ref="FD60">INDEX(FC:FC,MIN(IF(ISNUMBER(FC60:FC256),ROW(FC60:FC256),"")))</f>
        <v>10.542307692307702</v>
      </c>
      <c r="FE60" s="13">
        <f>IF('Données projet'!$A$218&gt;35,FE59+FD60-FM59,IF(A60&lt;'Données projet'!$A$218,$FB$205^A60,IF(A60='Données projet'!$A$218,'Données projet'!$B$218,FE59+FD60-FM59)))</f>
        <v>284.78461538461522</v>
      </c>
      <c r="FF60" s="18">
        <f>FE60*VLOOKUP('Données projet'!$B$16,Paramètres!$A$1:$I$89,3,0)*VLOOKUP('Données projet'!$B$16,Paramètres!$A$1:$I$89,5,0)</f>
        <v>133.27919999999992</v>
      </c>
      <c r="FG60" s="14">
        <f t="shared" si="47"/>
        <v>34.752984079426945</v>
      </c>
      <c r="FH60" s="22">
        <f t="shared" si="22"/>
        <v>292.65605393833511</v>
      </c>
      <c r="FI60" s="62">
        <f t="shared" si="23"/>
        <v>585.98938727166842</v>
      </c>
      <c r="FJ60" s="62">
        <f ca="1">AVERAGE(OFFSET($FI$3,0,0,'Données projet'!$E$16+1,1))-AVERAGE(OFFSET($H$3,0,0,'Données projet'!$E$16+1,1))</f>
        <v>245.47494516762282</v>
      </c>
      <c r="FK60" s="62">
        <f t="shared" si="48"/>
        <v>145.54897745089966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7.6</v>
      </c>
      <c r="FZ60" s="13">
        <f>IF('Données projet'!$A$244&gt;35,FZ59+FY60-GH59,IF(A60&lt;'Données projet'!$A$244,$FW$205^A60,IF(A60='Données projet'!$A$244,'Données projet'!$B$244,FZ59+FY60-GH59)))</f>
        <v>212.2</v>
      </c>
      <c r="GA60" s="18">
        <f>FZ60*VLOOKUP('Données projet'!$B$17,Paramètres!$A$1:$I$89,3,0)*VLOOKUP('Données projet'!$B$17,Paramètres!$A$1:$I$89,5,0)</f>
        <v>205.23983999999999</v>
      </c>
      <c r="GB60" s="14">
        <f t="shared" si="49"/>
        <v>50.893986960458122</v>
      </c>
      <c r="GC60" s="22">
        <f t="shared" si="25"/>
        <v>446.0997486227979</v>
      </c>
      <c r="GD60" s="62">
        <f t="shared" si="26"/>
        <v>739.43308195613122</v>
      </c>
      <c r="GE60" s="62">
        <f ca="1">AVERAGE(OFFSET($GD$3,0,0,'Données projet'!$E$17+1,1))-AVERAGE(OFFSET($H$3,0,0,'Données projet'!$E$17+1,1))</f>
        <v>455.50822833641354</v>
      </c>
      <c r="GF60" s="62">
        <f t="shared" si="50"/>
        <v>261.14722581688039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5.3846153846153868</v>
      </c>
      <c r="GU60" s="13">
        <f>IF('Données projet'!$A$270&gt;35,GU59+GT60-HC59,IF(A60&lt;'Données projet'!$A$270,$GR$205^A60,IF(A60='Données projet'!$A$270,'Données projet'!$B$270,GU59+GT60-HC59)))</f>
        <v>228.71794871794873</v>
      </c>
      <c r="GV60" s="18">
        <f>GU60*VLOOKUP('Données projet'!$B$18,Paramètres!$A$1:$I$89,3,0)*VLOOKUP('Données projet'!$B$18,Paramètres!$A$1:$I$89,5,0)</f>
        <v>153.42400000000001</v>
      </c>
      <c r="GW60" s="14">
        <f t="shared" si="51"/>
        <v>39.355676847161391</v>
      </c>
      <c r="GX60" s="22">
        <f t="shared" si="28"/>
        <v>335.75793717547276</v>
      </c>
      <c r="GY60" s="62">
        <f t="shared" si="29"/>
        <v>629.09127050880602</v>
      </c>
      <c r="GZ60" s="62">
        <f ca="1">AVERAGE(OFFSET($GY$3,0,0,'Données projet'!$E$18+1,1))-AVERAGE(OFFSET($H$3,0,0,'Données projet'!$E$18+1,1))</f>
        <v>312.06797204903796</v>
      </c>
      <c r="HA60" s="62">
        <f t="shared" si="52"/>
        <v>258.20189001775151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</row>
    <row r="61" spans="1:218" s="5" customFormat="1" x14ac:dyDescent="0.25">
      <c r="A61" s="11">
        <f t="shared" si="31"/>
        <v>58</v>
      </c>
      <c r="B61" s="76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9">
        <f t="shared" si="1"/>
        <v>256.66666666666669</v>
      </c>
      <c r="I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14.839560439560435</v>
      </c>
      <c r="N61" s="14">
        <f>IF('Données projet'!$A$36&gt;35,N60+M61-V60,IF(A61&lt;'Données projet'!$A$36,$K$205^A61,IF(A61='Données projet'!$A$36,'Données projet'!$B$36,N60+M61-V60)))</f>
        <v>381.51758241758245</v>
      </c>
      <c r="O61" s="14">
        <f>N61*VLOOKUP('Données projet'!$B$9,Paramètres!$A$1:$I$89,3,0)*VLOOKUP('Données projet'!$B$9,Paramètres!$A$1:$I$89,5,0)</f>
        <v>213.26832857142858</v>
      </c>
      <c r="P61" s="14">
        <f t="shared" si="33"/>
        <v>52.649154508451623</v>
      </c>
      <c r="Q61" s="22">
        <f t="shared" si="53"/>
        <v>463.13961636412461</v>
      </c>
      <c r="R61" s="62">
        <f t="shared" si="0"/>
        <v>756.47294969745792</v>
      </c>
      <c r="S61" s="62">
        <f ca="1">AVERAGE(OFFSET($R$3,0,0,'Données projet'!$E$9+1,1))-AVERAGE(OFFSET($H$3,0,0,'Données projet'!$E$9+1,1))</f>
        <v>323.98185264074681</v>
      </c>
      <c r="T61" s="62">
        <f t="shared" si="34"/>
        <v>301.22207291854005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2.5629304086446516</v>
      </c>
      <c r="AA61" s="23">
        <f>EXP(-LN(2)/25)*AA60+(1-EXP(-LN(2)/25))/(LN(2)/25)*Calculateur!V61*Calculateur!X61*VLOOKUP('Données projet'!$B$9,Paramètres!$A$1:$I$89,3,0)*0.475*44/12</f>
        <v>3.7945316403631919</v>
      </c>
      <c r="AB61" s="23">
        <f>EXP(-LN(2)/2)*AB60+(1-EXP(-LN(2)/2))/(LN(2)/2)*V61*Y61*VLOOKUP('Données projet'!$B$9,Paramètres!$A$1:$I$89,3,0)*0.475*44/12</f>
        <v>3.7157026242785771E-4</v>
      </c>
      <c r="AC61" s="24">
        <f t="shared" si="3"/>
        <v>6.3578336192702709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10.66307692307692</v>
      </c>
      <c r="AI61" s="14">
        <f>IF('Données projet'!$A$62&gt;35,AI60+AH61-AQ60,IF(A61&lt;'Données projet'!$A$62,$AF$205^A61,IF(A61='Données projet'!$A$62,'Données projet'!$B$62,AI60+AH61-AQ60)))</f>
        <v>321.09692307692302</v>
      </c>
      <c r="AJ61" s="14">
        <f>AI61*VLOOKUP('Données projet'!$B$10,Paramètres!$A$1:$I$89,3,0)*VLOOKUP('Données projet'!$B$10,Paramètres!$A$1:$I$89,5,0)</f>
        <v>192.01595999999998</v>
      </c>
      <c r="AK61" s="14">
        <f t="shared" si="35"/>
        <v>47.985378835949042</v>
      </c>
      <c r="AL61" s="22">
        <f t="shared" si="4"/>
        <v>418.00233180594455</v>
      </c>
      <c r="AM61" s="62">
        <f t="shared" si="5"/>
        <v>711.33566513927781</v>
      </c>
      <c r="AN61" s="62">
        <f ca="1">AVERAGE(OFFSET($AM$3,0,0,'Données projet'!$E$10+1,1))-AVERAGE(OFFSET($H$3,0,0,'Données projet'!$E$10+1,1))</f>
        <v>289.12367833861299</v>
      </c>
      <c r="AO61" s="62">
        <f t="shared" si="36"/>
        <v>229.06617320689003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2.5310272693026425E-4</v>
      </c>
      <c r="AX61" s="23">
        <f t="shared" si="6"/>
        <v>2.5310272693026425E-4</v>
      </c>
      <c r="AY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7.6</v>
      </c>
      <c r="BD61" s="13">
        <f>IF('Données projet'!$A$88&gt;35,BD60+BC61-BL60,IF(A61&lt;'Données projet'!$A$88,$BA$205^A61,IF(A61='Données projet'!$A$88,'Données projet'!$B$88,BD60+BC61-BL60)))</f>
        <v>219.79999999999998</v>
      </c>
      <c r="BE61" s="14">
        <f>BD61*VLOOKUP('Données projet'!$B$11,Paramètres!$A$1:$I$89,3,0)*VLOOKUP('Données projet'!$B$11,Paramètres!$A$1:$I$89,5,0)</f>
        <v>198.87503999999998</v>
      </c>
      <c r="BF61" s="14">
        <f t="shared" si="37"/>
        <v>49.496854461868558</v>
      </c>
      <c r="BG61" s="22">
        <f t="shared" si="7"/>
        <v>432.58104952108766</v>
      </c>
      <c r="BH61" s="62">
        <f t="shared" si="8"/>
        <v>725.91438285442098</v>
      </c>
      <c r="BI61" s="62">
        <f ca="1">AVERAGE(OFFSET($BH$3,0,0,'Données projet'!$E$11+1,1))-AVERAGE(OFFSET($H$3,0,0,'Données projet'!$E$11+1,1))</f>
        <v>428.8489304403459</v>
      </c>
      <c r="BJ61" s="62">
        <f t="shared" si="38"/>
        <v>247.01165577562966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5</v>
      </c>
      <c r="BY61" s="13">
        <f>IF('Données projet'!$A$114&gt;35,BY60+BX61-CG60,IF(A61&lt;'Données projet'!$A$114,$BV$205^A61,IF(A61='Données projet'!$A$114,'Données projet'!$B$114,BY60+BX61-CG60)))</f>
        <v>247.99999999999986</v>
      </c>
      <c r="BZ61" s="14">
        <f>BY61*VLOOKUP('Données projet'!$B$12,Paramètres!$A$1:$I$89,3,0)*VLOOKUP('Données projet'!$B$12,Paramètres!$A$1:$I$89,5,0)</f>
        <v>181.8335999999999</v>
      </c>
      <c r="CA61" s="14">
        <f t="shared" si="39"/>
        <v>45.729887442143784</v>
      </c>
      <c r="CB61" s="22">
        <f t="shared" si="10"/>
        <v>396.33974062840025</v>
      </c>
      <c r="CC61" s="62">
        <f t="shared" si="11"/>
        <v>689.67307396173351</v>
      </c>
      <c r="CD61" s="62">
        <f ca="1">AVERAGE(OFFSET($CC$3,0,0,'Données projet'!$E$12+1,1))-AVERAGE(OFFSET($H$3,0,0,'Données projet'!$E$12+1,1))</f>
        <v>290.85271051443431</v>
      </c>
      <c r="CE61" s="62">
        <f t="shared" si="40"/>
        <v>318.66958823451142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9.375</v>
      </c>
      <c r="CT61" s="13">
        <f>IF('Données projet'!$A$140&gt;35,CT60+CS61-DB60,IF(A61&lt;'Données projet'!$A$140,$CQ$205^A61,IF(A61='Données projet'!$A$140,'Données projet'!$B$140,CT60+CS61-DB60)))</f>
        <v>278.24999999999994</v>
      </c>
      <c r="CU61" s="18">
        <f>CT61*VLOOKUP('Données projet'!$B$13,Paramètres!$A$1:$I$89,3,0)*VLOOKUP('Données projet'!$B$13,Paramètres!$A$1:$I$89,5,0)</f>
        <v>217.03499999999997</v>
      </c>
      <c r="CV61" s="14">
        <f t="shared" si="41"/>
        <v>53.469949591969474</v>
      </c>
      <c r="CW61" s="22">
        <f t="shared" si="13"/>
        <v>471.12945387268002</v>
      </c>
      <c r="CX61" s="62">
        <f t="shared" si="14"/>
        <v>764.46278720601333</v>
      </c>
      <c r="CY61" s="62">
        <f ca="1">AVERAGE(OFFSET($CX$3,0,0,'Données projet'!$E$13+1,1))-AVERAGE(OFFSET($H$3,0,0,'Données projet'!$E$13+1,1))</f>
        <v>292.57482726862594</v>
      </c>
      <c r="CZ61" s="62">
        <f t="shared" si="42"/>
        <v>283.48738729114024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5</v>
      </c>
      <c r="DO61" s="13">
        <f>IF('Données projet'!$A$166&gt;35,DO60+DN61-DW60,IF(A61&lt;'Données projet'!$A$166,$DL$205^A61,IF(A61='Données projet'!$A$166,'Données projet'!$B$166,DO60+DN61-DW60)))</f>
        <v>247.99999999999986</v>
      </c>
      <c r="DP61" s="18">
        <f>DO61*VLOOKUP('Données projet'!$B$14,Paramètres!$A$1:$I$89,3,0)*VLOOKUP('Données projet'!$B$14,Paramètres!$A$1:$I$89,5,0)</f>
        <v>197.30879999999991</v>
      </c>
      <c r="DQ61" s="14">
        <f t="shared" si="43"/>
        <v>49.152257900676076</v>
      </c>
      <c r="DR61" s="22">
        <f t="shared" si="16"/>
        <v>429.25300917701065</v>
      </c>
      <c r="DS61" s="62">
        <f t="shared" si="17"/>
        <v>722.58634251034391</v>
      </c>
      <c r="DT61" s="62">
        <f ca="1">AVERAGE(OFFSET($DS$3,0,0,'Données projet'!$E$14+1,1))-AVERAGE(OFFSET($H$3,0,0,'Données projet'!$E$14+1,1))</f>
        <v>312.53381881960331</v>
      </c>
      <c r="DU61" s="62">
        <f t="shared" si="44"/>
        <v>342.06887933351783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4.8717948717948731</v>
      </c>
      <c r="EJ61" s="13">
        <f>IF('Données projet'!$A$192&gt;35,EJ60+EI61-ER60,IF(A61&lt;'Données projet'!$A$192,$EG$205^A61,IF(A61='Données projet'!$A$192,'Données projet'!$B$192,EJ60+EI61-ER60)))</f>
        <v>190.25641025641019</v>
      </c>
      <c r="EK61" s="18">
        <f>EJ61*VLOOKUP('Données projet'!$B$15,Paramètres!$A$1:$I$89,3,0)*VLOOKUP('Données projet'!$B$15,Paramètres!$A$1:$I$89,5,0)</f>
        <v>181.04799999999994</v>
      </c>
      <c r="EL61" s="14">
        <f t="shared" si="45"/>
        <v>45.555268021687233</v>
      </c>
      <c r="EM61" s="22">
        <f t="shared" si="19"/>
        <v>394.66735847110516</v>
      </c>
      <c r="EN61" s="62">
        <f t="shared" si="20"/>
        <v>688.00069180443847</v>
      </c>
      <c r="EO61" s="62">
        <f ca="1">AVERAGE(OFFSET($EN$3,0,0,'Données projet'!$E$15+1,1))-AVERAGE(OFFSET($H$3,0,0,'Données projet'!$E$15+1,1))</f>
        <v>363.37916970915211</v>
      </c>
      <c r="EP61" s="62">
        <f t="shared" si="46"/>
        <v>281.52963027844595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10.984615384615381</v>
      </c>
      <c r="FE61" s="13">
        <f>IF('Données projet'!$A$218&gt;35,FE60+FD61-FM60,IF(A61&lt;'Données projet'!$A$218,$FB$205^A61,IF(A61='Données projet'!$A$218,'Données projet'!$B$218,FE60+FD61-FM60)))</f>
        <v>295.7692307692306</v>
      </c>
      <c r="FF61" s="18">
        <f>FE61*VLOOKUP('Données projet'!$B$16,Paramètres!$A$1:$I$89,3,0)*VLOOKUP('Données projet'!$B$16,Paramètres!$A$1:$I$89,5,0)</f>
        <v>138.41999999999993</v>
      </c>
      <c r="FG61" s="14">
        <f t="shared" si="47"/>
        <v>35.934810934702796</v>
      </c>
      <c r="FH61" s="22">
        <f t="shared" si="22"/>
        <v>303.66796237794057</v>
      </c>
      <c r="FI61" s="62">
        <f t="shared" si="23"/>
        <v>597.00129571127388</v>
      </c>
      <c r="FJ61" s="62">
        <f ca="1">AVERAGE(OFFSET($FI$3,0,0,'Données projet'!$E$16+1,1))-AVERAGE(OFFSET($H$3,0,0,'Données projet'!$E$16+1,1))</f>
        <v>245.47494516762282</v>
      </c>
      <c r="FK61" s="62">
        <f t="shared" si="48"/>
        <v>145.54897745089966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7.6</v>
      </c>
      <c r="FZ61" s="13">
        <f>IF('Données projet'!$A$244&gt;35,FZ60+FY61-GH60,IF(A61&lt;'Données projet'!$A$244,$FW$205^A61,IF(A61='Données projet'!$A$244,'Données projet'!$B$244,FZ60+FY61-GH60)))</f>
        <v>219.79999999999998</v>
      </c>
      <c r="GA61" s="18">
        <f>FZ61*VLOOKUP('Données projet'!$B$17,Paramètres!$A$1:$I$89,3,0)*VLOOKUP('Données projet'!$B$17,Paramètres!$A$1:$I$89,5,0)</f>
        <v>212.59055999999998</v>
      </c>
      <c r="GB61" s="14">
        <f t="shared" si="49"/>
        <v>52.501283653296404</v>
      </c>
      <c r="GC61" s="22">
        <f t="shared" si="25"/>
        <v>461.70162769615786</v>
      </c>
      <c r="GD61" s="62">
        <f t="shared" si="26"/>
        <v>755.03496102949111</v>
      </c>
      <c r="GE61" s="62">
        <f ca="1">AVERAGE(OFFSET($GD$3,0,0,'Données projet'!$E$17+1,1))-AVERAGE(OFFSET($H$3,0,0,'Données projet'!$E$17+1,1))</f>
        <v>455.50822833641354</v>
      </c>
      <c r="GF61" s="62">
        <f t="shared" si="50"/>
        <v>261.14722581688039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5.3846153846153868</v>
      </c>
      <c r="GU61" s="13">
        <f>IF('Données projet'!$A$270&gt;35,GU60+GT61-HC60,IF(A61&lt;'Données projet'!$A$270,$GR$205^A61,IF(A61='Données projet'!$A$270,'Données projet'!$B$270,GU60+GT61-HC60)))</f>
        <v>234.10256410256412</v>
      </c>
      <c r="GV61" s="18">
        <f>GU61*VLOOKUP('Données projet'!$B$18,Paramètres!$A$1:$I$89,3,0)*VLOOKUP('Données projet'!$B$18,Paramètres!$A$1:$I$89,5,0)</f>
        <v>157.036</v>
      </c>
      <c r="GW61" s="14">
        <f t="shared" si="51"/>
        <v>40.17325112686504</v>
      </c>
      <c r="GX61" s="22">
        <f t="shared" si="28"/>
        <v>343.47277904595654</v>
      </c>
      <c r="GY61" s="62">
        <f t="shared" si="29"/>
        <v>636.80611237928986</v>
      </c>
      <c r="GZ61" s="62">
        <f ca="1">AVERAGE(OFFSET($GY$3,0,0,'Données projet'!$E$18+1,1))-AVERAGE(OFFSET($H$3,0,0,'Données projet'!$E$18+1,1))</f>
        <v>312.06797204903796</v>
      </c>
      <c r="HA61" s="62">
        <f t="shared" si="52"/>
        <v>258.20189001775151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</row>
    <row r="62" spans="1:218" s="5" customFormat="1" x14ac:dyDescent="0.25">
      <c r="A62" s="11">
        <f t="shared" si="31"/>
        <v>59</v>
      </c>
      <c r="B62" s="76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9">
        <f t="shared" si="1"/>
        <v>256.66666666666669</v>
      </c>
      <c r="I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14.839560439560435</v>
      </c>
      <c r="N62" s="14">
        <f>IF('Données projet'!$A$36&gt;35,N61+M62-V61,IF(A62&lt;'Données projet'!$A$36,$K$205^A62,IF(A62='Données projet'!$A$36,'Données projet'!$B$36,N61+M62-V61)))</f>
        <v>396.35714285714289</v>
      </c>
      <c r="O62" s="14">
        <f>N62*VLOOKUP('Données projet'!$B$9,Paramètres!$A$1:$I$89,3,0)*VLOOKUP('Données projet'!$B$9,Paramètres!$A$1:$I$89,5,0)</f>
        <v>221.56364285714287</v>
      </c>
      <c r="P62" s="14">
        <f t="shared" si="33"/>
        <v>54.45459555983345</v>
      </c>
      <c r="Q62" s="22">
        <f t="shared" si="53"/>
        <v>480.73176524290039</v>
      </c>
      <c r="R62" s="62">
        <f t="shared" si="0"/>
        <v>774.06509857623371</v>
      </c>
      <c r="S62" s="62">
        <f ca="1">AVERAGE(OFFSET($R$3,0,0,'Données projet'!$E$9+1,1))-AVERAGE(OFFSET($H$3,0,0,'Données projet'!$E$9+1,1))</f>
        <v>323.98185264074681</v>
      </c>
      <c r="T62" s="62">
        <f t="shared" si="34"/>
        <v>301.22207291854005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2.512672906564323</v>
      </c>
      <c r="AA62" s="23">
        <f>EXP(-LN(2)/25)*AA61+(1-EXP(-LN(2)/25))/(LN(2)/25)*Calculateur!V62*Calculateur!X62*VLOOKUP('Données projet'!$B$9,Paramètres!$A$1:$I$89,3,0)*0.475*44/12</f>
        <v>3.6907699731117138</v>
      </c>
      <c r="AB62" s="23">
        <f>EXP(-LN(2)/2)*AB61+(1-EXP(-LN(2)/2))/(LN(2)/2)*V62*Y62*VLOOKUP('Données projet'!$B$9,Paramètres!$A$1:$I$89,3,0)*0.475*44/12</f>
        <v>2.6273985225000321E-4</v>
      </c>
      <c r="AC62" s="24">
        <f t="shared" si="3"/>
        <v>6.2037056195282867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10.66307692307692</v>
      </c>
      <c r="AI62" s="14">
        <f>IF('Données projet'!$A$62&gt;35,AI61+AH62-AQ61,IF(A62&lt;'Données projet'!$A$62,$AF$205^A62,IF(A62='Données projet'!$A$62,'Données projet'!$B$62,AI61+AH62-AQ61)))</f>
        <v>331.75999999999993</v>
      </c>
      <c r="AJ62" s="14">
        <f>AI62*VLOOKUP('Données projet'!$B$10,Paramètres!$A$1:$I$89,3,0)*VLOOKUP('Données projet'!$B$10,Paramètres!$A$1:$I$89,5,0)</f>
        <v>198.39247999999998</v>
      </c>
      <c r="AK62" s="14">
        <f t="shared" si="35"/>
        <v>49.39071772551025</v>
      </c>
      <c r="AL62" s="22">
        <f t="shared" si="4"/>
        <v>431.55573603859693</v>
      </c>
      <c r="AM62" s="62">
        <f t="shared" si="5"/>
        <v>724.88906937193019</v>
      </c>
      <c r="AN62" s="62">
        <f ca="1">AVERAGE(OFFSET($AM$3,0,0,'Données projet'!$E$10+1,1))-AVERAGE(OFFSET($H$3,0,0,'Données projet'!$E$10+1,1))</f>
        <v>289.12367833861299</v>
      </c>
      <c r="AO62" s="62">
        <f t="shared" si="36"/>
        <v>229.06617320689003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1.7897065454919686E-4</v>
      </c>
      <c r="AX62" s="23">
        <f t="shared" si="6"/>
        <v>1.7897065454919686E-4</v>
      </c>
      <c r="AY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7.6</v>
      </c>
      <c r="BD62" s="13">
        <f>IF('Données projet'!$A$88&gt;35,BD61+BC62-BL61,IF(A62&lt;'Données projet'!$A$88,$BA$205^A62,IF(A62='Données projet'!$A$88,'Données projet'!$B$88,BD61+BC62-BL61)))</f>
        <v>227.39999999999998</v>
      </c>
      <c r="BE62" s="14">
        <f>BD62*VLOOKUP('Données projet'!$B$11,Paramètres!$A$1:$I$89,3,0)*VLOOKUP('Données projet'!$B$11,Paramètres!$A$1:$I$89,5,0)</f>
        <v>205.75151999999994</v>
      </c>
      <c r="BF62" s="14">
        <f t="shared" si="37"/>
        <v>51.006084477955554</v>
      </c>
      <c r="BG62" s="22">
        <f t="shared" si="7"/>
        <v>447.18616113243911</v>
      </c>
      <c r="BH62" s="62">
        <f t="shared" si="8"/>
        <v>740.51949446577237</v>
      </c>
      <c r="BI62" s="62">
        <f ca="1">AVERAGE(OFFSET($BH$3,0,0,'Données projet'!$E$11+1,1))-AVERAGE(OFFSET($H$3,0,0,'Données projet'!$E$11+1,1))</f>
        <v>428.8489304403459</v>
      </c>
      <c r="BJ62" s="62">
        <f t="shared" si="38"/>
        <v>247.01165577562966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5</v>
      </c>
      <c r="BY62" s="13">
        <f>IF('Données projet'!$A$114&gt;35,BY61+BX62-CG61,IF(A62&lt;'Données projet'!$A$114,$BV$205^A62,IF(A62='Données projet'!$A$114,'Données projet'!$B$114,BY61+BX62-CG61)))</f>
        <v>252.99999999999986</v>
      </c>
      <c r="BZ62" s="14">
        <f>BY62*VLOOKUP('Données projet'!$B$12,Paramètres!$A$1:$I$89,3,0)*VLOOKUP('Données projet'!$B$12,Paramètres!$A$1:$I$89,5,0)</f>
        <v>185.4995999999999</v>
      </c>
      <c r="CA62" s="14">
        <f t="shared" si="39"/>
        <v>46.543594449249014</v>
      </c>
      <c r="CB62" s="22">
        <f t="shared" si="10"/>
        <v>404.1418969991085</v>
      </c>
      <c r="CC62" s="62">
        <f t="shared" si="11"/>
        <v>697.47523033244181</v>
      </c>
      <c r="CD62" s="62">
        <f ca="1">AVERAGE(OFFSET($CC$3,0,0,'Données projet'!$E$12+1,1))-AVERAGE(OFFSET($H$3,0,0,'Données projet'!$E$12+1,1))</f>
        <v>290.85271051443431</v>
      </c>
      <c r="CE62" s="62">
        <f t="shared" si="40"/>
        <v>318.66958823451142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9.375</v>
      </c>
      <c r="CT62" s="13">
        <f>IF('Données projet'!$A$140&gt;35,CT61+CS62-DB61,IF(A62&lt;'Données projet'!$A$140,$CQ$205^A62,IF(A62='Données projet'!$A$140,'Données projet'!$B$140,CT61+CS62-DB61)))</f>
        <v>287.62499999999994</v>
      </c>
      <c r="CU62" s="18">
        <f>CT62*VLOOKUP('Données projet'!$B$13,Paramètres!$A$1:$I$89,3,0)*VLOOKUP('Données projet'!$B$13,Paramètres!$A$1:$I$89,5,0)</f>
        <v>224.34749999999997</v>
      </c>
      <c r="CV62" s="14">
        <f t="shared" si="41"/>
        <v>55.058714525680479</v>
      </c>
      <c r="CW62" s="22">
        <f t="shared" si="13"/>
        <v>486.63249029889352</v>
      </c>
      <c r="CX62" s="62">
        <f t="shared" si="14"/>
        <v>779.96582363222683</v>
      </c>
      <c r="CY62" s="62">
        <f ca="1">AVERAGE(OFFSET($CX$3,0,0,'Données projet'!$E$13+1,1))-AVERAGE(OFFSET($H$3,0,0,'Données projet'!$E$13+1,1))</f>
        <v>292.57482726862594</v>
      </c>
      <c r="CZ62" s="62">
        <f t="shared" si="42"/>
        <v>283.48738729114024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5</v>
      </c>
      <c r="DO62" s="13">
        <f>IF('Données projet'!$A$166&gt;35,DO61+DN62-DW61,IF(A62&lt;'Données projet'!$A$166,$DL$205^A62,IF(A62='Données projet'!$A$166,'Données projet'!$B$166,DO61+DN62-DW61)))</f>
        <v>252.99999999999986</v>
      </c>
      <c r="DP62" s="18">
        <f>DO62*VLOOKUP('Données projet'!$B$14,Paramètres!$A$1:$I$89,3,0)*VLOOKUP('Données projet'!$B$14,Paramètres!$A$1:$I$89,5,0)</f>
        <v>201.28679999999989</v>
      </c>
      <c r="DQ62" s="14">
        <f t="shared" si="43"/>
        <v>50.026861773677616</v>
      </c>
      <c r="DR62" s="22">
        <f t="shared" si="16"/>
        <v>437.70462758915488</v>
      </c>
      <c r="DS62" s="62">
        <f t="shared" si="17"/>
        <v>731.0379609224882</v>
      </c>
      <c r="DT62" s="62">
        <f ca="1">AVERAGE(OFFSET($DS$3,0,0,'Données projet'!$E$14+1,1))-AVERAGE(OFFSET($H$3,0,0,'Données projet'!$E$14+1,1))</f>
        <v>312.53381881960331</v>
      </c>
      <c r="DU62" s="62">
        <f t="shared" si="44"/>
        <v>342.06887933351783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4.8717948717948731</v>
      </c>
      <c r="EJ62" s="13">
        <f>IF('Données projet'!$A$192&gt;35,EJ61+EI62-ER61,IF(A62&lt;'Données projet'!$A$192,$EG$205^A62,IF(A62='Données projet'!$A$192,'Données projet'!$B$192,EJ61+EI62-ER61)))</f>
        <v>195.12820512820505</v>
      </c>
      <c r="EK62" s="18">
        <f>EJ62*VLOOKUP('Données projet'!$B$15,Paramètres!$A$1:$I$89,3,0)*VLOOKUP('Données projet'!$B$15,Paramètres!$A$1:$I$89,5,0)</f>
        <v>185.68399999999991</v>
      </c>
      <c r="EL62" s="14">
        <f t="shared" si="45"/>
        <v>46.584474219718061</v>
      </c>
      <c r="EM62" s="22">
        <f t="shared" si="19"/>
        <v>404.5342592660088</v>
      </c>
      <c r="EN62" s="62">
        <f t="shared" si="20"/>
        <v>697.86759259934206</v>
      </c>
      <c r="EO62" s="62">
        <f ca="1">AVERAGE(OFFSET($EN$3,0,0,'Données projet'!$E$15+1,1))-AVERAGE(OFFSET($H$3,0,0,'Données projet'!$E$15+1,1))</f>
        <v>363.37916970915211</v>
      </c>
      <c r="EP62" s="62">
        <f t="shared" si="46"/>
        <v>281.52963027844595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10.984615384615381</v>
      </c>
      <c r="FE62" s="13">
        <f>IF('Données projet'!$A$218&gt;35,FE61+FD62-FM61,IF(A62&lt;'Données projet'!$A$218,$FB$205^A62,IF(A62='Données projet'!$A$218,'Données projet'!$B$218,FE61+FD62-FM61)))</f>
        <v>306.75384615384598</v>
      </c>
      <c r="FF62" s="18">
        <f>FE62*VLOOKUP('Données projet'!$B$16,Paramètres!$A$1:$I$89,3,0)*VLOOKUP('Données projet'!$B$16,Paramètres!$A$1:$I$89,5,0)</f>
        <v>143.56079999999992</v>
      </c>
      <c r="FG62" s="14">
        <f t="shared" si="47"/>
        <v>37.111538546158371</v>
      </c>
      <c r="FH62" s="22">
        <f t="shared" si="22"/>
        <v>314.67098963455902</v>
      </c>
      <c r="FI62" s="62">
        <f t="shared" si="23"/>
        <v>608.00432296789234</v>
      </c>
      <c r="FJ62" s="62">
        <f ca="1">AVERAGE(OFFSET($FI$3,0,0,'Données projet'!$E$16+1,1))-AVERAGE(OFFSET($H$3,0,0,'Données projet'!$E$16+1,1))</f>
        <v>245.47494516762282</v>
      </c>
      <c r="FK62" s="62">
        <f t="shared" si="48"/>
        <v>145.54897745089966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7.6</v>
      </c>
      <c r="FZ62" s="13">
        <f>IF('Données projet'!$A$244&gt;35,FZ61+FY62-GH61,IF(A62&lt;'Données projet'!$A$244,$FW$205^A62,IF(A62='Données projet'!$A$244,'Données projet'!$B$244,FZ61+FY62-GH61)))</f>
        <v>227.39999999999998</v>
      </c>
      <c r="GA62" s="18">
        <f>FZ62*VLOOKUP('Données projet'!$B$17,Paramètres!$A$1:$I$89,3,0)*VLOOKUP('Données projet'!$B$17,Paramètres!$A$1:$I$89,5,0)</f>
        <v>219.94127999999995</v>
      </c>
      <c r="GB62" s="14">
        <f t="shared" si="49"/>
        <v>54.102123020446285</v>
      </c>
      <c r="GC62" s="22">
        <f t="shared" si="25"/>
        <v>477.29226026061059</v>
      </c>
      <c r="GD62" s="62">
        <f t="shared" si="26"/>
        <v>770.6255935939439</v>
      </c>
      <c r="GE62" s="62">
        <f ca="1">AVERAGE(OFFSET($GD$3,0,0,'Données projet'!$E$17+1,1))-AVERAGE(OFFSET($H$3,0,0,'Données projet'!$E$17+1,1))</f>
        <v>455.50822833641354</v>
      </c>
      <c r="GF62" s="62">
        <f t="shared" si="50"/>
        <v>261.14722581688039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5.3846153846153868</v>
      </c>
      <c r="GU62" s="13">
        <f>IF('Données projet'!$A$270&gt;35,GU61+GT62-HC61,IF(A62&lt;'Données projet'!$A$270,$GR$205^A62,IF(A62='Données projet'!$A$270,'Données projet'!$B$270,GU61+GT62-HC61)))</f>
        <v>239.4871794871795</v>
      </c>
      <c r="GV62" s="18">
        <f>GU62*VLOOKUP('Données projet'!$B$18,Paramètres!$A$1:$I$89,3,0)*VLOOKUP('Données projet'!$B$18,Paramètres!$A$1:$I$89,5,0)</f>
        <v>160.648</v>
      </c>
      <c r="GW62" s="14">
        <f t="shared" si="51"/>
        <v>40.988639216339969</v>
      </c>
      <c r="GX62" s="22">
        <f t="shared" si="28"/>
        <v>351.1838133017921</v>
      </c>
      <c r="GY62" s="62">
        <f t="shared" si="29"/>
        <v>644.51714663512541</v>
      </c>
      <c r="GZ62" s="62">
        <f ca="1">AVERAGE(OFFSET($GY$3,0,0,'Données projet'!$E$18+1,1))-AVERAGE(OFFSET($H$3,0,0,'Données projet'!$E$18+1,1))</f>
        <v>312.06797204903796</v>
      </c>
      <c r="HA62" s="62">
        <f t="shared" si="52"/>
        <v>258.20189001775151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</row>
    <row r="63" spans="1:218" s="5" customFormat="1" x14ac:dyDescent="0.25">
      <c r="A63" s="11">
        <f t="shared" si="31"/>
        <v>60</v>
      </c>
      <c r="B63" s="76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9">
        <f t="shared" si="1"/>
        <v>256.66666666666669</v>
      </c>
      <c r="I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14.839560439560435</v>
      </c>
      <c r="N63" s="14">
        <f>IF('Données projet'!$A$36&gt;35,N62+M63-V62,IF(A63&lt;'Données projet'!$A$36,$K$205^A63,IF(A63='Données projet'!$A$36,'Données projet'!$B$36,N62+M63-V62)))</f>
        <v>411.19670329670333</v>
      </c>
      <c r="O63" s="14">
        <f>N63*VLOOKUP('Données projet'!$B$9,Paramètres!$A$1:$I$89,3,0)*VLOOKUP('Données projet'!$B$9,Paramètres!$A$1:$I$89,5,0)</f>
        <v>229.85895714285718</v>
      </c>
      <c r="P63" s="14">
        <f t="shared" si="33"/>
        <v>56.252183679167004</v>
      </c>
      <c r="Q63" s="22">
        <f t="shared" si="53"/>
        <v>498.31023693169209</v>
      </c>
      <c r="R63" s="62">
        <f t="shared" si="0"/>
        <v>791.64357026502535</v>
      </c>
      <c r="S63" s="62">
        <f ca="1">AVERAGE(OFFSET($R$3,0,0,'Données projet'!$E$9+1,1))-AVERAGE(OFFSET($H$3,0,0,'Données projet'!$E$9+1,1))</f>
        <v>323.98185264074681</v>
      </c>
      <c r="T63" s="62">
        <f t="shared" si="34"/>
        <v>301.22207291854005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2.4634009234457399</v>
      </c>
      <c r="AA63" s="23">
        <f>EXP(-LN(2)/25)*AA62+(1-EXP(-LN(2)/25))/(LN(2)/25)*Calculateur!V63*Calculateur!X63*VLOOKUP('Données projet'!$B$9,Paramètres!$A$1:$I$89,3,0)*0.475*44/12</f>
        <v>3.5898456741078166</v>
      </c>
      <c r="AB63" s="23">
        <f>EXP(-LN(2)/2)*AB62+(1-EXP(-LN(2)/2))/(LN(2)/2)*V63*Y63*VLOOKUP('Données projet'!$B$9,Paramètres!$A$1:$I$89,3,0)*0.475*44/12</f>
        <v>1.8578513121392885E-4</v>
      </c>
      <c r="AC63" s="24">
        <f t="shared" si="3"/>
        <v>6.0534323826847709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342.42307692307691</v>
      </c>
      <c r="AG63" s="13">
        <f>VLOOKUP(A63,'Données projet'!$A$61:$I$81,9,0)</f>
        <v>10.66307692307692</v>
      </c>
      <c r="AH63" s="13">
        <f t="array" ref="AH63">INDEX(AG:AG,MIN(IF(ISNUMBER(AG63:AG259),ROW(AG63:AG259),"")))</f>
        <v>10.66307692307692</v>
      </c>
      <c r="AI63" s="14">
        <f>IF('Données projet'!$A$62&gt;35,AI62+AH63-AQ62,IF(A63&lt;'Données projet'!$A$62,$AF$205^A63,IF(A63='Données projet'!$A$62,'Données projet'!$B$62,AI62+AH63-AQ62)))</f>
        <v>342.42307692307685</v>
      </c>
      <c r="AJ63" s="14">
        <f>AI63*VLOOKUP('Données projet'!$B$10,Paramètres!$A$1:$I$89,3,0)*VLOOKUP('Données projet'!$B$10,Paramètres!$A$1:$I$89,5,0)</f>
        <v>204.76899999999998</v>
      </c>
      <c r="AK63" s="14">
        <f t="shared" si="35"/>
        <v>50.790807822253974</v>
      </c>
      <c r="AL63" s="22">
        <f t="shared" si="4"/>
        <v>445.09999862375895</v>
      </c>
      <c r="AM63" s="62">
        <f t="shared" si="5"/>
        <v>738.43333195709226</v>
      </c>
      <c r="AN63" s="62">
        <f ca="1">AVERAGE(OFFSET($AM$3,0,0,'Données projet'!$E$10+1,1))-AVERAGE(OFFSET($H$3,0,0,'Données projet'!$E$10+1,1))</f>
        <v>289.12367833861299</v>
      </c>
      <c r="AO63" s="62">
        <f t="shared" si="36"/>
        <v>229.06617320689003</v>
      </c>
      <c r="AP63" s="16">
        <f>IF(ISNA(VLOOKUP(A63,'Données projet'!$A$61:$I$81,3,0)),0,VLOOKUP(A63,'Données projet'!$A$61:$I$81,3,0))</f>
        <v>6</v>
      </c>
      <c r="AQ63" s="16">
        <f>IF(ISNA(VLOOKUP(A63,'Données projet'!$A$61:$I$81,4,0)),0,VLOOKUP(A63,'Données projet'!$A$61:$I$81,4,0))</f>
        <v>54.261538461538464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1.2655136346513213E-4</v>
      </c>
      <c r="AX63" s="23">
        <f t="shared" si="6"/>
        <v>1.2655136346513213E-4</v>
      </c>
      <c r="AY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235</v>
      </c>
      <c r="BB63" s="13">
        <f>VLOOKUP(A63,'Données projet'!$A$87:$I$107,9,0)</f>
        <v>7.6</v>
      </c>
      <c r="BC63" s="13">
        <f t="array" ref="BC63">INDEX(BB:BB,MIN(IF(ISNUMBER(BB63:BB259),ROW(BB63:BB259),"")))</f>
        <v>7.6</v>
      </c>
      <c r="BD63" s="13">
        <f>IF('Données projet'!$A$88&gt;35,BD62+BC63-BL62,IF(A63&lt;'Données projet'!$A$88,$BA$205^A63,IF(A63='Données projet'!$A$88,'Données projet'!$B$88,BD62+BC63-BL62)))</f>
        <v>234.99999999999997</v>
      </c>
      <c r="BE63" s="14">
        <f>BD63*VLOOKUP('Données projet'!$B$11,Paramètres!$A$1:$I$89,3,0)*VLOOKUP('Données projet'!$B$11,Paramètres!$A$1:$I$89,5,0)</f>
        <v>212.62799999999999</v>
      </c>
      <c r="BF63" s="14">
        <f t="shared" si="37"/>
        <v>52.509453483719035</v>
      </c>
      <c r="BG63" s="22">
        <f t="shared" si="7"/>
        <v>461.78106481747727</v>
      </c>
      <c r="BH63" s="62">
        <f t="shared" si="8"/>
        <v>755.11439815081053</v>
      </c>
      <c r="BI63" s="62">
        <f ca="1">AVERAGE(OFFSET($BH$3,0,0,'Données projet'!$E$11+1,1))-AVERAGE(OFFSET($H$3,0,0,'Données projet'!$E$11+1,1))</f>
        <v>428.8489304403459</v>
      </c>
      <c r="BJ63" s="62">
        <f t="shared" si="38"/>
        <v>247.01165577562966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42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258</v>
      </c>
      <c r="BW63" s="13">
        <f>VLOOKUP(A63,'Données projet'!$A$113:$I$133,9,0)</f>
        <v>5</v>
      </c>
      <c r="BX63" s="13">
        <f t="array" ref="BX63">INDEX(BW:BW,MIN(IF(ISNUMBER(BW63:BW259),ROW(BW63:BW259),"")))</f>
        <v>5</v>
      </c>
      <c r="BY63" s="13">
        <f>IF('Données projet'!$A$114&gt;35,BY62+BX63-CG62,IF(A63&lt;'Données projet'!$A$114,$BV$205^A63,IF(A63='Données projet'!$A$114,'Données projet'!$B$114,BY62+BX63-CG62)))</f>
        <v>257.99999999999989</v>
      </c>
      <c r="BZ63" s="14">
        <f>BY63*VLOOKUP('Données projet'!$B$12,Paramètres!$A$1:$I$89,3,0)*VLOOKUP('Données projet'!$B$12,Paramètres!$A$1:$I$89,5,0)</f>
        <v>189.1655999999999</v>
      </c>
      <c r="CA63" s="14">
        <f t="shared" si="39"/>
        <v>47.355431631295275</v>
      </c>
      <c r="CB63" s="22">
        <f t="shared" si="10"/>
        <v>411.94079675783905</v>
      </c>
      <c r="CC63" s="62">
        <f t="shared" si="11"/>
        <v>705.27413009117231</v>
      </c>
      <c r="CD63" s="62">
        <f ca="1">AVERAGE(OFFSET($CC$3,0,0,'Données projet'!$E$12+1,1))-AVERAGE(OFFSET($H$3,0,0,'Données projet'!$E$12+1,1))</f>
        <v>290.85271051443431</v>
      </c>
      <c r="CE63" s="62">
        <f t="shared" si="40"/>
        <v>318.66958823451142</v>
      </c>
      <c r="CF63" s="16">
        <f>IF(ISNA(VLOOKUP(A63,'Données projet'!$A$113:$I$133,3,0)),0,VLOOKUP(A63,'Données projet'!$A$113:$I$133,3,0))</f>
        <v>5</v>
      </c>
      <c r="CG63" s="16">
        <f>IF(ISNA(VLOOKUP(A63,'Données projet'!$A$113:$I$133,4,0)),0,VLOOKUP(A63,'Données projet'!$A$113:$I$133,4,0))</f>
        <v>25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297</v>
      </c>
      <c r="CR63" s="13">
        <f>VLOOKUP(A63,'Données projet'!$A$139:$I$159,9,0)</f>
        <v>9.375</v>
      </c>
      <c r="CS63" s="13">
        <f t="array" ref="CS63">INDEX(CR:CR,MIN(IF(ISNUMBER(CR63:CR259),ROW(CR63:CR259),"")))</f>
        <v>9.375</v>
      </c>
      <c r="CT63" s="13">
        <f>IF('Données projet'!$A$140&gt;35,CT62+CS63-DB62,IF(A63&lt;'Données projet'!$A$140,$CQ$205^A63,IF(A63='Données projet'!$A$140,'Données projet'!$B$140,CT62+CS63-DB62)))</f>
        <v>296.99999999999994</v>
      </c>
      <c r="CU63" s="18">
        <f>CT63*VLOOKUP('Données projet'!$B$13,Paramètres!$A$1:$I$89,3,0)*VLOOKUP('Données projet'!$B$13,Paramètres!$A$1:$I$89,5,0)</f>
        <v>231.65999999999997</v>
      </c>
      <c r="CV63" s="14">
        <f t="shared" si="41"/>
        <v>56.641461975682766</v>
      </c>
      <c r="CW63" s="22">
        <f t="shared" si="13"/>
        <v>502.12504627431412</v>
      </c>
      <c r="CX63" s="62">
        <f t="shared" si="14"/>
        <v>795.45837960764743</v>
      </c>
      <c r="CY63" s="62">
        <f ca="1">AVERAGE(OFFSET($CX$3,0,0,'Données projet'!$E$13+1,1))-AVERAGE(OFFSET($H$3,0,0,'Données projet'!$E$13+1,1))</f>
        <v>292.57482726862594</v>
      </c>
      <c r="CZ63" s="62">
        <f t="shared" si="42"/>
        <v>283.48738729114024</v>
      </c>
      <c r="DA63" s="16">
        <f>IF(ISNA(VLOOKUP(A63,'Données projet'!$A$139:$I$159,3,0)),0,VLOOKUP(A63,'Données projet'!$A$139:$I$159,3,0))</f>
        <v>6</v>
      </c>
      <c r="DB63" s="16">
        <f>IF(ISNA(VLOOKUP(A63,'Données projet'!$A$139:$I$159,4,0)),0,VLOOKUP(A63,'Données projet'!$A$139:$I$159,4,0))</f>
        <v>47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258</v>
      </c>
      <c r="DM63" s="13">
        <f>VLOOKUP(A63,'Données projet'!$A$165:$I$185,9,0)</f>
        <v>5</v>
      </c>
      <c r="DN63" s="13">
        <f t="array" ref="DN63">INDEX(DM:DM,MIN(IF(ISNUMBER(DM63:DM259),ROW(DM63:DM259),"")))</f>
        <v>5</v>
      </c>
      <c r="DO63" s="13">
        <f>IF('Données projet'!$A$166&gt;35,DO62+DN63-DW62,IF(A63&lt;'Données projet'!$A$166,$DL$205^A63,IF(A63='Données projet'!$A$166,'Données projet'!$B$166,DO62+DN63-DW62)))</f>
        <v>257.99999999999989</v>
      </c>
      <c r="DP63" s="18">
        <f>DO63*VLOOKUP('Données projet'!$B$14,Paramètres!$A$1:$I$89,3,0)*VLOOKUP('Données projet'!$B$14,Paramètres!$A$1:$I$89,5,0)</f>
        <v>205.26479999999995</v>
      </c>
      <c r="DQ63" s="14">
        <f t="shared" si="43"/>
        <v>50.899455886133694</v>
      </c>
      <c r="DR63" s="22">
        <f t="shared" si="16"/>
        <v>446.1527456683495</v>
      </c>
      <c r="DS63" s="62">
        <f t="shared" si="17"/>
        <v>739.48607900168281</v>
      </c>
      <c r="DT63" s="62">
        <f ca="1">AVERAGE(OFFSET($DS$3,0,0,'Données projet'!$E$14+1,1))-AVERAGE(OFFSET($H$3,0,0,'Données projet'!$E$14+1,1))</f>
        <v>312.53381881960331</v>
      </c>
      <c r="DU63" s="62">
        <f t="shared" si="44"/>
        <v>342.06887933351783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25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200</v>
      </c>
      <c r="EH63" s="13">
        <f>VLOOKUP(A63,'Données projet'!$A$191:$I$211,9,0)</f>
        <v>4.8717948717948731</v>
      </c>
      <c r="EI63" s="13">
        <f t="array" ref="EI63">INDEX(EH:EH,MIN(IF(ISNUMBER(EH63:EH259),ROW(EH63:EH259),"")))</f>
        <v>4.8717948717948731</v>
      </c>
      <c r="EJ63" s="13">
        <f>IF('Données projet'!$A$192&gt;35,EJ62+EI63-ER62,IF(A63&lt;'Données projet'!$A$192,$EG$205^A63,IF(A63='Données projet'!$A$192,'Données projet'!$B$192,EJ62+EI63-ER62)))</f>
        <v>199.99999999999991</v>
      </c>
      <c r="EK63" s="18">
        <f>EJ63*VLOOKUP('Données projet'!$B$15,Paramètres!$A$1:$I$89,3,0)*VLOOKUP('Données projet'!$B$15,Paramètres!$A$1:$I$89,5,0)</f>
        <v>190.31999999999991</v>
      </c>
      <c r="EL63" s="14">
        <f t="shared" si="45"/>
        <v>47.61069337740188</v>
      </c>
      <c r="EM63" s="22">
        <f t="shared" si="19"/>
        <v>414.39595763230813</v>
      </c>
      <c r="EN63" s="62">
        <f t="shared" si="20"/>
        <v>707.72929096564144</v>
      </c>
      <c r="EO63" s="62">
        <f ca="1">AVERAGE(OFFSET($EN$3,0,0,'Données projet'!$E$15+1,1))-AVERAGE(OFFSET($H$3,0,0,'Données projet'!$E$15+1,1))</f>
        <v>363.37916970915211</v>
      </c>
      <c r="EP63" s="62">
        <f t="shared" si="46"/>
        <v>281.52963027844595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29.487179487179485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10.984615384615381</v>
      </c>
      <c r="FE63" s="13">
        <f>IF('Données projet'!$A$218&gt;35,FE62+FD63-FM62,IF(A63&lt;'Données projet'!$A$218,$FB$205^A63,IF(A63='Données projet'!$A$218,'Données projet'!$B$218,FE62+FD63-FM62)))</f>
        <v>317.73846153846137</v>
      </c>
      <c r="FF63" s="18">
        <f>FE63*VLOOKUP('Données projet'!$B$16,Paramètres!$A$1:$I$89,3,0)*VLOOKUP('Données projet'!$B$16,Paramètres!$A$1:$I$89,5,0)</f>
        <v>148.70159999999993</v>
      </c>
      <c r="FG63" s="14">
        <f t="shared" si="47"/>
        <v>38.283370432550541</v>
      </c>
      <c r="FH63" s="22">
        <f t="shared" si="22"/>
        <v>325.66549017002541</v>
      </c>
      <c r="FI63" s="62">
        <f t="shared" si="23"/>
        <v>618.99882350335872</v>
      </c>
      <c r="FJ63" s="62">
        <f ca="1">AVERAGE(OFFSET($FI$3,0,0,'Données projet'!$E$16+1,1))-AVERAGE(OFFSET($H$3,0,0,'Données projet'!$E$16+1,1))</f>
        <v>245.47494516762282</v>
      </c>
      <c r="FK63" s="62">
        <f t="shared" si="48"/>
        <v>145.54897745089966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235</v>
      </c>
      <c r="FX63" s="13">
        <f>VLOOKUP(A63,'Données projet'!$A$243:$I$263,9,0)</f>
        <v>7.6</v>
      </c>
      <c r="FY63" s="13">
        <f t="array" ref="FY63">INDEX(FX:FX,MIN(IF(ISNUMBER(FX63:FX259),ROW(FX63:FX259),"")))</f>
        <v>7.6</v>
      </c>
      <c r="FZ63" s="13">
        <f>IF('Données projet'!$A$244&gt;35,FZ62+FY63-GH62,IF(A63&lt;'Données projet'!$A$244,$FW$205^A63,IF(A63='Données projet'!$A$244,'Données projet'!$B$244,FZ62+FY63-GH62)))</f>
        <v>234.99999999999997</v>
      </c>
      <c r="GA63" s="18">
        <f>FZ63*VLOOKUP('Données projet'!$B$17,Paramètres!$A$1:$I$89,3,0)*VLOOKUP('Données projet'!$B$17,Paramètres!$A$1:$I$89,5,0)</f>
        <v>227.292</v>
      </c>
      <c r="GB63" s="14">
        <f t="shared" si="49"/>
        <v>55.6967456174837</v>
      </c>
      <c r="GC63" s="22">
        <f t="shared" si="25"/>
        <v>492.87206528378402</v>
      </c>
      <c r="GD63" s="62">
        <f t="shared" si="26"/>
        <v>786.20539861711734</v>
      </c>
      <c r="GE63" s="62">
        <f ca="1">AVERAGE(OFFSET($GD$3,0,0,'Données projet'!$E$17+1,1))-AVERAGE(OFFSET($H$3,0,0,'Données projet'!$E$17+1,1))</f>
        <v>455.50822833641354</v>
      </c>
      <c r="GF63" s="62">
        <f t="shared" si="50"/>
        <v>261.14722581688039</v>
      </c>
      <c r="GG63" s="16">
        <f>IF(ISNA(VLOOKUP(A63,'Données projet'!$A$243:$I$263,3,0)),0,VLOOKUP(A63,'Données projet'!$A$243:$I$263,3,0))</f>
        <v>4</v>
      </c>
      <c r="GH63" s="16">
        <f>IF(ISNA(VLOOKUP(A63,'Données projet'!$A$243:$I$263,4,0)),0,VLOOKUP(A63,'Données projet'!$A$243:$I$263,4,0))</f>
        <v>42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projet'!$A$269:$I$289,2,0)</f>
        <v>244.87179487179486</v>
      </c>
      <c r="GS63" s="13">
        <f>VLOOKUP(A63,'Données projet'!$A$269:$I$289,9,0)</f>
        <v>5.3846153846153868</v>
      </c>
      <c r="GT63" s="13">
        <f t="array" ref="GT63">INDEX(GS:GS,MIN(IF(ISNUMBER(GS63:GS259),ROW(GS63:GS259),"")))</f>
        <v>5.3846153846153868</v>
      </c>
      <c r="GU63" s="13">
        <f>IF('Données projet'!$A$270&gt;35,GU62+GT63-HC62,IF(A63&lt;'Données projet'!$A$270,$GR$205^A63,IF(A63='Données projet'!$A$270,'Données projet'!$B$270,GU62+GT63-HC62)))</f>
        <v>244.87179487179489</v>
      </c>
      <c r="GV63" s="18">
        <f>GU63*VLOOKUP('Données projet'!$B$18,Paramètres!$A$1:$I$89,3,0)*VLOOKUP('Données projet'!$B$18,Paramètres!$A$1:$I$89,5,0)</f>
        <v>164.26000000000002</v>
      </c>
      <c r="GW63" s="14">
        <f t="shared" si="51"/>
        <v>41.801895928887475</v>
      </c>
      <c r="GX63" s="22">
        <f t="shared" si="28"/>
        <v>358.89113540947909</v>
      </c>
      <c r="GY63" s="62">
        <f t="shared" si="29"/>
        <v>652.22446874281241</v>
      </c>
      <c r="GZ63" s="62">
        <f ca="1">AVERAGE(OFFSET($GY$3,0,0,'Données projet'!$E$18+1,1))-AVERAGE(OFFSET($H$3,0,0,'Données projet'!$E$18+1,1))</f>
        <v>312.06797204903796</v>
      </c>
      <c r="HA63" s="62">
        <f t="shared" si="52"/>
        <v>258.20189001775151</v>
      </c>
      <c r="HB63" s="16">
        <f>IF(ISNA(VLOOKUP(A63,'Données projet'!$A$269:$I$289,3,0)),0,VLOOKUP(A63,'Données projet'!$A$269:$I$289,3,0))</f>
        <v>5</v>
      </c>
      <c r="HC63" s="16">
        <f>IF(ISNA(VLOOKUP(A63,'Données projet'!$A$269:$I$289,4,0)),0,VLOOKUP(A63,'Données projet'!$A$269:$I$289,4,0))</f>
        <v>30.128205128205128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projet'!$B$18,Paramètres!$A$1:$I$89,3,0)*0.475*44/12</f>
        <v>0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0</v>
      </c>
    </row>
    <row r="64" spans="1:218" s="5" customFormat="1" x14ac:dyDescent="0.25">
      <c r="A64" s="11">
        <f t="shared" si="31"/>
        <v>61</v>
      </c>
      <c r="B64" s="76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9">
        <f t="shared" si="1"/>
        <v>256.66666666666669</v>
      </c>
      <c r="I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14.839560439560435</v>
      </c>
      <c r="N64" s="14">
        <f>IF('Données projet'!$A$36&gt;35,N63+M64-V63,IF(A64&lt;'Données projet'!$A$36,$K$205^A64,IF(A64='Données projet'!$A$36,'Données projet'!$B$36,N63+M64-V63)))</f>
        <v>426.03626373626378</v>
      </c>
      <c r="O64" s="14">
        <f>N64*VLOOKUP('Données projet'!$B$9,Paramètres!$A$1:$I$89,3,0)*VLOOKUP('Données projet'!$B$9,Paramètres!$A$1:$I$89,5,0)</f>
        <v>238.15427142857146</v>
      </c>
      <c r="P64" s="14">
        <f t="shared" si="33"/>
        <v>58.042234732541061</v>
      </c>
      <c r="Q64" s="22">
        <f t="shared" si="53"/>
        <v>515.87558156393777</v>
      </c>
      <c r="R64" s="62">
        <f t="shared" si="0"/>
        <v>809.20891489727114</v>
      </c>
      <c r="S64" s="62">
        <f ca="1">AVERAGE(OFFSET($R$3,0,0,'Données projet'!$E$9+1,1))-AVERAGE(OFFSET($H$3,0,0,'Données projet'!$E$9+1,1))</f>
        <v>323.98185264074681</v>
      </c>
      <c r="T64" s="62">
        <f t="shared" si="34"/>
        <v>301.22207291854005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2.4150951338631703</v>
      </c>
      <c r="AA64" s="23">
        <f>EXP(-LN(2)/25)*AA63+(1-EXP(-LN(2)/25))/(LN(2)/25)*Calculateur!V64*Calculateur!X64*VLOOKUP('Données projet'!$B$9,Paramètres!$A$1:$I$89,3,0)*0.475*44/12</f>
        <v>3.4916811553675591</v>
      </c>
      <c r="AB64" s="23">
        <f>EXP(-LN(2)/2)*AB63+(1-EXP(-LN(2)/2))/(LN(2)/2)*V64*Y64*VLOOKUP('Données projet'!$B$9,Paramètres!$A$1:$I$89,3,0)*0.475*44/12</f>
        <v>1.3136992612500161E-4</v>
      </c>
      <c r="AC64" s="24">
        <f t="shared" si="3"/>
        <v>5.9069076591568539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9.1830769230769249</v>
      </c>
      <c r="AI64" s="14">
        <f>IF('Données projet'!$A$62&gt;35,AI63+AH64-AQ63,IF(A64&lt;'Données projet'!$A$62,$AF$205^A64,IF(A64='Données projet'!$A$62,'Données projet'!$B$62,AI63+AH64-AQ63)))</f>
        <v>297.34461538461534</v>
      </c>
      <c r="AJ64" s="14">
        <f>AI64*VLOOKUP('Données projet'!$B$10,Paramètres!$A$1:$I$89,3,0)*VLOOKUP('Données projet'!$B$10,Paramètres!$A$1:$I$89,5,0)</f>
        <v>177.81207999999998</v>
      </c>
      <c r="AK64" s="14">
        <f t="shared" si="35"/>
        <v>44.835068353066951</v>
      </c>
      <c r="AL64" s="22">
        <f t="shared" si="4"/>
        <v>387.77711671492489</v>
      </c>
      <c r="AM64" s="62">
        <f t="shared" si="5"/>
        <v>681.11045004825814</v>
      </c>
      <c r="AN64" s="62">
        <f ca="1">AVERAGE(OFFSET($AM$3,0,0,'Données projet'!$E$10+1,1))-AVERAGE(OFFSET($H$3,0,0,'Données projet'!$E$10+1,1))</f>
        <v>289.12367833861299</v>
      </c>
      <c r="AO64" s="62">
        <f t="shared" si="36"/>
        <v>229.06617320689003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8.9485327274598428E-5</v>
      </c>
      <c r="AX64" s="23">
        <f t="shared" si="6"/>
        <v>8.9485327274598428E-5</v>
      </c>
      <c r="AY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7.2</v>
      </c>
      <c r="BD64" s="13">
        <f>IF('Données projet'!$A$88&gt;35,BD63+BC64-BL63,IF(A64&lt;'Données projet'!$A$88,$BA$205^A64,IF(A64='Données projet'!$A$88,'Données projet'!$B$88,BD63+BC64-BL63)))</f>
        <v>200.19999999999996</v>
      </c>
      <c r="BE64" s="14">
        <f>BD64*VLOOKUP('Données projet'!$B$11,Paramètres!$A$1:$I$89,3,0)*VLOOKUP('Données projet'!$B$11,Paramètres!$A$1:$I$89,5,0)</f>
        <v>181.14095999999995</v>
      </c>
      <c r="BF64" s="14">
        <f t="shared" si="37"/>
        <v>45.575935320610945</v>
      </c>
      <c r="BG64" s="22">
        <f t="shared" si="7"/>
        <v>394.86525935006392</v>
      </c>
      <c r="BH64" s="62">
        <f t="shared" si="8"/>
        <v>688.19859268339724</v>
      </c>
      <c r="BI64" s="62">
        <f ca="1">AVERAGE(OFFSET($BH$3,0,0,'Données projet'!$E$11+1,1))-AVERAGE(OFFSET($H$3,0,0,'Données projet'!$E$11+1,1))</f>
        <v>428.8489304403459</v>
      </c>
      <c r="BJ64" s="62">
        <f t="shared" si="38"/>
        <v>247.01165577562966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4.4000000000000004</v>
      </c>
      <c r="BY64" s="13">
        <f>IF('Données projet'!$A$114&gt;35,BY63+BX64-CG63,IF(A64&lt;'Données projet'!$A$114,$BV$205^A64,IF(A64='Données projet'!$A$114,'Données projet'!$B$114,BY63+BX64-CG63)))</f>
        <v>237.39999999999986</v>
      </c>
      <c r="BZ64" s="14">
        <f>BY64*VLOOKUP('Données projet'!$B$12,Paramètres!$A$1:$I$89,3,0)*VLOOKUP('Données projet'!$B$12,Paramètres!$A$1:$I$89,5,0)</f>
        <v>174.06167999999991</v>
      </c>
      <c r="CA64" s="14">
        <f t="shared" si="39"/>
        <v>43.998450960214953</v>
      </c>
      <c r="CB64" s="22">
        <f t="shared" si="10"/>
        <v>379.78806142237414</v>
      </c>
      <c r="CC64" s="62">
        <f t="shared" si="11"/>
        <v>673.12139475570746</v>
      </c>
      <c r="CD64" s="62">
        <f ca="1">AVERAGE(OFFSET($CC$3,0,0,'Données projet'!$E$12+1,1))-AVERAGE(OFFSET($H$3,0,0,'Données projet'!$E$12+1,1))</f>
        <v>290.85271051443431</v>
      </c>
      <c r="CE64" s="62">
        <f t="shared" si="40"/>
        <v>318.66958823451142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8.6666666666666661</v>
      </c>
      <c r="CT64" s="13">
        <f>IF('Données projet'!$A$140&gt;35,CT63+CS64-DB63,IF(A64&lt;'Données projet'!$A$140,$CQ$205^A64,IF(A64='Données projet'!$A$140,'Données projet'!$B$140,CT63+CS64-DB63)))</f>
        <v>258.66666666666663</v>
      </c>
      <c r="CU64" s="18">
        <f>CT64*VLOOKUP('Données projet'!$B$13,Paramètres!$A$1:$I$89,3,0)*VLOOKUP('Données projet'!$B$13,Paramètres!$A$1:$I$89,5,0)</f>
        <v>201.76</v>
      </c>
      <c r="CV64" s="14">
        <f t="shared" si="41"/>
        <v>50.130765000424212</v>
      </c>
      <c r="CW64" s="22">
        <f t="shared" si="13"/>
        <v>438.70974904240546</v>
      </c>
      <c r="CX64" s="62">
        <f t="shared" si="14"/>
        <v>732.04308237573878</v>
      </c>
      <c r="CY64" s="62">
        <f ca="1">AVERAGE(OFFSET($CX$3,0,0,'Données projet'!$E$13+1,1))-AVERAGE(OFFSET($H$3,0,0,'Données projet'!$E$13+1,1))</f>
        <v>292.57482726862594</v>
      </c>
      <c r="CZ64" s="62">
        <f t="shared" si="42"/>
        <v>283.48738729114024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4.4000000000000004</v>
      </c>
      <c r="DO64" s="13">
        <f>IF('Données projet'!$A$166&gt;35,DO63+DN64-DW63,IF(A64&lt;'Données projet'!$A$166,$DL$205^A64,IF(A64='Données projet'!$A$166,'Données projet'!$B$166,DO63+DN64-DW63)))</f>
        <v>237.39999999999986</v>
      </c>
      <c r="DP64" s="18">
        <f>DO64*VLOOKUP('Données projet'!$B$14,Paramètres!$A$1:$I$89,3,0)*VLOOKUP('Données projet'!$B$14,Paramètres!$A$1:$I$89,5,0)</f>
        <v>188.87543999999988</v>
      </c>
      <c r="DQ64" s="14">
        <f t="shared" si="43"/>
        <v>47.291242769027726</v>
      </c>
      <c r="DR64" s="22">
        <f t="shared" si="16"/>
        <v>411.32363915605634</v>
      </c>
      <c r="DS64" s="62">
        <f t="shared" si="17"/>
        <v>704.65697248938966</v>
      </c>
      <c r="DT64" s="62">
        <f ca="1">AVERAGE(OFFSET($DS$3,0,0,'Données projet'!$E$14+1,1))-AVERAGE(OFFSET($H$3,0,0,'Données projet'!$E$14+1,1))</f>
        <v>312.53381881960331</v>
      </c>
      <c r="DU64" s="62">
        <f t="shared" si="44"/>
        <v>342.06887933351783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4.6153846153846132</v>
      </c>
      <c r="EJ64" s="13">
        <f>IF('Données projet'!$A$192&gt;35,EJ63+EI64-ER63,IF(A64&lt;'Données projet'!$A$192,$EG$205^A64,IF(A64='Données projet'!$A$192,'Données projet'!$B$192,EJ63+EI64-ER63)))</f>
        <v>175.12820512820505</v>
      </c>
      <c r="EK64" s="18">
        <f>EJ64*VLOOKUP('Données projet'!$B$15,Paramètres!$A$1:$I$89,3,0)*VLOOKUP('Données projet'!$B$15,Paramètres!$A$1:$I$89,5,0)</f>
        <v>166.65199999999993</v>
      </c>
      <c r="EL64" s="14">
        <f t="shared" si="45"/>
        <v>42.339317127801309</v>
      </c>
      <c r="EM64" s="22">
        <f t="shared" si="19"/>
        <v>363.99321066425381</v>
      </c>
      <c r="EN64" s="62">
        <f t="shared" si="20"/>
        <v>657.32654399758712</v>
      </c>
      <c r="EO64" s="62">
        <f ca="1">AVERAGE(OFFSET($EN$3,0,0,'Données projet'!$E$15+1,1))-AVERAGE(OFFSET($H$3,0,0,'Données projet'!$E$15+1,1))</f>
        <v>363.37916970915211</v>
      </c>
      <c r="EP64" s="62">
        <f t="shared" si="46"/>
        <v>281.52963027844595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10.984615384615381</v>
      </c>
      <c r="FE64" s="13">
        <f>IF('Données projet'!$A$218&gt;35,FE63+FD64-FM63,IF(A64&lt;'Données projet'!$A$218,$FB$205^A64,IF(A64='Données projet'!$A$218,'Données projet'!$B$218,FE63+FD64-FM63)))</f>
        <v>328.72307692307675</v>
      </c>
      <c r="FF64" s="18">
        <f>FE64*VLOOKUP('Données projet'!$B$16,Paramètres!$A$1:$I$89,3,0)*VLOOKUP('Données projet'!$B$16,Paramètres!$A$1:$I$89,5,0)</f>
        <v>153.84239999999991</v>
      </c>
      <c r="FG64" s="14">
        <f t="shared" si="47"/>
        <v>39.450495242764717</v>
      </c>
      <c r="FH64" s="22">
        <f t="shared" si="22"/>
        <v>336.65179254781509</v>
      </c>
      <c r="FI64" s="62">
        <f t="shared" si="23"/>
        <v>629.98512588114841</v>
      </c>
      <c r="FJ64" s="62">
        <f ca="1">AVERAGE(OFFSET($FI$3,0,0,'Données projet'!$E$16+1,1))-AVERAGE(OFFSET($H$3,0,0,'Données projet'!$E$16+1,1))</f>
        <v>245.47494516762282</v>
      </c>
      <c r="FK64" s="62">
        <f t="shared" si="48"/>
        <v>145.54897745089966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7.2</v>
      </c>
      <c r="FZ64" s="13">
        <f>IF('Données projet'!$A$244&gt;35,FZ63+FY64-GH63,IF(A64&lt;'Données projet'!$A$244,$FW$205^A64,IF(A64='Données projet'!$A$244,'Données projet'!$B$244,FZ63+FY64-GH63)))</f>
        <v>200.19999999999996</v>
      </c>
      <c r="GA64" s="18">
        <f>FZ64*VLOOKUP('Données projet'!$B$17,Paramètres!$A$1:$I$89,3,0)*VLOOKUP('Données projet'!$B$17,Paramètres!$A$1:$I$89,5,0)</f>
        <v>193.63343999999998</v>
      </c>
      <c r="GB64" s="14">
        <f t="shared" si="49"/>
        <v>48.342367086681229</v>
      </c>
      <c r="GC64" s="22">
        <f t="shared" si="25"/>
        <v>421.44119734263637</v>
      </c>
      <c r="GD64" s="62">
        <f t="shared" si="26"/>
        <v>714.77453067596969</v>
      </c>
      <c r="GE64" s="62">
        <f ca="1">AVERAGE(OFFSET($GD$3,0,0,'Données projet'!$E$17+1,1))-AVERAGE(OFFSET($H$3,0,0,'Données projet'!$E$17+1,1))</f>
        <v>455.50822833641354</v>
      </c>
      <c r="GF64" s="62">
        <f t="shared" si="50"/>
        <v>261.14722581688039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5.1282051282051331</v>
      </c>
      <c r="GU64" s="13">
        <f>IF('Données projet'!$A$270&gt;35,GU63+GT64-HC63,IF(A64&lt;'Données projet'!$A$270,$GR$205^A64,IF(A64='Données projet'!$A$270,'Données projet'!$B$270,GU63+GT64-HC63)))</f>
        <v>219.87179487179489</v>
      </c>
      <c r="GV64" s="18">
        <f>GU64*VLOOKUP('Données projet'!$B$18,Paramètres!$A$1:$I$89,3,0)*VLOOKUP('Données projet'!$B$18,Paramètres!$A$1:$I$89,5,0)</f>
        <v>147.49</v>
      </c>
      <c r="GW64" s="14">
        <f t="shared" si="51"/>
        <v>38.007620116459833</v>
      </c>
      <c r="GX64" s="22">
        <f t="shared" si="28"/>
        <v>323.07502170283419</v>
      </c>
      <c r="GY64" s="62">
        <f t="shared" si="29"/>
        <v>616.40835503616745</v>
      </c>
      <c r="GZ64" s="62">
        <f ca="1">AVERAGE(OFFSET($GY$3,0,0,'Données projet'!$E$18+1,1))-AVERAGE(OFFSET($H$3,0,0,'Données projet'!$E$18+1,1))</f>
        <v>312.06797204903796</v>
      </c>
      <c r="HA64" s="62">
        <f t="shared" si="52"/>
        <v>258.20189001775151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projet'!$B$18,Paramètres!$A$1:$I$89,3,0)*0.475*44/12</f>
        <v>0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0</v>
      </c>
    </row>
    <row r="65" spans="1:218" s="5" customFormat="1" x14ac:dyDescent="0.25">
      <c r="A65" s="11">
        <f t="shared" si="31"/>
        <v>62</v>
      </c>
      <c r="B65" s="76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9">
        <f t="shared" si="1"/>
        <v>256.66666666666669</v>
      </c>
      <c r="I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14.839560439560435</v>
      </c>
      <c r="N65" s="14">
        <f>IF('Données projet'!$A$36&gt;35,N64+M65-V64,IF(A65&lt;'Données projet'!$A$36,$K$205^A65,IF(A65='Données projet'!$A$36,'Données projet'!$B$36,N64+M65-V64)))</f>
        <v>440.87582417582422</v>
      </c>
      <c r="O65" s="14">
        <f>N65*VLOOKUP('Données projet'!$B$9,Paramètres!$A$1:$I$89,3,0)*VLOOKUP('Données projet'!$B$9,Paramètres!$A$1:$I$89,5,0)</f>
        <v>246.44958571428575</v>
      </c>
      <c r="P65" s="14">
        <f t="shared" si="33"/>
        <v>59.825041333918982</v>
      </c>
      <c r="Q65" s="22">
        <f t="shared" si="53"/>
        <v>533.42830877562324</v>
      </c>
      <c r="R65" s="62">
        <f t="shared" si="0"/>
        <v>826.76164210895649</v>
      </c>
      <c r="S65" s="62">
        <f ca="1">AVERAGE(OFFSET($R$3,0,0,'Données projet'!$E$9+1,1))-AVERAGE(OFFSET($H$3,0,0,'Données projet'!$E$9+1,1))</f>
        <v>323.98185264074681</v>
      </c>
      <c r="T65" s="62">
        <f t="shared" si="34"/>
        <v>301.22207291854005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2.3677365913506923</v>
      </c>
      <c r="AA65" s="23">
        <f>EXP(-LN(2)/25)*AA64+(1-EXP(-LN(2)/25))/(LN(2)/25)*Calculateur!V65*Calculateur!X65*VLOOKUP('Données projet'!$B$9,Paramètres!$A$1:$I$89,3,0)*0.475*44/12</f>
        <v>3.3962009505545017</v>
      </c>
      <c r="AB65" s="23">
        <f>EXP(-LN(2)/2)*AB64+(1-EXP(-LN(2)/2))/(LN(2)/2)*V65*Y65*VLOOKUP('Données projet'!$B$9,Paramètres!$A$1:$I$89,3,0)*0.475*44/12</f>
        <v>9.2892565606964426E-5</v>
      </c>
      <c r="AC65" s="24">
        <f t="shared" si="3"/>
        <v>5.7640304344708007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9.1830769230769249</v>
      </c>
      <c r="AI65" s="14">
        <f>IF('Données projet'!$A$62&gt;35,AI64+AH65-AQ64,IF(A65&lt;'Données projet'!$A$62,$AF$205^A65,IF(A65='Données projet'!$A$62,'Données projet'!$B$62,AI64+AH65-AQ64)))</f>
        <v>306.52769230769229</v>
      </c>
      <c r="AJ65" s="14">
        <f>AI65*VLOOKUP('Données projet'!$B$10,Paramètres!$A$1:$I$89,3,0)*VLOOKUP('Données projet'!$B$10,Paramètres!$A$1:$I$89,5,0)</f>
        <v>183.30356</v>
      </c>
      <c r="AK65" s="14">
        <f t="shared" si="35"/>
        <v>46.056387641494027</v>
      </c>
      <c r="AL65" s="22">
        <f t="shared" si="4"/>
        <v>399.46857547560211</v>
      </c>
      <c r="AM65" s="62">
        <f t="shared" si="5"/>
        <v>692.80190880893542</v>
      </c>
      <c r="AN65" s="62">
        <f ca="1">AVERAGE(OFFSET($AM$3,0,0,'Données projet'!$E$10+1,1))-AVERAGE(OFFSET($H$3,0,0,'Données projet'!$E$10+1,1))</f>
        <v>289.12367833861299</v>
      </c>
      <c r="AO65" s="62">
        <f t="shared" si="36"/>
        <v>229.06617320689003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6.3275681732566063E-5</v>
      </c>
      <c r="AX65" s="23">
        <f t="shared" si="6"/>
        <v>6.3275681732566063E-5</v>
      </c>
      <c r="AY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7.2</v>
      </c>
      <c r="BD65" s="13">
        <f>IF('Données projet'!$A$88&gt;35,BD64+BC65-BL64,IF(A65&lt;'Données projet'!$A$88,$BA$205^A65,IF(A65='Données projet'!$A$88,'Données projet'!$B$88,BD64+BC65-BL64)))</f>
        <v>207.39999999999995</v>
      </c>
      <c r="BE65" s="14">
        <f>BD65*VLOOKUP('Données projet'!$B$11,Paramètres!$A$1:$I$89,3,0)*VLOOKUP('Données projet'!$B$11,Paramètres!$A$1:$I$89,5,0)</f>
        <v>187.65551999999994</v>
      </c>
      <c r="BF65" s="14">
        <f t="shared" si="37"/>
        <v>47.021247649900147</v>
      </c>
      <c r="BG65" s="22">
        <f t="shared" si="7"/>
        <v>408.72870365690932</v>
      </c>
      <c r="BH65" s="62">
        <f t="shared" si="8"/>
        <v>702.06203699024263</v>
      </c>
      <c r="BI65" s="62">
        <f ca="1">AVERAGE(OFFSET($BH$3,0,0,'Données projet'!$E$11+1,1))-AVERAGE(OFFSET($H$3,0,0,'Données projet'!$E$11+1,1))</f>
        <v>428.8489304403459</v>
      </c>
      <c r="BJ65" s="62">
        <f t="shared" si="38"/>
        <v>247.01165577562966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4.4000000000000004</v>
      </c>
      <c r="BY65" s="13">
        <f>IF('Données projet'!$A$114&gt;35,BY64+BX65-CG64,IF(A65&lt;'Données projet'!$A$114,$BV$205^A65,IF(A65='Données projet'!$A$114,'Données projet'!$B$114,BY64+BX65-CG64)))</f>
        <v>241.79999999999987</v>
      </c>
      <c r="BZ65" s="14">
        <f>BY65*VLOOKUP('Données projet'!$B$12,Paramètres!$A$1:$I$89,3,0)*VLOOKUP('Données projet'!$B$12,Paramètres!$A$1:$I$89,5,0)</f>
        <v>177.28775999999991</v>
      </c>
      <c r="CA65" s="14">
        <f t="shared" si="39"/>
        <v>44.718230568721658</v>
      </c>
      <c r="CB65" s="22">
        <f t="shared" si="10"/>
        <v>386.66043357385666</v>
      </c>
      <c r="CC65" s="62">
        <f t="shared" si="11"/>
        <v>679.99376690718998</v>
      </c>
      <c r="CD65" s="62">
        <f ca="1">AVERAGE(OFFSET($CC$3,0,0,'Données projet'!$E$12+1,1))-AVERAGE(OFFSET($H$3,0,0,'Données projet'!$E$12+1,1))</f>
        <v>290.85271051443431</v>
      </c>
      <c r="CE65" s="62">
        <f t="shared" si="40"/>
        <v>318.66958823451142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8.6666666666666661</v>
      </c>
      <c r="CT65" s="13">
        <f>IF('Données projet'!$A$140&gt;35,CT64+CS65-DB64,IF(A65&lt;'Données projet'!$A$140,$CQ$205^A65,IF(A65='Données projet'!$A$140,'Données projet'!$B$140,CT64+CS65-DB64)))</f>
        <v>267.33333333333331</v>
      </c>
      <c r="CU65" s="18">
        <f>CT65*VLOOKUP('Données projet'!$B$13,Paramètres!$A$1:$I$89,3,0)*VLOOKUP('Données projet'!$B$13,Paramètres!$A$1:$I$89,5,0)</f>
        <v>208.51999999999998</v>
      </c>
      <c r="CV65" s="14">
        <f t="shared" si="41"/>
        <v>51.612035456318509</v>
      </c>
      <c r="CW65" s="22">
        <f t="shared" si="13"/>
        <v>453.06329508642131</v>
      </c>
      <c r="CX65" s="62">
        <f t="shared" si="14"/>
        <v>746.39662841975462</v>
      </c>
      <c r="CY65" s="62">
        <f ca="1">AVERAGE(OFFSET($CX$3,0,0,'Données projet'!$E$13+1,1))-AVERAGE(OFFSET($H$3,0,0,'Données projet'!$E$13+1,1))</f>
        <v>292.57482726862594</v>
      </c>
      <c r="CZ65" s="62">
        <f t="shared" si="42"/>
        <v>283.48738729114024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4.4000000000000004</v>
      </c>
      <c r="DO65" s="13">
        <f>IF('Données projet'!$A$166&gt;35,DO64+DN65-DW64,IF(A65&lt;'Données projet'!$A$166,$DL$205^A65,IF(A65='Données projet'!$A$166,'Données projet'!$B$166,DO64+DN65-DW64)))</f>
        <v>241.79999999999987</v>
      </c>
      <c r="DP65" s="18">
        <f>DO65*VLOOKUP('Données projet'!$B$14,Paramètres!$A$1:$I$89,3,0)*VLOOKUP('Données projet'!$B$14,Paramètres!$A$1:$I$89,5,0)</f>
        <v>192.37607999999992</v>
      </c>
      <c r="DQ65" s="14">
        <f t="shared" si="43"/>
        <v>48.064889828485896</v>
      </c>
      <c r="DR65" s="22">
        <f t="shared" si="16"/>
        <v>418.76802245127942</v>
      </c>
      <c r="DS65" s="62">
        <f t="shared" si="17"/>
        <v>712.10135578461268</v>
      </c>
      <c r="DT65" s="62">
        <f ca="1">AVERAGE(OFFSET($DS$3,0,0,'Données projet'!$E$14+1,1))-AVERAGE(OFFSET($H$3,0,0,'Données projet'!$E$14+1,1))</f>
        <v>312.53381881960331</v>
      </c>
      <c r="DU65" s="62">
        <f t="shared" si="44"/>
        <v>342.06887933351783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4.6153846153846132</v>
      </c>
      <c r="EJ65" s="13">
        <f>IF('Données projet'!$A$192&gt;35,EJ64+EI65-ER64,IF(A65&lt;'Données projet'!$A$192,$EG$205^A65,IF(A65='Données projet'!$A$192,'Données projet'!$B$192,EJ64+EI65-ER64)))</f>
        <v>179.74358974358967</v>
      </c>
      <c r="EK65" s="18">
        <f>EJ65*VLOOKUP('Données projet'!$B$15,Paramètres!$A$1:$I$89,3,0)*VLOOKUP('Données projet'!$B$15,Paramètres!$A$1:$I$89,5,0)</f>
        <v>171.04399999999993</v>
      </c>
      <c r="EL65" s="14">
        <f t="shared" si="45"/>
        <v>43.32376147477413</v>
      </c>
      <c r="EM65" s="22">
        <f t="shared" si="19"/>
        <v>373.35718456856483</v>
      </c>
      <c r="EN65" s="62">
        <f t="shared" si="20"/>
        <v>666.69051790189815</v>
      </c>
      <c r="EO65" s="62">
        <f ca="1">AVERAGE(OFFSET($EN$3,0,0,'Données projet'!$E$15+1,1))-AVERAGE(OFFSET($H$3,0,0,'Données projet'!$E$15+1,1))</f>
        <v>363.37916970915211</v>
      </c>
      <c r="EP65" s="62">
        <f t="shared" si="46"/>
        <v>281.52963027844595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10.984615384615381</v>
      </c>
      <c r="FE65" s="13">
        <f>IF('Données projet'!$A$218&gt;35,FE64+FD65-FM64,IF(A65&lt;'Données projet'!$A$218,$FB$205^A65,IF(A65='Données projet'!$A$218,'Données projet'!$B$218,FE64+FD65-FM64)))</f>
        <v>339.70769230769213</v>
      </c>
      <c r="FF65" s="18">
        <f>FE65*VLOOKUP('Données projet'!$B$16,Paramètres!$A$1:$I$89,3,0)*VLOOKUP('Données projet'!$B$16,Paramètres!$A$1:$I$89,5,0)</f>
        <v>158.98319999999993</v>
      </c>
      <c r="FG65" s="14">
        <f t="shared" si="47"/>
        <v>40.613088302497808</v>
      </c>
      <c r="FH65" s="22">
        <f t="shared" si="22"/>
        <v>347.63020212685018</v>
      </c>
      <c r="FI65" s="62">
        <f t="shared" si="23"/>
        <v>640.96353546018349</v>
      </c>
      <c r="FJ65" s="62">
        <f ca="1">AVERAGE(OFFSET($FI$3,0,0,'Données projet'!$E$16+1,1))-AVERAGE(OFFSET($H$3,0,0,'Données projet'!$E$16+1,1))</f>
        <v>245.47494516762282</v>
      </c>
      <c r="FK65" s="62">
        <f t="shared" si="48"/>
        <v>145.54897745089966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7.2</v>
      </c>
      <c r="FZ65" s="13">
        <f>IF('Données projet'!$A$244&gt;35,FZ64+FY65-GH64,IF(A65&lt;'Données projet'!$A$244,$FW$205^A65,IF(A65='Données projet'!$A$244,'Données projet'!$B$244,FZ64+FY65-GH64)))</f>
        <v>207.39999999999995</v>
      </c>
      <c r="GA65" s="18">
        <f>FZ65*VLOOKUP('Données projet'!$B$17,Paramètres!$A$1:$I$89,3,0)*VLOOKUP('Données projet'!$B$17,Paramètres!$A$1:$I$89,5,0)</f>
        <v>200.59727999999996</v>
      </c>
      <c r="GB65" s="14">
        <f t="shared" si="49"/>
        <v>49.875409002022977</v>
      </c>
      <c r="GC65" s="22">
        <f t="shared" si="25"/>
        <v>436.23993334518991</v>
      </c>
      <c r="GD65" s="62">
        <f t="shared" si="26"/>
        <v>729.57326667852317</v>
      </c>
      <c r="GE65" s="62">
        <f ca="1">AVERAGE(OFFSET($GD$3,0,0,'Données projet'!$E$17+1,1))-AVERAGE(OFFSET($H$3,0,0,'Données projet'!$E$17+1,1))</f>
        <v>455.50822833641354</v>
      </c>
      <c r="GF65" s="62">
        <f t="shared" si="50"/>
        <v>261.14722581688039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5.1282051282051331</v>
      </c>
      <c r="GU65" s="13">
        <f>IF('Données projet'!$A$270&gt;35,GU64+GT65-HC64,IF(A65&lt;'Données projet'!$A$270,$GR$205^A65,IF(A65='Données projet'!$A$270,'Données projet'!$B$270,GU64+GT65-HC64)))</f>
        <v>225.00000000000003</v>
      </c>
      <c r="GV65" s="18">
        <f>GU65*VLOOKUP('Données projet'!$B$18,Paramètres!$A$1:$I$89,3,0)*VLOOKUP('Données projet'!$B$18,Paramètres!$A$1:$I$89,5,0)</f>
        <v>150.93000000000004</v>
      </c>
      <c r="GW65" s="14">
        <f t="shared" si="51"/>
        <v>38.789855371379076</v>
      </c>
      <c r="GX65" s="22">
        <f t="shared" si="28"/>
        <v>330.42874810515195</v>
      </c>
      <c r="GY65" s="62">
        <f t="shared" si="29"/>
        <v>623.76208143848521</v>
      </c>
      <c r="GZ65" s="62">
        <f ca="1">AVERAGE(OFFSET($GY$3,0,0,'Données projet'!$E$18+1,1))-AVERAGE(OFFSET($H$3,0,0,'Données projet'!$E$18+1,1))</f>
        <v>312.06797204903796</v>
      </c>
      <c r="HA65" s="62">
        <f t="shared" si="52"/>
        <v>258.20189001775151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projet'!$B$18,Paramètres!$A$1:$I$89,3,0)*0.475*44/12</f>
        <v>0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0</v>
      </c>
    </row>
    <row r="66" spans="1:218" s="5" customFormat="1" x14ac:dyDescent="0.25">
      <c r="A66" s="11">
        <f t="shared" si="31"/>
        <v>63</v>
      </c>
      <c r="B66" s="76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9">
        <f t="shared" si="1"/>
        <v>256.66666666666669</v>
      </c>
      <c r="I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>
        <f>VLOOKUP(A66,'Données projet'!$A$35:$I$55,2,0)</f>
        <v>455.71538461538455</v>
      </c>
      <c r="L66" s="13">
        <f>VLOOKUP(A66,'Données projet'!$A$35:$I$55,9,0)</f>
        <v>14.839560439560435</v>
      </c>
      <c r="M66" s="13">
        <f t="array" ref="M66">INDEX(L:L,MIN(IF(ISNUMBER(L66:L262),ROW(L66:L262),"")))</f>
        <v>14.839560439560435</v>
      </c>
      <c r="N66" s="14">
        <f>IF('Données projet'!$A$36&gt;35,N65+M66-V65,IF(A66&lt;'Données projet'!$A$36,$K$205^A66,IF(A66='Données projet'!$A$36,'Données projet'!$B$36,N65+M66-V65)))</f>
        <v>455.71538461538466</v>
      </c>
      <c r="O66" s="14">
        <f>N66*VLOOKUP('Données projet'!$B$9,Paramètres!$A$1:$I$89,3,0)*VLOOKUP('Données projet'!$B$9,Paramètres!$A$1:$I$89,5,0)</f>
        <v>254.74490000000003</v>
      </c>
      <c r="P66" s="14">
        <f t="shared" si="33"/>
        <v>61.600875281297732</v>
      </c>
      <c r="Q66" s="22">
        <f t="shared" si="53"/>
        <v>550.96889194826019</v>
      </c>
      <c r="R66" s="62">
        <f t="shared" si="0"/>
        <v>844.30222528159356</v>
      </c>
      <c r="S66" s="62">
        <f ca="1">AVERAGE(OFFSET($R$3,0,0,'Données projet'!$E$9+1,1))-AVERAGE(OFFSET($H$3,0,0,'Données projet'!$E$9+1,1))</f>
        <v>323.98185264074681</v>
      </c>
      <c r="T66" s="62">
        <f t="shared" si="34"/>
        <v>301.22207291854005</v>
      </c>
      <c r="U66" s="16">
        <f>IF(ISNA(VLOOKUP(A66,'Données projet'!$A$35:$I$55,3,0)),0,VLOOKUP(A66,'Données projet'!$A$35:$I$55,3,0))</f>
        <v>7</v>
      </c>
      <c r="V66" s="16">
        <f>IF(ISNA(VLOOKUP(A66,'Données projet'!$A$35:$I$55,4,0)),0,VLOOKUP(A66,'Données projet'!$A$35:$I$55,4,0))</f>
        <v>79.723076923076917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2.3213067209710254</v>
      </c>
      <c r="AA66" s="23">
        <f>EXP(-LN(2)/25)*AA65+(1-EXP(-LN(2)/25))/(LN(2)/25)*Calculateur!V66*Calculateur!X66*VLOOKUP('Données projet'!$B$9,Paramètres!$A$1:$I$89,3,0)*0.475*44/12</f>
        <v>3.303331656963143</v>
      </c>
      <c r="AB66" s="23">
        <f>EXP(-LN(2)/2)*AB65+(1-EXP(-LN(2)/2))/(LN(2)/2)*V66*Y66*VLOOKUP('Données projet'!$B$9,Paramètres!$A$1:$I$89,3,0)*0.475*44/12</f>
        <v>6.5684963062500804E-5</v>
      </c>
      <c r="AC66" s="24">
        <f t="shared" si="3"/>
        <v>5.6247040628972309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9.1830769230769249</v>
      </c>
      <c r="AI66" s="14">
        <f>IF('Données projet'!$A$62&gt;35,AI65+AH66-AQ65,IF(A66&lt;'Données projet'!$A$62,$AF$205^A66,IF(A66='Données projet'!$A$62,'Données projet'!$B$62,AI65+AH66-AQ65)))</f>
        <v>315.71076923076919</v>
      </c>
      <c r="AJ66" s="14">
        <f>AI66*VLOOKUP('Données projet'!$B$10,Paramètres!$A$1:$I$89,3,0)*VLOOKUP('Données projet'!$B$10,Paramètres!$A$1:$I$89,5,0)</f>
        <v>188.79504</v>
      </c>
      <c r="AK66" s="14">
        <f t="shared" si="35"/>
        <v>47.273454743056831</v>
      </c>
      <c r="AL66" s="22">
        <f t="shared" si="4"/>
        <v>411.15262834415722</v>
      </c>
      <c r="AM66" s="62">
        <f t="shared" si="5"/>
        <v>704.48596167749054</v>
      </c>
      <c r="AN66" s="62">
        <f ca="1">AVERAGE(OFFSET($AM$3,0,0,'Données projet'!$E$10+1,1))-AVERAGE(OFFSET($H$3,0,0,'Données projet'!$E$10+1,1))</f>
        <v>289.12367833861299</v>
      </c>
      <c r="AO66" s="62">
        <f t="shared" si="36"/>
        <v>229.06617320689003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4.4742663637299214E-5</v>
      </c>
      <c r="AX66" s="23">
        <f t="shared" si="6"/>
        <v>4.4742663637299214E-5</v>
      </c>
      <c r="AY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7.2</v>
      </c>
      <c r="BD66" s="13">
        <f>IF('Données projet'!$A$88&gt;35,BD65+BC66-BL65,IF(A66&lt;'Données projet'!$A$88,$BA$205^A66,IF(A66='Données projet'!$A$88,'Données projet'!$B$88,BD65+BC66-BL65)))</f>
        <v>214.59999999999994</v>
      </c>
      <c r="BE66" s="14">
        <f>BD66*VLOOKUP('Données projet'!$B$11,Paramètres!$A$1:$I$89,3,0)*VLOOKUP('Données projet'!$B$11,Paramètres!$A$1:$I$89,5,0)</f>
        <v>194.17007999999996</v>
      </c>
      <c r="BF66" s="14">
        <f t="shared" si="37"/>
        <v>48.460730182351035</v>
      </c>
      <c r="BG66" s="22">
        <f t="shared" si="7"/>
        <v>422.5819944009279</v>
      </c>
      <c r="BH66" s="62">
        <f t="shared" si="8"/>
        <v>715.91532773426115</v>
      </c>
      <c r="BI66" s="62">
        <f ca="1">AVERAGE(OFFSET($BH$3,0,0,'Données projet'!$E$11+1,1))-AVERAGE(OFFSET($H$3,0,0,'Données projet'!$E$11+1,1))</f>
        <v>428.8489304403459</v>
      </c>
      <c r="BJ66" s="62">
        <f t="shared" si="38"/>
        <v>247.01165577562966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4.4000000000000004</v>
      </c>
      <c r="BY66" s="13">
        <f>IF('Données projet'!$A$114&gt;35,BY65+BX66-CG65,IF(A66&lt;'Données projet'!$A$114,$BV$205^A66,IF(A66='Données projet'!$A$114,'Données projet'!$B$114,BY65+BX66-CG65)))</f>
        <v>246.19999999999987</v>
      </c>
      <c r="BZ66" s="14">
        <f>BY66*VLOOKUP('Données projet'!$B$12,Paramètres!$A$1:$I$89,3,0)*VLOOKUP('Données projet'!$B$12,Paramètres!$A$1:$I$89,5,0)</f>
        <v>180.5138399999999</v>
      </c>
      <c r="CA66" s="14">
        <f t="shared" si="39"/>
        <v>45.43648712647358</v>
      </c>
      <c r="CB66" s="22">
        <f t="shared" si="10"/>
        <v>393.53015307860801</v>
      </c>
      <c r="CC66" s="62">
        <f t="shared" si="11"/>
        <v>686.86348641194127</v>
      </c>
      <c r="CD66" s="62">
        <f ca="1">AVERAGE(OFFSET($CC$3,0,0,'Données projet'!$E$12+1,1))-AVERAGE(OFFSET($H$3,0,0,'Données projet'!$E$12+1,1))</f>
        <v>290.85271051443431</v>
      </c>
      <c r="CE66" s="62">
        <f t="shared" si="40"/>
        <v>318.66958823451142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8.6666666666666661</v>
      </c>
      <c r="CT66" s="13">
        <f>IF('Données projet'!$A$140&gt;35,CT65+CS66-DB65,IF(A66&lt;'Données projet'!$A$140,$CQ$205^A66,IF(A66='Données projet'!$A$140,'Données projet'!$B$140,CT65+CS66-DB65)))</f>
        <v>276</v>
      </c>
      <c r="CU66" s="18">
        <f>CT66*VLOOKUP('Données projet'!$B$13,Paramètres!$A$1:$I$89,3,0)*VLOOKUP('Données projet'!$B$13,Paramètres!$A$1:$I$89,5,0)</f>
        <v>215.28</v>
      </c>
      <c r="CV66" s="14">
        <f t="shared" si="41"/>
        <v>53.087725740853138</v>
      </c>
      <c r="CW66" s="22">
        <f t="shared" si="13"/>
        <v>467.40712233198587</v>
      </c>
      <c r="CX66" s="62">
        <f t="shared" si="14"/>
        <v>760.74045566531913</v>
      </c>
      <c r="CY66" s="62">
        <f ca="1">AVERAGE(OFFSET($CX$3,0,0,'Données projet'!$E$13+1,1))-AVERAGE(OFFSET($H$3,0,0,'Données projet'!$E$13+1,1))</f>
        <v>292.57482726862594</v>
      </c>
      <c r="CZ66" s="62">
        <f t="shared" si="42"/>
        <v>283.48738729114024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4.4000000000000004</v>
      </c>
      <c r="DO66" s="13">
        <f>IF('Données projet'!$A$166&gt;35,DO65+DN66-DW65,IF(A66&lt;'Données projet'!$A$166,$DL$205^A66,IF(A66='Données projet'!$A$166,'Données projet'!$B$166,DO65+DN66-DW65)))</f>
        <v>246.19999999999987</v>
      </c>
      <c r="DP66" s="18">
        <f>DO66*VLOOKUP('Données projet'!$B$14,Paramètres!$A$1:$I$89,3,0)*VLOOKUP('Données projet'!$B$14,Paramètres!$A$1:$I$89,5,0)</f>
        <v>195.87671999999992</v>
      </c>
      <c r="DQ66" s="14">
        <f t="shared" si="43"/>
        <v>48.836899853879942</v>
      </c>
      <c r="DR66" s="22">
        <f t="shared" si="16"/>
        <v>426.20955457884071</v>
      </c>
      <c r="DS66" s="62">
        <f t="shared" si="17"/>
        <v>719.54288791217402</v>
      </c>
      <c r="DT66" s="62">
        <f ca="1">AVERAGE(OFFSET($DS$3,0,0,'Données projet'!$E$14+1,1))-AVERAGE(OFFSET($H$3,0,0,'Données projet'!$E$14+1,1))</f>
        <v>312.53381881960331</v>
      </c>
      <c r="DU66" s="62">
        <f t="shared" si="44"/>
        <v>342.06887933351783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4.6153846153846132</v>
      </c>
      <c r="EJ66" s="13">
        <f>IF('Données projet'!$A$192&gt;35,EJ65+EI66-ER65,IF(A66&lt;'Données projet'!$A$192,$EG$205^A66,IF(A66='Données projet'!$A$192,'Données projet'!$B$192,EJ65+EI66-ER65)))</f>
        <v>184.35897435897428</v>
      </c>
      <c r="EK66" s="18">
        <f>EJ66*VLOOKUP('Données projet'!$B$15,Paramètres!$A$1:$I$89,3,0)*VLOOKUP('Données projet'!$B$15,Paramètres!$A$1:$I$89,5,0)</f>
        <v>175.43599999999992</v>
      </c>
      <c r="EL66" s="14">
        <f t="shared" si="45"/>
        <v>44.305267494172632</v>
      </c>
      <c r="EM66" s="22">
        <f t="shared" si="19"/>
        <v>382.71604088568387</v>
      </c>
      <c r="EN66" s="62">
        <f t="shared" si="20"/>
        <v>676.04937421901718</v>
      </c>
      <c r="EO66" s="62">
        <f ca="1">AVERAGE(OFFSET($EN$3,0,0,'Données projet'!$E$15+1,1))-AVERAGE(OFFSET($H$3,0,0,'Données projet'!$E$15+1,1))</f>
        <v>363.37916970915211</v>
      </c>
      <c r="EP66" s="62">
        <f t="shared" si="46"/>
        <v>281.52963027844595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>
        <f>VLOOKUP(A66,'Données projet'!$A$217:$I$237,2,0)</f>
        <v>350.69230769230768</v>
      </c>
      <c r="FC66" s="13">
        <f>VLOOKUP(A66,'Données projet'!$A$217:$I$237,9,0)</f>
        <v>10.984615384615381</v>
      </c>
      <c r="FD66" s="13">
        <f t="array" ref="FD66">INDEX(FC:FC,MIN(IF(ISNUMBER(FC66:FC262),ROW(FC66:FC262),"")))</f>
        <v>10.984615384615381</v>
      </c>
      <c r="FE66" s="13">
        <f>IF('Données projet'!$A$218&gt;35,FE65+FD66-FM65,IF(A66&lt;'Données projet'!$A$218,$FB$205^A66,IF(A66='Données projet'!$A$218,'Données projet'!$B$218,FE65+FD66-FM65)))</f>
        <v>350.69230769230751</v>
      </c>
      <c r="FF66" s="18">
        <f>FE66*VLOOKUP('Données projet'!$B$16,Paramètres!$A$1:$I$89,3,0)*VLOOKUP('Données projet'!$B$16,Paramètres!$A$1:$I$89,5,0)</f>
        <v>164.12399999999991</v>
      </c>
      <c r="FG66" s="14">
        <f t="shared" si="47"/>
        <v>41.771312955270531</v>
      </c>
      <c r="FH66" s="22">
        <f t="shared" si="22"/>
        <v>358.60100339709601</v>
      </c>
      <c r="FI66" s="62">
        <f t="shared" si="23"/>
        <v>651.93433673042932</v>
      </c>
      <c r="FJ66" s="62">
        <f ca="1">AVERAGE(OFFSET($FI$3,0,0,'Données projet'!$E$16+1,1))-AVERAGE(OFFSET($H$3,0,0,'Données projet'!$E$16+1,1))</f>
        <v>245.47494516762282</v>
      </c>
      <c r="FK66" s="62">
        <f t="shared" si="48"/>
        <v>145.54897745089966</v>
      </c>
      <c r="FL66" s="16">
        <f>IF(ISNA(VLOOKUP(A66,'Données projet'!$A$217:$I$237,3,0)),0,VLOOKUP(A66,'Données projet'!$A$217:$I$237,3,0))</f>
        <v>2</v>
      </c>
      <c r="FM66" s="16">
        <f>IF(ISNA(VLOOKUP(A66,'Données projet'!$A$217:$I$237,4,0)),0,VLOOKUP(A66,'Données projet'!$A$217:$I$237,4,0))</f>
        <v>108.08461538461538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7.2</v>
      </c>
      <c r="FZ66" s="13">
        <f>IF('Données projet'!$A$244&gt;35,FZ65+FY66-GH65,IF(A66&lt;'Données projet'!$A$244,$FW$205^A66,IF(A66='Données projet'!$A$244,'Données projet'!$B$244,FZ65+FY66-GH65)))</f>
        <v>214.59999999999994</v>
      </c>
      <c r="GA66" s="18">
        <f>FZ66*VLOOKUP('Données projet'!$B$17,Paramètres!$A$1:$I$89,3,0)*VLOOKUP('Données projet'!$B$17,Paramètres!$A$1:$I$89,5,0)</f>
        <v>207.56111999999996</v>
      </c>
      <c r="GB66" s="14">
        <f t="shared" si="49"/>
        <v>51.40226725537714</v>
      </c>
      <c r="GC66" s="22">
        <f t="shared" si="25"/>
        <v>451.02789946978169</v>
      </c>
      <c r="GD66" s="62">
        <f t="shared" si="26"/>
        <v>744.36123280311494</v>
      </c>
      <c r="GE66" s="62">
        <f ca="1">AVERAGE(OFFSET($GD$3,0,0,'Données projet'!$E$17+1,1))-AVERAGE(OFFSET($H$3,0,0,'Données projet'!$E$17+1,1))</f>
        <v>455.50822833641354</v>
      </c>
      <c r="GF66" s="62">
        <f t="shared" si="50"/>
        <v>261.14722581688039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5.1282051282051331</v>
      </c>
      <c r="GU66" s="13">
        <f>IF('Données projet'!$A$270&gt;35,GU65+GT66-HC65,IF(A66&lt;'Données projet'!$A$270,$GR$205^A66,IF(A66='Données projet'!$A$270,'Données projet'!$B$270,GU65+GT66-HC65)))</f>
        <v>230.12820512820517</v>
      </c>
      <c r="GV66" s="18">
        <f>GU66*VLOOKUP('Données projet'!$B$18,Paramètres!$A$1:$I$89,3,0)*VLOOKUP('Données projet'!$B$18,Paramètres!$A$1:$I$89,5,0)</f>
        <v>154.37000000000003</v>
      </c>
      <c r="GW66" s="14">
        <f t="shared" si="51"/>
        <v>39.570017923578433</v>
      </c>
      <c r="GX66" s="22">
        <f t="shared" si="28"/>
        <v>337.77886455023247</v>
      </c>
      <c r="GY66" s="62">
        <f t="shared" si="29"/>
        <v>631.11219788356584</v>
      </c>
      <c r="GZ66" s="62">
        <f ca="1">AVERAGE(OFFSET($GY$3,0,0,'Données projet'!$E$18+1,1))-AVERAGE(OFFSET($H$3,0,0,'Données projet'!$E$18+1,1))</f>
        <v>312.06797204903796</v>
      </c>
      <c r="HA66" s="62">
        <f t="shared" si="52"/>
        <v>258.20189001775151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projet'!$B$18,Paramètres!$A$1:$I$89,3,0)*0.475*44/12</f>
        <v>0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0</v>
      </c>
    </row>
    <row r="67" spans="1:218" s="5" customFormat="1" x14ac:dyDescent="0.25">
      <c r="A67" s="11">
        <f t="shared" si="31"/>
        <v>64</v>
      </c>
      <c r="B67" s="76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9">
        <f t="shared" si="1"/>
        <v>256.66666666666669</v>
      </c>
      <c r="I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13.373076923076932</v>
      </c>
      <c r="N67" s="14">
        <f>IF('Données projet'!$A$36&gt;35,N66+M67-V66,IF(A67&lt;'Données projet'!$A$36,$K$205^A67,IF(A67='Données projet'!$A$36,'Données projet'!$B$36,N66+M67-V66)))</f>
        <v>389.3653846153847</v>
      </c>
      <c r="O67" s="14">
        <f>N67*VLOOKUP('Données projet'!$B$9,Paramètres!$A$1:$I$89,3,0)*VLOOKUP('Données projet'!$B$9,Paramètres!$A$1:$I$89,5,0)</f>
        <v>217.65525000000002</v>
      </c>
      <c r="P67" s="14">
        <f t="shared" si="33"/>
        <v>53.604948518581054</v>
      </c>
      <c r="Q67" s="22">
        <f t="shared" ref="Q67:Q98" si="54">(O67+P67)*0.475*44/12</f>
        <v>472.44484575319535</v>
      </c>
      <c r="R67" s="62">
        <f t="shared" ref="R67:R130" si="55">Q67+(I67+J67)*44/12</f>
        <v>765.77817908652867</v>
      </c>
      <c r="S67" s="62">
        <f ca="1">AVERAGE(OFFSET($R$3,0,0,'Données projet'!$E$9+1,1))-AVERAGE(OFFSET($H$3,0,0,'Données projet'!$E$9+1,1))</f>
        <v>323.98185264074681</v>
      </c>
      <c r="T67" s="62">
        <f t="shared" si="34"/>
        <v>301.22207291854005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2.2757873120300789</v>
      </c>
      <c r="AA67" s="23">
        <f>EXP(-LN(2)/25)*AA66+(1-EXP(-LN(2)/25))/(LN(2)/25)*Calculateur!V67*Calculateur!X67*VLOOKUP('Données projet'!$B$9,Paramètres!$A$1:$I$89,3,0)*0.475*44/12</f>
        <v>3.2130018790888237</v>
      </c>
      <c r="AB67" s="23">
        <f>EXP(-LN(2)/2)*AB66+(1-EXP(-LN(2)/2))/(LN(2)/2)*V67*Y67*VLOOKUP('Données projet'!$B$9,Paramètres!$A$1:$I$89,3,0)*0.475*44/12</f>
        <v>4.6446282803482213E-5</v>
      </c>
      <c r="AC67" s="24">
        <f t="shared" si="3"/>
        <v>5.4888356374017064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9.1830769230769249</v>
      </c>
      <c r="AI67" s="14">
        <f>IF('Données projet'!$A$62&gt;35,AI66+AH67-AQ66,IF(A67&lt;'Données projet'!$A$62,$AF$205^A67,IF(A67='Données projet'!$A$62,'Données projet'!$B$62,AI66+AH67-AQ66)))</f>
        <v>324.89384615384608</v>
      </c>
      <c r="AJ67" s="14">
        <f>AI67*VLOOKUP('Données projet'!$B$10,Paramètres!$A$1:$I$89,3,0)*VLOOKUP('Données projet'!$B$10,Paramètres!$A$1:$I$89,5,0)</f>
        <v>194.28651999999997</v>
      </c>
      <c r="AK67" s="14">
        <f t="shared" si="35"/>
        <v>48.486407543748122</v>
      </c>
      <c r="AL67" s="22">
        <f t="shared" si="4"/>
        <v>422.82951547202788</v>
      </c>
      <c r="AM67" s="62">
        <f t="shared" si="5"/>
        <v>716.16284880536114</v>
      </c>
      <c r="AN67" s="62">
        <f ca="1">AVERAGE(OFFSET($AM$3,0,0,'Données projet'!$E$10+1,1))-AVERAGE(OFFSET($H$3,0,0,'Données projet'!$E$10+1,1))</f>
        <v>289.12367833861299</v>
      </c>
      <c r="AO67" s="62">
        <f t="shared" si="36"/>
        <v>229.06617320689003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3.1637840866283031E-5</v>
      </c>
      <c r="AX67" s="23">
        <f t="shared" si="6"/>
        <v>3.1637840866283031E-5</v>
      </c>
      <c r="AY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7.2</v>
      </c>
      <c r="BD67" s="13">
        <f>IF('Données projet'!$A$88&gt;35,BD66+BC67-BL66,IF(A67&lt;'Données projet'!$A$88,$BA$205^A67,IF(A67='Données projet'!$A$88,'Données projet'!$B$88,BD66+BC67-BL66)))</f>
        <v>221.79999999999993</v>
      </c>
      <c r="BE67" s="14">
        <f>BD67*VLOOKUP('Données projet'!$B$11,Paramètres!$A$1:$I$89,3,0)*VLOOKUP('Données projet'!$B$11,Paramètres!$A$1:$I$89,5,0)</f>
        <v>200.68463999999992</v>
      </c>
      <c r="BF67" s="14">
        <f t="shared" si="37"/>
        <v>49.894600936700193</v>
      </c>
      <c r="BG67" s="22">
        <f t="shared" si="7"/>
        <v>436.42551129808606</v>
      </c>
      <c r="BH67" s="62">
        <f t="shared" si="8"/>
        <v>729.75884463141938</v>
      </c>
      <c r="BI67" s="62">
        <f ca="1">AVERAGE(OFFSET($BH$3,0,0,'Données projet'!$E$11+1,1))-AVERAGE(OFFSET($H$3,0,0,'Données projet'!$E$11+1,1))</f>
        <v>428.8489304403459</v>
      </c>
      <c r="BJ67" s="62">
        <f t="shared" si="38"/>
        <v>247.01165577562966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4.4000000000000004</v>
      </c>
      <c r="BY67" s="13">
        <f>IF('Données projet'!$A$114&gt;35,BY66+BX67-CG66,IF(A67&lt;'Données projet'!$A$114,$BV$205^A67,IF(A67='Données projet'!$A$114,'Données projet'!$B$114,BY66+BX67-CG66)))</f>
        <v>250.59999999999988</v>
      </c>
      <c r="BZ67" s="14">
        <f>BY67*VLOOKUP('Données projet'!$B$12,Paramètres!$A$1:$I$89,3,0)*VLOOKUP('Données projet'!$B$12,Paramètres!$A$1:$I$89,5,0)</f>
        <v>183.7399199999999</v>
      </c>
      <c r="CA67" s="14">
        <f t="shared" si="39"/>
        <v>46.153250992914103</v>
      </c>
      <c r="CB67" s="22">
        <f t="shared" si="10"/>
        <v>400.39727281265851</v>
      </c>
      <c r="CC67" s="62">
        <f t="shared" si="11"/>
        <v>693.73060614599183</v>
      </c>
      <c r="CD67" s="62">
        <f ca="1">AVERAGE(OFFSET($CC$3,0,0,'Données projet'!$E$12+1,1))-AVERAGE(OFFSET($H$3,0,0,'Données projet'!$E$12+1,1))</f>
        <v>290.85271051443431</v>
      </c>
      <c r="CE67" s="62">
        <f t="shared" si="40"/>
        <v>318.66958823451142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8.6666666666666661</v>
      </c>
      <c r="CT67" s="13">
        <f>IF('Données projet'!$A$140&gt;35,CT66+CS67-DB66,IF(A67&lt;'Données projet'!$A$140,$CQ$205^A67,IF(A67='Données projet'!$A$140,'Données projet'!$B$140,CT66+CS67-DB66)))</f>
        <v>284.66666666666669</v>
      </c>
      <c r="CU67" s="18">
        <f>CT67*VLOOKUP('Données projet'!$B$13,Paramètres!$A$1:$I$89,3,0)*VLOOKUP('Données projet'!$B$13,Paramètres!$A$1:$I$89,5,0)</f>
        <v>222.04000000000002</v>
      </c>
      <c r="CV67" s="14">
        <f t="shared" si="41"/>
        <v>54.558031180803596</v>
      </c>
      <c r="CW67" s="22">
        <f t="shared" si="13"/>
        <v>481.74157097323291</v>
      </c>
      <c r="CX67" s="62">
        <f t="shared" si="14"/>
        <v>775.07490430656617</v>
      </c>
      <c r="CY67" s="62">
        <f ca="1">AVERAGE(OFFSET($CX$3,0,0,'Données projet'!$E$13+1,1))-AVERAGE(OFFSET($H$3,0,0,'Données projet'!$E$13+1,1))</f>
        <v>292.57482726862594</v>
      </c>
      <c r="CZ67" s="62">
        <f t="shared" si="42"/>
        <v>283.48738729114024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4.4000000000000004</v>
      </c>
      <c r="DO67" s="13">
        <f>IF('Données projet'!$A$166&gt;35,DO66+DN67-DW66,IF(A67&lt;'Données projet'!$A$166,$DL$205^A67,IF(A67='Données projet'!$A$166,'Données projet'!$B$166,DO66+DN67-DW66)))</f>
        <v>250.59999999999988</v>
      </c>
      <c r="DP67" s="18">
        <f>DO67*VLOOKUP('Données projet'!$B$14,Paramètres!$A$1:$I$89,3,0)*VLOOKUP('Données projet'!$B$14,Paramètres!$A$1:$I$89,5,0)</f>
        <v>199.37735999999992</v>
      </c>
      <c r="DQ67" s="14">
        <f t="shared" si="43"/>
        <v>49.607305476717762</v>
      </c>
      <c r="DR67" s="22">
        <f t="shared" si="16"/>
        <v>433.64829237194999</v>
      </c>
      <c r="DS67" s="62">
        <f t="shared" si="17"/>
        <v>726.98162570528325</v>
      </c>
      <c r="DT67" s="62">
        <f ca="1">AVERAGE(OFFSET($DS$3,0,0,'Données projet'!$E$14+1,1))-AVERAGE(OFFSET($H$3,0,0,'Données projet'!$E$14+1,1))</f>
        <v>312.53381881960331</v>
      </c>
      <c r="DU67" s="62">
        <f t="shared" si="44"/>
        <v>342.06887933351783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4.6153846153846132</v>
      </c>
      <c r="EJ67" s="13">
        <f>IF('Données projet'!$A$192&gt;35,EJ66+EI67-ER66,IF(A67&lt;'Données projet'!$A$192,$EG$205^A67,IF(A67='Données projet'!$A$192,'Données projet'!$B$192,EJ66+EI67-ER66)))</f>
        <v>188.97435897435889</v>
      </c>
      <c r="EK67" s="18">
        <f>EJ67*VLOOKUP('Données projet'!$B$15,Paramètres!$A$1:$I$89,3,0)*VLOOKUP('Données projet'!$B$15,Paramètres!$A$1:$I$89,5,0)</f>
        <v>179.82799999999992</v>
      </c>
      <c r="EL67" s="14">
        <f t="shared" si="45"/>
        <v>45.283917206572795</v>
      </c>
      <c r="EM67" s="22">
        <f t="shared" si="19"/>
        <v>392.0699224681141</v>
      </c>
      <c r="EN67" s="62">
        <f t="shared" si="20"/>
        <v>685.40325580144736</v>
      </c>
      <c r="EO67" s="62">
        <f ca="1">AVERAGE(OFFSET($EN$3,0,0,'Données projet'!$E$15+1,1))-AVERAGE(OFFSET($H$3,0,0,'Données projet'!$E$15+1,1))</f>
        <v>363.37916970915211</v>
      </c>
      <c r="EP67" s="62">
        <f t="shared" si="46"/>
        <v>281.52963027844595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9.6897435897435908</v>
      </c>
      <c r="FE67" s="13">
        <f>IF('Données projet'!$A$218&gt;35,FE66+FD67-FM66,IF(A67&lt;'Données projet'!$A$218,$FB$205^A67,IF(A67='Données projet'!$A$218,'Données projet'!$B$218,FE66+FD67-FM66)))</f>
        <v>252.29743589743575</v>
      </c>
      <c r="FF67" s="18">
        <f>FE67*VLOOKUP('Données projet'!$B$16,Paramètres!$A$1:$I$89,3,0)*VLOOKUP('Données projet'!$B$16,Paramètres!$A$1:$I$89,5,0)</f>
        <v>118.07519999999992</v>
      </c>
      <c r="FG67" s="14">
        <f t="shared" si="47"/>
        <v>31.225649693095828</v>
      </c>
      <c r="FH67" s="22">
        <f t="shared" si="22"/>
        <v>260.03231321547509</v>
      </c>
      <c r="FI67" s="62">
        <f t="shared" si="23"/>
        <v>553.3656465488084</v>
      </c>
      <c r="FJ67" s="62">
        <f ca="1">AVERAGE(OFFSET($FI$3,0,0,'Données projet'!$E$16+1,1))-AVERAGE(OFFSET($H$3,0,0,'Données projet'!$E$16+1,1))</f>
        <v>245.47494516762282</v>
      </c>
      <c r="FK67" s="62">
        <f t="shared" si="48"/>
        <v>145.54897745089966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7.2</v>
      </c>
      <c r="FZ67" s="13">
        <f>IF('Données projet'!$A$244&gt;35,FZ66+FY67-GH66,IF(A67&lt;'Données projet'!$A$244,$FW$205^A67,IF(A67='Données projet'!$A$244,'Données projet'!$B$244,FZ66+FY67-GH66)))</f>
        <v>221.79999999999993</v>
      </c>
      <c r="GA67" s="18">
        <f>FZ67*VLOOKUP('Données projet'!$B$17,Paramètres!$A$1:$I$89,3,0)*VLOOKUP('Données projet'!$B$17,Paramètres!$A$1:$I$89,5,0)</f>
        <v>214.52495999999994</v>
      </c>
      <c r="GB67" s="14">
        <f t="shared" si="49"/>
        <v>52.923173099085716</v>
      </c>
      <c r="GC67" s="22">
        <f t="shared" si="25"/>
        <v>465.80549848090754</v>
      </c>
      <c r="GD67" s="62">
        <f t="shared" si="26"/>
        <v>759.1388318142408</v>
      </c>
      <c r="GE67" s="62">
        <f ca="1">AVERAGE(OFFSET($GD$3,0,0,'Données projet'!$E$17+1,1))-AVERAGE(OFFSET($H$3,0,0,'Données projet'!$E$17+1,1))</f>
        <v>455.50822833641354</v>
      </c>
      <c r="GF67" s="62">
        <f t="shared" si="50"/>
        <v>261.14722581688039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5.1282051282051331</v>
      </c>
      <c r="GU67" s="13">
        <f>IF('Données projet'!$A$270&gt;35,GU66+GT67-HC66,IF(A67&lt;'Données projet'!$A$270,$GR$205^A67,IF(A67='Données projet'!$A$270,'Données projet'!$B$270,GU66+GT67-HC66)))</f>
        <v>235.25641025641031</v>
      </c>
      <c r="GV67" s="18">
        <f>GU67*VLOOKUP('Données projet'!$B$18,Paramètres!$A$1:$I$89,3,0)*VLOOKUP('Données projet'!$B$18,Paramètres!$A$1:$I$89,5,0)</f>
        <v>157.81000000000003</v>
      </c>
      <c r="GW67" s="14">
        <f t="shared" si="51"/>
        <v>40.348159279539125</v>
      </c>
      <c r="GX67" s="22">
        <f t="shared" si="28"/>
        <v>345.12546074519736</v>
      </c>
      <c r="GY67" s="62">
        <f t="shared" si="29"/>
        <v>638.45879407853067</v>
      </c>
      <c r="GZ67" s="62">
        <f ca="1">AVERAGE(OFFSET($GY$3,0,0,'Données projet'!$E$18+1,1))-AVERAGE(OFFSET($H$3,0,0,'Données projet'!$E$18+1,1))</f>
        <v>312.06797204903796</v>
      </c>
      <c r="HA67" s="62">
        <f t="shared" si="52"/>
        <v>258.20189001775151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projet'!$B$18,Paramètres!$A$1:$I$89,3,0)*0.475*44/12</f>
        <v>0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0</v>
      </c>
    </row>
    <row r="68" spans="1:218" s="5" customFormat="1" x14ac:dyDescent="0.25">
      <c r="A68" s="11">
        <f t="shared" si="31"/>
        <v>65</v>
      </c>
      <c r="B68" s="76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9">
        <f t="shared" ref="H68:H131" si="56">(B68+E68+F68)*44/12+(C68+D68)*0.475*44/12</f>
        <v>256.66666666666669</v>
      </c>
      <c r="I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13.373076923076932</v>
      </c>
      <c r="N68" s="14">
        <f>IF('Données projet'!$A$36&gt;35,N67+M68-V67,IF(A68&lt;'Données projet'!$A$36,$K$205^A68,IF(A68='Données projet'!$A$36,'Données projet'!$B$36,N67+M68-V67)))</f>
        <v>402.73846153846165</v>
      </c>
      <c r="O68" s="14">
        <f>N68*VLOOKUP('Données projet'!$B$9,Paramètres!$A$1:$I$89,3,0)*VLOOKUP('Données projet'!$B$9,Paramètres!$A$1:$I$89,5,0)</f>
        <v>225.13080000000008</v>
      </c>
      <c r="P68" s="14">
        <f t="shared" si="33"/>
        <v>55.228539095259954</v>
      </c>
      <c r="Q68" s="22">
        <f t="shared" si="54"/>
        <v>488.29251559091125</v>
      </c>
      <c r="R68" s="62">
        <f t="shared" si="55"/>
        <v>781.62584892424456</v>
      </c>
      <c r="S68" s="62">
        <f ca="1">AVERAGE(OFFSET($R$3,0,0,'Données projet'!$E$9+1,1))-AVERAGE(OFFSET($H$3,0,0,'Données projet'!$E$9+1,1))</f>
        <v>323.98185264074681</v>
      </c>
      <c r="T68" s="62">
        <f t="shared" si="34"/>
        <v>301.22207291854005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2.2311605109343664</v>
      </c>
      <c r="AA68" s="23">
        <f>EXP(-LN(2)/25)*AA67+(1-EXP(-LN(2)/25))/(LN(2)/25)*Calculateur!V68*Calculateur!X68*VLOOKUP('Données projet'!$B$9,Paramètres!$A$1:$I$89,3,0)*0.475*44/12</f>
        <v>3.1251421737407146</v>
      </c>
      <c r="AB68" s="23">
        <f>EXP(-LN(2)/2)*AB67+(1-EXP(-LN(2)/2))/(LN(2)/2)*V68*Y68*VLOOKUP('Données projet'!$B$9,Paramètres!$A$1:$I$89,3,0)*0.475*44/12</f>
        <v>3.2842481531250402E-5</v>
      </c>
      <c r="AC68" s="24">
        <f t="shared" ref="AC68:AC131" si="57">SUM(Z68:AB68)</f>
        <v>5.3563355271566122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9.1830769230769249</v>
      </c>
      <c r="AI68" s="14">
        <f>IF('Données projet'!$A$62&gt;35,AI67+AH68-AQ67,IF(A68&lt;'Données projet'!$A$62,$AF$205^A68,IF(A68='Données projet'!$A$62,'Données projet'!$B$62,AI67+AH68-AQ67)))</f>
        <v>334.07692307692298</v>
      </c>
      <c r="AJ68" s="14">
        <f>AI68*VLOOKUP('Données projet'!$B$10,Paramètres!$A$1:$I$89,3,0)*VLOOKUP('Données projet'!$B$10,Paramètres!$A$1:$I$89,5,0)</f>
        <v>199.77799999999996</v>
      </c>
      <c r="AK68" s="14">
        <f t="shared" si="35"/>
        <v>49.695375691492842</v>
      </c>
      <c r="AL68" s="22">
        <f t="shared" ref="AL68:AL131" si="58">(AJ68+AK68)*0.475*44/12</f>
        <v>434.4994626626833</v>
      </c>
      <c r="AM68" s="62">
        <f t="shared" ref="AM68:AM131" si="59">AL68+(AD68+AE68)*44/12</f>
        <v>727.83279599601656</v>
      </c>
      <c r="AN68" s="62">
        <f ca="1">AVERAGE(OFFSET($AM$3,0,0,'Données projet'!$E$10+1,1))-AVERAGE(OFFSET($H$3,0,0,'Données projet'!$E$10+1,1))</f>
        <v>289.12367833861299</v>
      </c>
      <c r="AO68" s="62">
        <f t="shared" si="36"/>
        <v>229.06617320689003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2.2371331818649607E-5</v>
      </c>
      <c r="AX68" s="23">
        <f t="shared" ref="AX68:AX131" si="60">SUM(AU68:AW68)</f>
        <v>2.2371331818649607E-5</v>
      </c>
      <c r="AY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229</v>
      </c>
      <c r="BB68" s="13">
        <f>VLOOKUP(A68,'Données projet'!$A$87:$I$107,9,0)</f>
        <v>7.2</v>
      </c>
      <c r="BC68" s="13">
        <f t="array" ref="BC68">INDEX(BB:BB,MIN(IF(ISNUMBER(BB68:BB264),ROW(BB68:BB264),"")))</f>
        <v>7.2</v>
      </c>
      <c r="BD68" s="13">
        <f>IF('Données projet'!$A$88&gt;35,BD67+BC68-BL67,IF(A68&lt;'Données projet'!$A$88,$BA$205^A68,IF(A68='Données projet'!$A$88,'Données projet'!$B$88,BD67+BC68-BL67)))</f>
        <v>228.99999999999991</v>
      </c>
      <c r="BE68" s="14">
        <f>BD68*VLOOKUP('Données projet'!$B$11,Paramètres!$A$1:$I$89,3,0)*VLOOKUP('Données projet'!$B$11,Paramètres!$A$1:$I$89,5,0)</f>
        <v>207.19919999999991</v>
      </c>
      <c r="BF68" s="14">
        <f t="shared" si="37"/>
        <v>51.3230629736655</v>
      </c>
      <c r="BG68" s="22">
        <f t="shared" ref="BG68:BG131" si="61">(BE68+BF68)*0.475*44/12</f>
        <v>450.25960801246725</v>
      </c>
      <c r="BH68" s="62">
        <f t="shared" ref="BH68:BH131" si="62">BG68+(AY68+AZ68)*44/12</f>
        <v>743.59294134580057</v>
      </c>
      <c r="BI68" s="62">
        <f ca="1">AVERAGE(OFFSET($BH$3,0,0,'Données projet'!$E$11+1,1))-AVERAGE(OFFSET($H$3,0,0,'Données projet'!$E$11+1,1))</f>
        <v>428.8489304403459</v>
      </c>
      <c r="BJ68" s="62">
        <f t="shared" si="38"/>
        <v>247.01165577562966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255</v>
      </c>
      <c r="BW68" s="13">
        <f>VLOOKUP(A68,'Données projet'!$A$113:$I$133,9,0)</f>
        <v>4.4000000000000004</v>
      </c>
      <c r="BX68" s="13">
        <f t="array" ref="BX68">INDEX(BW:BW,MIN(IF(ISNUMBER(BW68:BW264),ROW(BW68:BW264),"")))</f>
        <v>4.4000000000000004</v>
      </c>
      <c r="BY68" s="13">
        <f>IF('Données projet'!$A$114&gt;35,BY67+BX68-CG67,IF(A68&lt;'Données projet'!$A$114,$BV$205^A68,IF(A68='Données projet'!$A$114,'Données projet'!$B$114,BY67+BX68-CG67)))</f>
        <v>254.99999999999989</v>
      </c>
      <c r="BZ68" s="14">
        <f>BY68*VLOOKUP('Données projet'!$B$12,Paramètres!$A$1:$I$89,3,0)*VLOOKUP('Données projet'!$B$12,Paramètres!$A$1:$I$89,5,0)</f>
        <v>186.96599999999992</v>
      </c>
      <c r="CA68" s="14">
        <f t="shared" si="39"/>
        <v>46.868551400324606</v>
      </c>
      <c r="CB68" s="22">
        <f t="shared" ref="CB68:CB131" si="64">(BZ68+CA68)*0.475*44/12</f>
        <v>407.26184368889852</v>
      </c>
      <c r="CC68" s="62">
        <f t="shared" ref="CC68:CC131" si="65">CB68+(BT68+BU68)*44/12</f>
        <v>700.59517702223184</v>
      </c>
      <c r="CD68" s="62">
        <f ca="1">AVERAGE(OFFSET($CC$3,0,0,'Données projet'!$E$12+1,1))-AVERAGE(OFFSET($H$3,0,0,'Données projet'!$E$12+1,1))</f>
        <v>290.85271051443431</v>
      </c>
      <c r="CE68" s="62">
        <f t="shared" si="40"/>
        <v>318.66958823451142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8.6666666666666661</v>
      </c>
      <c r="CT68" s="13">
        <f>IF('Données projet'!$A$140&gt;35,CT67+CS68-DB67,IF(A68&lt;'Données projet'!$A$140,$CQ$205^A68,IF(A68='Données projet'!$A$140,'Données projet'!$B$140,CT67+CS68-DB67)))</f>
        <v>293.33333333333337</v>
      </c>
      <c r="CU68" s="18">
        <f>CT68*VLOOKUP('Données projet'!$B$13,Paramètres!$A$1:$I$89,3,0)*VLOOKUP('Données projet'!$B$13,Paramètres!$A$1:$I$89,5,0)</f>
        <v>228.80000000000004</v>
      </c>
      <c r="CV68" s="14">
        <f t="shared" si="41"/>
        <v>56.023134533701196</v>
      </c>
      <c r="CW68" s="22">
        <f t="shared" ref="CW68:CW131" si="67">(CU68+CV68)*0.475*44/12</f>
        <v>496.06695931286299</v>
      </c>
      <c r="CX68" s="62">
        <f t="shared" ref="CX68:CX131" si="68">CW68+(CO68+CP68)*44/12</f>
        <v>789.40029264619625</v>
      </c>
      <c r="CY68" s="62">
        <f ca="1">AVERAGE(OFFSET($CX$3,0,0,'Données projet'!$E$13+1,1))-AVERAGE(OFFSET($H$3,0,0,'Données projet'!$E$13+1,1))</f>
        <v>292.57482726862594</v>
      </c>
      <c r="CZ68" s="62">
        <f t="shared" si="42"/>
        <v>283.48738729114024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255</v>
      </c>
      <c r="DM68" s="13">
        <f>VLOOKUP(A68,'Données projet'!$A$165:$I$185,9,0)</f>
        <v>4.4000000000000004</v>
      </c>
      <c r="DN68" s="13">
        <f t="array" ref="DN68">INDEX(DM:DM,MIN(IF(ISNUMBER(DM68:DM264),ROW(DM68:DM264),"")))</f>
        <v>4.4000000000000004</v>
      </c>
      <c r="DO68" s="13">
        <f>IF('Données projet'!$A$166&gt;35,DO67+DN68-DW67,IF(A68&lt;'Données projet'!$A$166,$DL$205^A68,IF(A68='Données projet'!$A$166,'Données projet'!$B$166,DO67+DN68-DW67)))</f>
        <v>254.99999999999989</v>
      </c>
      <c r="DP68" s="18">
        <f>DO68*VLOOKUP('Données projet'!$B$14,Paramètres!$A$1:$I$89,3,0)*VLOOKUP('Données projet'!$B$14,Paramètres!$A$1:$I$89,5,0)</f>
        <v>202.87799999999993</v>
      </c>
      <c r="DQ68" s="14">
        <f t="shared" si="43"/>
        <v>50.376138116990084</v>
      </c>
      <c r="DR68" s="22">
        <f t="shared" ref="DR68:DR131" si="70">(DP68+DQ68)*0.475*44/12</f>
        <v>441.08429055375763</v>
      </c>
      <c r="DS68" s="62">
        <f t="shared" ref="DS68:DS131" si="71">DR68+(DJ68+DK68)*44/12</f>
        <v>734.41762388709094</v>
      </c>
      <c r="DT68" s="62">
        <f ca="1">AVERAGE(OFFSET($DS$3,0,0,'Données projet'!$E$14+1,1))-AVERAGE(OFFSET($H$3,0,0,'Données projet'!$E$14+1,1))</f>
        <v>312.53381881960331</v>
      </c>
      <c r="DU68" s="62">
        <f t="shared" si="44"/>
        <v>342.06887933351783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193.58974358974359</v>
      </c>
      <c r="EH68" s="13">
        <f>VLOOKUP(A68,'Données projet'!$A$191:$I$211,9,0)</f>
        <v>4.6153846153846132</v>
      </c>
      <c r="EI68" s="13">
        <f t="array" ref="EI68">INDEX(EH:EH,MIN(IF(ISNUMBER(EH68:EH264),ROW(EH68:EH264),"")))</f>
        <v>4.6153846153846132</v>
      </c>
      <c r="EJ68" s="13">
        <f>IF('Données projet'!$A$192&gt;35,EJ67+EI68-ER67,IF(A68&lt;'Données projet'!$A$192,$EG$205^A68,IF(A68='Données projet'!$A$192,'Données projet'!$B$192,EJ67+EI68-ER67)))</f>
        <v>193.58974358974351</v>
      </c>
      <c r="EK68" s="18">
        <f>EJ68*VLOOKUP('Données projet'!$B$15,Paramètres!$A$1:$I$89,3,0)*VLOOKUP('Données projet'!$B$15,Paramètres!$A$1:$I$89,5,0)</f>
        <v>184.21999999999991</v>
      </c>
      <c r="EL68" s="14">
        <f t="shared" si="45"/>
        <v>46.259788397695985</v>
      </c>
      <c r="EM68" s="22">
        <f t="shared" ref="EM68:EM131" si="73">(EK68+EL68)*0.475*44/12</f>
        <v>401.4189647926537</v>
      </c>
      <c r="EN68" s="62">
        <f t="shared" ref="EN68:EN131" si="74">EM68+(EE68+EF68)*44/12</f>
        <v>694.75229812598695</v>
      </c>
      <c r="EO68" s="62">
        <f ca="1">AVERAGE(OFFSET($EN$3,0,0,'Données projet'!$E$15+1,1))-AVERAGE(OFFSET($H$3,0,0,'Données projet'!$E$15+1,1))</f>
        <v>363.37916970915211</v>
      </c>
      <c r="EP68" s="62">
        <f t="shared" si="46"/>
        <v>281.52963027844595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9.6897435897435908</v>
      </c>
      <c r="FE68" s="13">
        <f>IF('Données projet'!$A$218&gt;35,FE67+FD68-FM67,IF(A68&lt;'Données projet'!$A$218,$FB$205^A68,IF(A68='Données projet'!$A$218,'Données projet'!$B$218,FE67+FD68-FM67)))</f>
        <v>261.98717948717933</v>
      </c>
      <c r="FF68" s="18">
        <f>FE68*VLOOKUP('Données projet'!$B$16,Paramètres!$A$1:$I$89,3,0)*VLOOKUP('Données projet'!$B$16,Paramètres!$A$1:$I$89,5,0)</f>
        <v>122.60999999999993</v>
      </c>
      <c r="FG68" s="14">
        <f t="shared" si="47"/>
        <v>32.282974526111182</v>
      </c>
      <c r="FH68" s="22">
        <f t="shared" ref="FH68:FH131" si="76">(FF68+FG68)*0.475*44/12</f>
        <v>269.77193063297682</v>
      </c>
      <c r="FI68" s="62">
        <f t="shared" ref="FI68:FI131" si="77">FH68+(EZ68+FA68)*44/12</f>
        <v>563.10526396631008</v>
      </c>
      <c r="FJ68" s="62">
        <f ca="1">AVERAGE(OFFSET($FI$3,0,0,'Données projet'!$E$16+1,1))-AVERAGE(OFFSET($H$3,0,0,'Données projet'!$E$16+1,1))</f>
        <v>245.47494516762282</v>
      </c>
      <c r="FK68" s="62">
        <f t="shared" si="48"/>
        <v>145.54897745089966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229</v>
      </c>
      <c r="FX68" s="13">
        <f>VLOOKUP(A68,'Données projet'!$A$243:$I$263,9,0)</f>
        <v>7.2</v>
      </c>
      <c r="FY68" s="13">
        <f t="array" ref="FY68">INDEX(FX:FX,MIN(IF(ISNUMBER(FX68:FX264),ROW(FX68:FX264),"")))</f>
        <v>7.2</v>
      </c>
      <c r="FZ68" s="13">
        <f>IF('Données projet'!$A$244&gt;35,FZ67+FY68-GH67,IF(A68&lt;'Données projet'!$A$244,$FW$205^A68,IF(A68='Données projet'!$A$244,'Données projet'!$B$244,FZ67+FY68-GH67)))</f>
        <v>228.99999999999991</v>
      </c>
      <c r="GA68" s="18">
        <f>FZ68*VLOOKUP('Données projet'!$B$17,Paramètres!$A$1:$I$89,3,0)*VLOOKUP('Données projet'!$B$17,Paramètres!$A$1:$I$89,5,0)</f>
        <v>221.48879999999991</v>
      </c>
      <c r="GB68" s="14">
        <f t="shared" si="49"/>
        <v>54.43834191952984</v>
      </c>
      <c r="GC68" s="22">
        <f t="shared" ref="GC68:GC131" si="79">(GA68+GB68)*0.475*44/12</f>
        <v>480.57310550984766</v>
      </c>
      <c r="GD68" s="62">
        <f t="shared" ref="GD68:GD131" si="80">GC68+(FU68+FV68)*44/12</f>
        <v>773.90643884318092</v>
      </c>
      <c r="GE68" s="62">
        <f ca="1">AVERAGE(OFFSET($GD$3,0,0,'Données projet'!$E$17+1,1))-AVERAGE(OFFSET($H$3,0,0,'Données projet'!$E$17+1,1))</f>
        <v>455.50822833641354</v>
      </c>
      <c r="GF68" s="62">
        <f t="shared" si="50"/>
        <v>261.14722581688039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>
        <f>VLOOKUP(A68,'Données projet'!$A$269:$I$289,2,0)</f>
        <v>240.38461538461539</v>
      </c>
      <c r="GS68" s="13">
        <f>VLOOKUP(A68,'Données projet'!$A$269:$I$289,9,0)</f>
        <v>5.1282051282051331</v>
      </c>
      <c r="GT68" s="13">
        <f t="array" ref="GT68">INDEX(GS:GS,MIN(IF(ISNUMBER(GS68:GS264),ROW(GS68:GS264),"")))</f>
        <v>5.1282051282051331</v>
      </c>
      <c r="GU68" s="13">
        <f>IF('Données projet'!$A$270&gt;35,GU67+GT68-HC67,IF(A68&lt;'Données projet'!$A$270,$GR$205^A68,IF(A68='Données projet'!$A$270,'Données projet'!$B$270,GU67+GT68-HC67)))</f>
        <v>240.38461538461544</v>
      </c>
      <c r="GV68" s="18">
        <f>GU68*VLOOKUP('Données projet'!$B$18,Paramètres!$A$1:$I$89,3,0)*VLOOKUP('Données projet'!$B$18,Paramètres!$A$1:$I$89,5,0)</f>
        <v>161.25000000000006</v>
      </c>
      <c r="GW68" s="14">
        <f t="shared" si="51"/>
        <v>41.124328571986439</v>
      </c>
      <c r="GX68" s="22">
        <f t="shared" ref="GX68:GX131" si="82">(GV68+GW68)*0.475*44/12</f>
        <v>352.46862226287652</v>
      </c>
      <c r="GY68" s="62">
        <f t="shared" ref="GY68:GY131" si="83">GX68+(GP68+GQ68)*44/12</f>
        <v>645.80195559620984</v>
      </c>
      <c r="GZ68" s="62">
        <f ca="1">AVERAGE(OFFSET($GY$3,0,0,'Données projet'!$E$18+1,1))-AVERAGE(OFFSET($H$3,0,0,'Données projet'!$E$18+1,1))</f>
        <v>312.06797204903796</v>
      </c>
      <c r="HA68" s="62">
        <f t="shared" si="52"/>
        <v>258.20189001775151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projet'!$B$18,Paramètres!$A$1:$I$89,3,0)*0.475*44/12</f>
        <v>0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84">SUM(HG68:HI68)</f>
        <v>0</v>
      </c>
    </row>
    <row r="69" spans="1:218" s="5" customFormat="1" x14ac:dyDescent="0.25">
      <c r="A69" s="11">
        <f t="shared" ref="A69:A132" si="85">A68+1</f>
        <v>66</v>
      </c>
      <c r="B69" s="76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9">
        <f t="shared" si="56"/>
        <v>256.66666666666669</v>
      </c>
      <c r="I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13.373076923076932</v>
      </c>
      <c r="N69" s="14">
        <f>IF('Données projet'!$A$36&gt;35,N68+M69-V68,IF(A69&lt;'Données projet'!$A$36,$K$205^A69,IF(A69='Données projet'!$A$36,'Données projet'!$B$36,N68+M69-V68)))</f>
        <v>416.1115384615386</v>
      </c>
      <c r="O69" s="14">
        <f>N69*VLOOKUP('Données projet'!$B$9,Paramètres!$A$1:$I$89,3,0)*VLOOKUP('Données projet'!$B$9,Paramètres!$A$1:$I$89,5,0)</f>
        <v>232.60635000000008</v>
      </c>
      <c r="P69" s="14">
        <f t="shared" ref="P69:P132" si="87">EXP(-1.0587+0.8836*LN(O69)+0.284)</f>
        <v>56.845865220702599</v>
      </c>
      <c r="Q69" s="22">
        <f t="shared" si="54"/>
        <v>504.12927484272382</v>
      </c>
      <c r="R69" s="62">
        <f t="shared" si="55"/>
        <v>797.46260817605707</v>
      </c>
      <c r="S69" s="62">
        <f ca="1">AVERAGE(OFFSET($R$3,0,0,'Données projet'!$E$9+1,1))-AVERAGE(OFFSET($H$3,0,0,'Données projet'!$E$9+1,1))</f>
        <v>323.98185264074681</v>
      </c>
      <c r="T69" s="62">
        <f t="shared" ref="T69:T132" si="88">$T$3</f>
        <v>301.22207291854005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2.1874088141884802</v>
      </c>
      <c r="AA69" s="23">
        <f>EXP(-LN(2)/25)*AA68+(1-EXP(-LN(2)/25))/(LN(2)/25)*Calculateur!V69*Calculateur!X69*VLOOKUP('Données projet'!$B$9,Paramètres!$A$1:$I$89,3,0)*0.475*44/12</f>
        <v>3.0396849966556903</v>
      </c>
      <c r="AB69" s="23">
        <f>EXP(-LN(2)/2)*AB68+(1-EXP(-LN(2)/2))/(LN(2)/2)*V69*Y69*VLOOKUP('Données projet'!$B$9,Paramètres!$A$1:$I$89,3,0)*0.475*44/12</f>
        <v>2.3223141401741107E-5</v>
      </c>
      <c r="AC69" s="24">
        <f t="shared" si="57"/>
        <v>5.2271170339855724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9.1830769230769249</v>
      </c>
      <c r="AI69" s="14">
        <f>IF('Données projet'!$A$62&gt;35,AI68+AH69-AQ68,IF(A69&lt;'Données projet'!$A$62,$AF$205^A69,IF(A69='Données projet'!$A$62,'Données projet'!$B$62,AI68+AH69-AQ68)))</f>
        <v>343.25999999999988</v>
      </c>
      <c r="AJ69" s="14">
        <f>AI69*VLOOKUP('Données projet'!$B$10,Paramètres!$A$1:$I$89,3,0)*VLOOKUP('Données projet'!$B$10,Paramètres!$A$1:$I$89,5,0)</f>
        <v>205.26947999999996</v>
      </c>
      <c r="AK69" s="14">
        <f t="shared" ref="AK69:AK132" si="89">EXP(-1.0587+0.8836*LN(AJ69)+0.284)</f>
        <v>50.900481301079942</v>
      </c>
      <c r="AL69" s="22">
        <f t="shared" si="58"/>
        <v>446.16268259938084</v>
      </c>
      <c r="AM69" s="62">
        <f t="shared" si="59"/>
        <v>739.49601593271416</v>
      </c>
      <c r="AN69" s="62">
        <f ca="1">AVERAGE(OFFSET($AM$3,0,0,'Données projet'!$E$10+1,1))-AVERAGE(OFFSET($H$3,0,0,'Données projet'!$E$10+1,1))</f>
        <v>289.12367833861299</v>
      </c>
      <c r="AO69" s="62">
        <f t="shared" ref="AO69:AO132" si="90">$AO$3</f>
        <v>229.06617320689003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1.5818920433141516E-5</v>
      </c>
      <c r="AX69" s="23">
        <f t="shared" si="60"/>
        <v>1.5818920433141516E-5</v>
      </c>
      <c r="AY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6.8</v>
      </c>
      <c r="BD69" s="13">
        <f>IF('Données projet'!$A$88&gt;35,BD68+BC69-BL68,IF(A69&lt;'Données projet'!$A$88,$BA$205^A69,IF(A69='Données projet'!$A$88,'Données projet'!$B$88,BD68+BC69-BL68)))</f>
        <v>235.79999999999993</v>
      </c>
      <c r="BE69" s="14">
        <f>BD69*VLOOKUP('Données projet'!$B$11,Paramètres!$A$1:$I$89,3,0)*VLOOKUP('Données projet'!$B$11,Paramètres!$A$1:$I$89,5,0)</f>
        <v>213.35183999999992</v>
      </c>
      <c r="BF69" s="14">
        <f t="shared" ref="BF69:BF132" si="91">EXP(-1.0587+0.8836*LN(BE69)+0.284)</f>
        <v>52.667370665417188</v>
      </c>
      <c r="BG69" s="22">
        <f t="shared" si="61"/>
        <v>463.31679190893482</v>
      </c>
      <c r="BH69" s="62">
        <f t="shared" si="62"/>
        <v>756.65012524226813</v>
      </c>
      <c r="BI69" s="62">
        <f ca="1">AVERAGE(OFFSET($BH$3,0,0,'Données projet'!$E$11+1,1))-AVERAGE(OFFSET($H$3,0,0,'Données projet'!$E$11+1,1))</f>
        <v>428.8489304403459</v>
      </c>
      <c r="BJ69" s="62">
        <f t="shared" ref="BJ69:BJ132" si="92">$BJ$3</f>
        <v>247.01165577562966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3.8</v>
      </c>
      <c r="BY69" s="13">
        <f>IF('Données projet'!$A$114&gt;35,BY68+BX69-CG68,IF(A69&lt;'Données projet'!$A$114,$BV$205^A69,IF(A69='Données projet'!$A$114,'Données projet'!$B$114,BY68+BX69-CG68)))</f>
        <v>258.7999999999999</v>
      </c>
      <c r="BZ69" s="14">
        <f>BY69*VLOOKUP('Données projet'!$B$12,Paramètres!$A$1:$I$89,3,0)*VLOOKUP('Données projet'!$B$12,Paramètres!$A$1:$I$89,5,0)</f>
        <v>189.75215999999992</v>
      </c>
      <c r="CA69" s="14">
        <f t="shared" ref="CA69:CA132" si="93">EXP(-1.0587+0.8836*LN(BZ69)+0.284)</f>
        <v>47.48515478428709</v>
      </c>
      <c r="CB69" s="22">
        <f t="shared" si="64"/>
        <v>413.18832324929986</v>
      </c>
      <c r="CC69" s="62">
        <f t="shared" si="65"/>
        <v>706.52165658263311</v>
      </c>
      <c r="CD69" s="62">
        <f ca="1">AVERAGE(OFFSET($CC$3,0,0,'Données projet'!$E$12+1,1))-AVERAGE(OFFSET($H$3,0,0,'Données projet'!$E$12+1,1))</f>
        <v>290.85271051443431</v>
      </c>
      <c r="CE69" s="62">
        <f t="shared" ref="CE69:CE132" si="94">$CE$3</f>
        <v>318.66958823451142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8.6666666666666661</v>
      </c>
      <c r="CT69" s="13">
        <f>IF('Données projet'!$A$140&gt;35,CT68+CS69-DB68,IF(A69&lt;'Données projet'!$A$140,$CQ$205^A69,IF(A69='Données projet'!$A$140,'Données projet'!$B$140,CT68+CS69-DB68)))</f>
        <v>302.00000000000006</v>
      </c>
      <c r="CU69" s="18">
        <f>CT69*VLOOKUP('Données projet'!$B$13,Paramètres!$A$1:$I$89,3,0)*VLOOKUP('Données projet'!$B$13,Paramètres!$A$1:$I$89,5,0)</f>
        <v>235.56000000000006</v>
      </c>
      <c r="CV69" s="14">
        <f t="shared" ref="CV69:CV132" si="95">EXP(-1.0587+0.8836*LN(CU69)+0.284)</f>
        <v>57.483207143847771</v>
      </c>
      <c r="CW69" s="22">
        <f t="shared" si="67"/>
        <v>510.38358577553487</v>
      </c>
      <c r="CX69" s="62">
        <f t="shared" si="68"/>
        <v>803.71691910886818</v>
      </c>
      <c r="CY69" s="62">
        <f ca="1">AVERAGE(OFFSET($CX$3,0,0,'Données projet'!$E$13+1,1))-AVERAGE(OFFSET($H$3,0,0,'Données projet'!$E$13+1,1))</f>
        <v>292.57482726862594</v>
      </c>
      <c r="CZ69" s="62">
        <f t="shared" ref="CZ69:CZ132" si="96">$CZ$3</f>
        <v>283.48738729114024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3.8</v>
      </c>
      <c r="DO69" s="13">
        <f>IF('Données projet'!$A$166&gt;35,DO68+DN69-DW68,IF(A69&lt;'Données projet'!$A$166,$DL$205^A69,IF(A69='Données projet'!$A$166,'Données projet'!$B$166,DO68+DN69-DW68)))</f>
        <v>258.7999999999999</v>
      </c>
      <c r="DP69" s="18">
        <f>DO69*VLOOKUP('Données projet'!$B$14,Paramètres!$A$1:$I$89,3,0)*VLOOKUP('Données projet'!$B$14,Paramètres!$A$1:$I$89,5,0)</f>
        <v>205.90127999999993</v>
      </c>
      <c r="DQ69" s="14">
        <f t="shared" ref="DQ69:DQ132" si="97">EXP(-1.0587+0.8836*LN(DP69)+0.284)</f>
        <v>51.038887365811213</v>
      </c>
      <c r="DR69" s="22">
        <f t="shared" si="70"/>
        <v>447.50412482878772</v>
      </c>
      <c r="DS69" s="62">
        <f t="shared" si="71"/>
        <v>740.83745816212104</v>
      </c>
      <c r="DT69" s="62">
        <f ca="1">AVERAGE(OFFSET($DS$3,0,0,'Données projet'!$E$14+1,1))-AVERAGE(OFFSET($H$3,0,0,'Données projet'!$E$14+1,1))</f>
        <v>312.53381881960331</v>
      </c>
      <c r="DU69" s="62">
        <f t="shared" ref="DU69:DU132" si="98">$DU$3</f>
        <v>342.06887933351783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4.3589743589743595</v>
      </c>
      <c r="EJ69" s="13">
        <f>IF('Données projet'!$A$192&gt;35,EJ68+EI69-ER68,IF(A69&lt;'Données projet'!$A$192,$EG$205^A69,IF(A69='Données projet'!$A$192,'Données projet'!$B$192,EJ68+EI69-ER68)))</f>
        <v>197.94871794871787</v>
      </c>
      <c r="EK69" s="18">
        <f>EJ69*VLOOKUP('Données projet'!$B$15,Paramètres!$A$1:$I$89,3,0)*VLOOKUP('Données projet'!$B$15,Paramètres!$A$1:$I$89,5,0)</f>
        <v>188.36799999999994</v>
      </c>
      <c r="EL69" s="14">
        <f t="shared" ref="EL69:EL132" si="99">EXP(-1.0587+0.8836*LN(EK69)+0.284)</f>
        <v>47.17895987093894</v>
      </c>
      <c r="EM69" s="22">
        <f t="shared" si="73"/>
        <v>410.2442884418852</v>
      </c>
      <c r="EN69" s="62">
        <f t="shared" si="74"/>
        <v>703.57762177521852</v>
      </c>
      <c r="EO69" s="62">
        <f ca="1">AVERAGE(OFFSET($EN$3,0,0,'Données projet'!$E$15+1,1))-AVERAGE(OFFSET($H$3,0,0,'Données projet'!$E$15+1,1))</f>
        <v>363.37916970915211</v>
      </c>
      <c r="EP69" s="62">
        <f t="shared" ref="EP69:EP132" si="100">$EP$3</f>
        <v>281.52963027844595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9.6897435897435908</v>
      </c>
      <c r="FE69" s="13">
        <f>IF('Données projet'!$A$218&gt;35,FE68+FD69-FM68,IF(A69&lt;'Données projet'!$A$218,$FB$205^A69,IF(A69='Données projet'!$A$218,'Données projet'!$B$218,FE68+FD69-FM68)))</f>
        <v>271.67692307692295</v>
      </c>
      <c r="FF69" s="18">
        <f>FE69*VLOOKUP('Données projet'!$B$16,Paramètres!$A$1:$I$89,3,0)*VLOOKUP('Données projet'!$B$16,Paramètres!$A$1:$I$89,5,0)</f>
        <v>127.14479999999995</v>
      </c>
      <c r="FG69" s="14">
        <f t="shared" ref="FG69:FG132" si="101">EXP(-1.0587+0.8836*LN(FF69)+0.284)</f>
        <v>33.335756139335082</v>
      </c>
      <c r="FH69" s="22">
        <f t="shared" si="76"/>
        <v>279.50363527600848</v>
      </c>
      <c r="FI69" s="62">
        <f t="shared" si="77"/>
        <v>572.83696860934174</v>
      </c>
      <c r="FJ69" s="62">
        <f ca="1">AVERAGE(OFFSET($FI$3,0,0,'Données projet'!$E$16+1,1))-AVERAGE(OFFSET($H$3,0,0,'Données projet'!$E$16+1,1))</f>
        <v>245.47494516762282</v>
      </c>
      <c r="FK69" s="62">
        <f t="shared" ref="FK69:FK132" si="102">$FK$3</f>
        <v>145.54897745089966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6.8</v>
      </c>
      <c r="FZ69" s="13">
        <f>IF('Données projet'!$A$244&gt;35,FZ68+FY69-GH68,IF(A69&lt;'Données projet'!$A$244,$FW$205^A69,IF(A69='Données projet'!$A$244,'Données projet'!$B$244,FZ68+FY69-GH68)))</f>
        <v>235.79999999999993</v>
      </c>
      <c r="GA69" s="18">
        <f>FZ69*VLOOKUP('Données projet'!$B$17,Paramètres!$A$1:$I$89,3,0)*VLOOKUP('Données projet'!$B$17,Paramètres!$A$1:$I$89,5,0)</f>
        <v>228.06575999999993</v>
      </c>
      <c r="GB69" s="14">
        <f t="shared" ref="GB69:GB132" si="103">EXP(-1.0587+0.8836*LN(GA69)+0.284)</f>
        <v>55.864248276798108</v>
      </c>
      <c r="GC69" s="22">
        <f t="shared" si="79"/>
        <v>494.51143108208981</v>
      </c>
      <c r="GD69" s="62">
        <f t="shared" si="80"/>
        <v>787.84476441542313</v>
      </c>
      <c r="GE69" s="62">
        <f ca="1">AVERAGE(OFFSET($GD$3,0,0,'Données projet'!$E$17+1,1))-AVERAGE(OFFSET($H$3,0,0,'Données projet'!$E$17+1,1))</f>
        <v>455.50822833641354</v>
      </c>
      <c r="GF69" s="62">
        <f t="shared" ref="GF69:GF132" si="104">$GF$3</f>
        <v>261.14722581688039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4.9999999999999947</v>
      </c>
      <c r="GU69" s="13">
        <f>IF('Données projet'!$A$270&gt;35,GU68+GT69-HC68,IF(A69&lt;'Données projet'!$A$270,$GR$205^A69,IF(A69='Données projet'!$A$270,'Données projet'!$B$270,GU68+GT69-HC68)))</f>
        <v>245.38461538461544</v>
      </c>
      <c r="GV69" s="18">
        <f>GU69*VLOOKUP('Données projet'!$B$18,Paramètres!$A$1:$I$89,3,0)*VLOOKUP('Données projet'!$B$18,Paramètres!$A$1:$I$89,5,0)</f>
        <v>164.60400000000004</v>
      </c>
      <c r="GW69" s="14">
        <f t="shared" ref="GW69:GW132" si="105">EXP(-1.0587+0.8836*LN(GV69)+0.284)</f>
        <v>41.879239712742802</v>
      </c>
      <c r="GX69" s="22">
        <f t="shared" si="82"/>
        <v>359.62497583302707</v>
      </c>
      <c r="GY69" s="62">
        <f t="shared" si="83"/>
        <v>652.95830916636032</v>
      </c>
      <c r="GZ69" s="62">
        <f ca="1">AVERAGE(OFFSET($GY$3,0,0,'Données projet'!$E$18+1,1))-AVERAGE(OFFSET($H$3,0,0,'Données projet'!$E$18+1,1))</f>
        <v>312.06797204903796</v>
      </c>
      <c r="HA69" s="62">
        <f t="shared" ref="HA69:HA132" si="106">$HA$3</f>
        <v>258.20189001775151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projet'!$B$18,Paramètres!$A$1:$I$89,3,0)*0.475*44/12</f>
        <v>0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84"/>
        <v>0</v>
      </c>
    </row>
    <row r="70" spans="1:218" s="5" customFormat="1" x14ac:dyDescent="0.25">
      <c r="A70" s="11">
        <f t="shared" si="85"/>
        <v>67</v>
      </c>
      <c r="B70" s="76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9">
        <f t="shared" si="56"/>
        <v>256.66666666666669</v>
      </c>
      <c r="I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13.373076923076932</v>
      </c>
      <c r="N70" s="14">
        <f>IF('Données projet'!$A$36&gt;35,N69+M70-V69,IF(A70&lt;'Données projet'!$A$36,$K$205^A70,IF(A70='Données projet'!$A$36,'Données projet'!$B$36,N69+M70-V69)))</f>
        <v>429.48461538461555</v>
      </c>
      <c r="O70" s="14">
        <f>N70*VLOOKUP('Données projet'!$B$9,Paramètres!$A$1:$I$89,3,0)*VLOOKUP('Données projet'!$B$9,Paramètres!$A$1:$I$89,5,0)</f>
        <v>240.0819000000001</v>
      </c>
      <c r="P70" s="14">
        <f t="shared" si="87"/>
        <v>58.457151316256045</v>
      </c>
      <c r="Q70" s="22">
        <f t="shared" si="54"/>
        <v>519.95551437581287</v>
      </c>
      <c r="R70" s="62">
        <f t="shared" si="55"/>
        <v>813.28884770914624</v>
      </c>
      <c r="S70" s="62">
        <f ca="1">AVERAGE(OFFSET($R$3,0,0,'Données projet'!$E$9+1,1))-AVERAGE(OFFSET($H$3,0,0,'Données projet'!$E$9+1,1))</f>
        <v>323.98185264074681</v>
      </c>
      <c r="T70" s="62">
        <f t="shared" si="88"/>
        <v>301.22207291854005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2.1445150615298805</v>
      </c>
      <c r="AA70" s="23">
        <f>EXP(-LN(2)/25)*AA69+(1-EXP(-LN(2)/25))/(LN(2)/25)*Calculateur!V70*Calculateur!X70*VLOOKUP('Données projet'!$B$9,Paramètres!$A$1:$I$89,3,0)*0.475*44/12</f>
        <v>2.9565646505720538</v>
      </c>
      <c r="AB70" s="23">
        <f>EXP(-LN(2)/2)*AB69+(1-EXP(-LN(2)/2))/(LN(2)/2)*V70*Y70*VLOOKUP('Données projet'!$B$9,Paramètres!$A$1:$I$89,3,0)*0.475*44/12</f>
        <v>1.6421240765625201E-5</v>
      </c>
      <c r="AC70" s="24">
        <f t="shared" si="57"/>
        <v>5.1010961333426996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9.1830769230769249</v>
      </c>
      <c r="AI70" s="14">
        <f>IF('Données projet'!$A$62&gt;35,AI69+AH70-AQ69,IF(A70&lt;'Données projet'!$A$62,$AF$205^A70,IF(A70='Données projet'!$A$62,'Données projet'!$B$62,AI69+AH70-AQ69)))</f>
        <v>352.44307692307677</v>
      </c>
      <c r="AJ70" s="14">
        <f>AI70*VLOOKUP('Données projet'!$B$10,Paramètres!$A$1:$I$89,3,0)*VLOOKUP('Données projet'!$B$10,Paramètres!$A$1:$I$89,5,0)</f>
        <v>210.76095999999993</v>
      </c>
      <c r="AK70" s="14">
        <f t="shared" si="89"/>
        <v>52.101839581538208</v>
      </c>
      <c r="AL70" s="22">
        <f t="shared" si="58"/>
        <v>457.81937593784551</v>
      </c>
      <c r="AM70" s="62">
        <f t="shared" si="59"/>
        <v>751.15270927117876</v>
      </c>
      <c r="AN70" s="62">
        <f ca="1">AVERAGE(OFFSET($AM$3,0,0,'Données projet'!$E$10+1,1))-AVERAGE(OFFSET($H$3,0,0,'Données projet'!$E$10+1,1))</f>
        <v>289.12367833861299</v>
      </c>
      <c r="AO70" s="62">
        <f t="shared" si="90"/>
        <v>229.06617320689003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1.1185665909324803E-5</v>
      </c>
      <c r="AX70" s="23">
        <f t="shared" si="60"/>
        <v>1.1185665909324803E-5</v>
      </c>
      <c r="AY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6.8</v>
      </c>
      <c r="BD70" s="13">
        <f>IF('Données projet'!$A$88&gt;35,BD69+BC70-BL69,IF(A70&lt;'Données projet'!$A$88,$BA$205^A70,IF(A70='Données projet'!$A$88,'Données projet'!$B$88,BD69+BC70-BL69)))</f>
        <v>242.59999999999994</v>
      </c>
      <c r="BE70" s="14">
        <f>BD70*VLOOKUP('Données projet'!$B$11,Paramètres!$A$1:$I$89,3,0)*VLOOKUP('Données projet'!$B$11,Paramètres!$A$1:$I$89,5,0)</f>
        <v>219.50447999999992</v>
      </c>
      <c r="BF70" s="14">
        <f t="shared" si="91"/>
        <v>54.007172767040167</v>
      </c>
      <c r="BG70" s="22">
        <f t="shared" si="61"/>
        <v>476.36612856926143</v>
      </c>
      <c r="BH70" s="62">
        <f t="shared" si="62"/>
        <v>769.69946190259475</v>
      </c>
      <c r="BI70" s="62">
        <f ca="1">AVERAGE(OFFSET($BH$3,0,0,'Données projet'!$E$11+1,1))-AVERAGE(OFFSET($H$3,0,0,'Données projet'!$E$11+1,1))</f>
        <v>428.8489304403459</v>
      </c>
      <c r="BJ70" s="62">
        <f t="shared" si="92"/>
        <v>247.01165577562966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3.8</v>
      </c>
      <c r="BY70" s="13">
        <f>IF('Données projet'!$A$114&gt;35,BY69+BX70-CG69,IF(A70&lt;'Données projet'!$A$114,$BV$205^A70,IF(A70='Données projet'!$A$114,'Données projet'!$B$114,BY69+BX70-CG69)))</f>
        <v>262.59999999999991</v>
      </c>
      <c r="BZ70" s="14">
        <f>BY70*VLOOKUP('Données projet'!$B$12,Paramètres!$A$1:$I$89,3,0)*VLOOKUP('Données projet'!$B$12,Paramètres!$A$1:$I$89,5,0)</f>
        <v>192.53831999999994</v>
      </c>
      <c r="CA70" s="14">
        <f t="shared" si="93"/>
        <v>48.100705179740942</v>
      </c>
      <c r="CB70" s="22">
        <f t="shared" si="64"/>
        <v>419.11296885471535</v>
      </c>
      <c r="CC70" s="62">
        <f t="shared" si="65"/>
        <v>712.44630218804866</v>
      </c>
      <c r="CD70" s="62">
        <f ca="1">AVERAGE(OFFSET($CC$3,0,0,'Données projet'!$E$12+1,1))-AVERAGE(OFFSET($H$3,0,0,'Données projet'!$E$12+1,1))</f>
        <v>290.85271051443431</v>
      </c>
      <c r="CE70" s="62">
        <f t="shared" si="94"/>
        <v>318.66958823451142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8.6666666666666661</v>
      </c>
      <c r="CT70" s="13">
        <f>IF('Données projet'!$A$140&gt;35,CT69+CS70-DB69,IF(A70&lt;'Données projet'!$A$140,$CQ$205^A70,IF(A70='Données projet'!$A$140,'Données projet'!$B$140,CT69+CS70-DB69)))</f>
        <v>310.66666666666674</v>
      </c>
      <c r="CU70" s="18">
        <f>CT70*VLOOKUP('Données projet'!$B$13,Paramètres!$A$1:$I$89,3,0)*VLOOKUP('Données projet'!$B$13,Paramètres!$A$1:$I$89,5,0)</f>
        <v>242.32000000000008</v>
      </c>
      <c r="CV70" s="14">
        <f t="shared" si="95"/>
        <v>58.938409961900909</v>
      </c>
      <c r="CW70" s="22">
        <f t="shared" si="67"/>
        <v>524.69173068364421</v>
      </c>
      <c r="CX70" s="62">
        <f t="shared" si="68"/>
        <v>818.02506401697747</v>
      </c>
      <c r="CY70" s="62">
        <f ca="1">AVERAGE(OFFSET($CX$3,0,0,'Données projet'!$E$13+1,1))-AVERAGE(OFFSET($H$3,0,0,'Données projet'!$E$13+1,1))</f>
        <v>292.57482726862594</v>
      </c>
      <c r="CZ70" s="62">
        <f t="shared" si="96"/>
        <v>283.48738729114024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3.8</v>
      </c>
      <c r="DO70" s="13">
        <f>IF('Données projet'!$A$166&gt;35,DO69+DN70-DW69,IF(A70&lt;'Données projet'!$A$166,$DL$205^A70,IF(A70='Données projet'!$A$166,'Données projet'!$B$166,DO69+DN70-DW69)))</f>
        <v>262.59999999999991</v>
      </c>
      <c r="DP70" s="18">
        <f>DO70*VLOOKUP('Données projet'!$B$14,Paramètres!$A$1:$I$89,3,0)*VLOOKUP('Données projet'!$B$14,Paramètres!$A$1:$I$89,5,0)</f>
        <v>208.92455999999996</v>
      </c>
      <c r="DQ70" s="14">
        <f t="shared" si="97"/>
        <v>51.700504821714368</v>
      </c>
      <c r="DR70" s="22">
        <f t="shared" si="70"/>
        <v>453.92198789781906</v>
      </c>
      <c r="DS70" s="62">
        <f t="shared" si="71"/>
        <v>747.25532123115238</v>
      </c>
      <c r="DT70" s="62">
        <f ca="1">AVERAGE(OFFSET($DS$3,0,0,'Données projet'!$E$14+1,1))-AVERAGE(OFFSET($H$3,0,0,'Données projet'!$E$14+1,1))</f>
        <v>312.53381881960331</v>
      </c>
      <c r="DU70" s="62">
        <f t="shared" si="98"/>
        <v>342.06887933351783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4.3589743589743595</v>
      </c>
      <c r="EJ70" s="13">
        <f>IF('Données projet'!$A$192&gt;35,EJ69+EI70-ER69,IF(A70&lt;'Données projet'!$A$192,$EG$205^A70,IF(A70='Données projet'!$A$192,'Données projet'!$B$192,EJ69+EI70-ER69)))</f>
        <v>202.30769230769224</v>
      </c>
      <c r="EK70" s="18">
        <f>EJ70*VLOOKUP('Données projet'!$B$15,Paramètres!$A$1:$I$89,3,0)*VLOOKUP('Données projet'!$B$15,Paramètres!$A$1:$I$89,5,0)</f>
        <v>192.51599999999993</v>
      </c>
      <c r="EL70" s="14">
        <f t="shared" si="99"/>
        <v>48.095778128339838</v>
      </c>
      <c r="EM70" s="22">
        <f t="shared" si="73"/>
        <v>419.0655135735251</v>
      </c>
      <c r="EN70" s="62">
        <f t="shared" si="74"/>
        <v>712.39884690685835</v>
      </c>
      <c r="EO70" s="62">
        <f ca="1">AVERAGE(OFFSET($EN$3,0,0,'Données projet'!$E$15+1,1))-AVERAGE(OFFSET($H$3,0,0,'Données projet'!$E$15+1,1))</f>
        <v>363.37916970915211</v>
      </c>
      <c r="EP70" s="62">
        <f t="shared" si="100"/>
        <v>281.52963027844595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9.6897435897435908</v>
      </c>
      <c r="FE70" s="13">
        <f>IF('Données projet'!$A$218&gt;35,FE69+FD70-FM69,IF(A70&lt;'Données projet'!$A$218,$FB$205^A70,IF(A70='Données projet'!$A$218,'Données projet'!$B$218,FE69+FD70-FM69)))</f>
        <v>281.36666666666656</v>
      </c>
      <c r="FF70" s="18">
        <f>FE70*VLOOKUP('Données projet'!$B$16,Paramètres!$A$1:$I$89,3,0)*VLOOKUP('Données projet'!$B$16,Paramètres!$A$1:$I$89,5,0)</f>
        <v>131.67959999999997</v>
      </c>
      <c r="FG70" s="14">
        <f t="shared" si="101"/>
        <v>34.38417513752983</v>
      </c>
      <c r="FH70" s="22">
        <f t="shared" si="76"/>
        <v>289.22774169786436</v>
      </c>
      <c r="FI70" s="62">
        <f t="shared" si="77"/>
        <v>582.56107503119767</v>
      </c>
      <c r="FJ70" s="62">
        <f ca="1">AVERAGE(OFFSET($FI$3,0,0,'Données projet'!$E$16+1,1))-AVERAGE(OFFSET($H$3,0,0,'Données projet'!$E$16+1,1))</f>
        <v>245.47494516762282</v>
      </c>
      <c r="FK70" s="62">
        <f t="shared" si="102"/>
        <v>145.54897745089966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6.8</v>
      </c>
      <c r="FZ70" s="13">
        <f>IF('Données projet'!$A$244&gt;35,FZ69+FY70-GH69,IF(A70&lt;'Données projet'!$A$244,$FW$205^A70,IF(A70='Données projet'!$A$244,'Données projet'!$B$244,FZ69+FY70-GH69)))</f>
        <v>242.59999999999994</v>
      </c>
      <c r="GA70" s="18">
        <f>FZ70*VLOOKUP('Données projet'!$B$17,Paramètres!$A$1:$I$89,3,0)*VLOOKUP('Données projet'!$B$17,Paramètres!$A$1:$I$89,5,0)</f>
        <v>234.64271999999994</v>
      </c>
      <c r="GB70" s="14">
        <f t="shared" si="103"/>
        <v>57.285375557336316</v>
      </c>
      <c r="GC70" s="22">
        <f t="shared" si="79"/>
        <v>508.44143309569387</v>
      </c>
      <c r="GD70" s="62">
        <f t="shared" si="80"/>
        <v>801.77476642902718</v>
      </c>
      <c r="GE70" s="62">
        <f ca="1">AVERAGE(OFFSET($GD$3,0,0,'Données projet'!$E$17+1,1))-AVERAGE(OFFSET($H$3,0,0,'Données projet'!$E$17+1,1))</f>
        <v>455.50822833641354</v>
      </c>
      <c r="GF70" s="62">
        <f t="shared" si="104"/>
        <v>261.14722581688039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4.9999999999999947</v>
      </c>
      <c r="GU70" s="13">
        <f>IF('Données projet'!$A$270&gt;35,GU69+GT70-HC69,IF(A70&lt;'Données projet'!$A$270,$GR$205^A70,IF(A70='Données projet'!$A$270,'Données projet'!$B$270,GU69+GT70-HC69)))</f>
        <v>250.38461538461544</v>
      </c>
      <c r="GV70" s="18">
        <f>GU70*VLOOKUP('Données projet'!$B$18,Paramètres!$A$1:$I$89,3,0)*VLOOKUP('Données projet'!$B$18,Paramètres!$A$1:$I$89,5,0)</f>
        <v>167.95800000000006</v>
      </c>
      <c r="GW70" s="14">
        <f t="shared" si="105"/>
        <v>42.632362356023975</v>
      </c>
      <c r="GX70" s="22">
        <f t="shared" si="82"/>
        <v>366.77821443674179</v>
      </c>
      <c r="GY70" s="62">
        <f t="shared" si="83"/>
        <v>660.11154777007505</v>
      </c>
      <c r="GZ70" s="62">
        <f ca="1">AVERAGE(OFFSET($GY$3,0,0,'Données projet'!$E$18+1,1))-AVERAGE(OFFSET($H$3,0,0,'Données projet'!$E$18+1,1))</f>
        <v>312.06797204903796</v>
      </c>
      <c r="HA70" s="62">
        <f t="shared" si="106"/>
        <v>258.20189001775151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projet'!$B$18,Paramètres!$A$1:$I$89,3,0)*0.475*44/12</f>
        <v>0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84"/>
        <v>0</v>
      </c>
    </row>
    <row r="71" spans="1:218" s="5" customFormat="1" x14ac:dyDescent="0.25">
      <c r="A71" s="11">
        <f t="shared" si="85"/>
        <v>68</v>
      </c>
      <c r="B71" s="76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9">
        <f t="shared" si="56"/>
        <v>256.66666666666669</v>
      </c>
      <c r="I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13.373076923076932</v>
      </c>
      <c r="N71" s="14">
        <f>IF('Données projet'!$A$36&gt;35,N70+M71-V70,IF(A71&lt;'Données projet'!$A$36,$K$205^A71,IF(A71='Données projet'!$A$36,'Données projet'!$B$36,N70+M71-V70)))</f>
        <v>442.8576923076925</v>
      </c>
      <c r="O71" s="14">
        <f>N71*VLOOKUP('Données projet'!$B$9,Paramètres!$A$1:$I$89,3,0)*VLOOKUP('Données projet'!$B$9,Paramètres!$A$1:$I$89,5,0)</f>
        <v>247.5574500000001</v>
      </c>
      <c r="P71" s="14">
        <f t="shared" si="87"/>
        <v>60.062607033562486</v>
      </c>
      <c r="Q71" s="22">
        <f t="shared" si="54"/>
        <v>535.7715993334549</v>
      </c>
      <c r="R71" s="62">
        <f t="shared" si="55"/>
        <v>829.10493266678827</v>
      </c>
      <c r="S71" s="62">
        <f ca="1">AVERAGE(OFFSET($R$3,0,0,'Données projet'!$E$9+1,1))-AVERAGE(OFFSET($H$3,0,0,'Données projet'!$E$9+1,1))</f>
        <v>323.98185264074681</v>
      </c>
      <c r="T71" s="62">
        <f t="shared" si="88"/>
        <v>301.22207291854005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2.1024624291983103</v>
      </c>
      <c r="AA71" s="23">
        <f>EXP(-LN(2)/25)*AA70+(1-EXP(-LN(2)/25))/(LN(2)/25)*Calculateur!V71*Calculateur!X71*VLOOKUP('Données projet'!$B$9,Paramètres!$A$1:$I$89,3,0)*0.475*44/12</f>
        <v>2.8757172347231834</v>
      </c>
      <c r="AB71" s="23">
        <f>EXP(-LN(2)/2)*AB70+(1-EXP(-LN(2)/2))/(LN(2)/2)*V71*Y71*VLOOKUP('Données projet'!$B$9,Paramètres!$A$1:$I$89,3,0)*0.475*44/12</f>
        <v>1.1611570700870553E-5</v>
      </c>
      <c r="AC71" s="24">
        <f t="shared" si="57"/>
        <v>4.9781912754921942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9.1830769230769249</v>
      </c>
      <c r="AI71" s="14">
        <f>IF('Données projet'!$A$62&gt;35,AI70+AH71-AQ70,IF(A71&lt;'Données projet'!$A$62,$AF$205^A71,IF(A71='Données projet'!$A$62,'Données projet'!$B$62,AI70+AH71-AQ70)))</f>
        <v>361.62615384615367</v>
      </c>
      <c r="AJ71" s="14">
        <f>AI71*VLOOKUP('Données projet'!$B$10,Paramètres!$A$1:$I$89,3,0)*VLOOKUP('Données projet'!$B$10,Paramètres!$A$1:$I$89,5,0)</f>
        <v>216.25243999999989</v>
      </c>
      <c r="AK71" s="14">
        <f t="shared" si="89"/>
        <v>53.299559396285737</v>
      </c>
      <c r="AL71" s="22">
        <f t="shared" si="58"/>
        <v>469.46973228186403</v>
      </c>
      <c r="AM71" s="62">
        <f t="shared" si="59"/>
        <v>762.80306561519728</v>
      </c>
      <c r="AN71" s="62">
        <f ca="1">AVERAGE(OFFSET($AM$3,0,0,'Données projet'!$E$10+1,1))-AVERAGE(OFFSET($H$3,0,0,'Données projet'!$E$10+1,1))</f>
        <v>289.12367833861299</v>
      </c>
      <c r="AO71" s="62">
        <f t="shared" si="90"/>
        <v>229.06617320689003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7.9094602165707578E-6</v>
      </c>
      <c r="AX71" s="23">
        <f t="shared" si="60"/>
        <v>7.9094602165707578E-6</v>
      </c>
      <c r="AY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6.8</v>
      </c>
      <c r="BD71" s="13">
        <f>IF('Données projet'!$A$88&gt;35,BD70+BC71-BL70,IF(A71&lt;'Données projet'!$A$88,$BA$205^A71,IF(A71='Données projet'!$A$88,'Données projet'!$B$88,BD70+BC71-BL70)))</f>
        <v>249.39999999999995</v>
      </c>
      <c r="BE71" s="14">
        <f>BD71*VLOOKUP('Données projet'!$B$11,Paramètres!$A$1:$I$89,3,0)*VLOOKUP('Données projet'!$B$11,Paramètres!$A$1:$I$89,5,0)</f>
        <v>225.65711999999994</v>
      </c>
      <c r="BF71" s="14">
        <f t="shared" si="91"/>
        <v>55.342610076561513</v>
      </c>
      <c r="BG71" s="22">
        <f t="shared" si="61"/>
        <v>489.40786321667775</v>
      </c>
      <c r="BH71" s="62">
        <f t="shared" si="62"/>
        <v>782.74119655001107</v>
      </c>
      <c r="BI71" s="62">
        <f ca="1">AVERAGE(OFFSET($BH$3,0,0,'Données projet'!$E$11+1,1))-AVERAGE(OFFSET($H$3,0,0,'Données projet'!$E$11+1,1))</f>
        <v>428.8489304403459</v>
      </c>
      <c r="BJ71" s="62">
        <f t="shared" si="92"/>
        <v>247.01165577562966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3.8</v>
      </c>
      <c r="BY71" s="13">
        <f>IF('Données projet'!$A$114&gt;35,BY70+BX71-CG70,IF(A71&lt;'Données projet'!$A$114,$BV$205^A71,IF(A71='Données projet'!$A$114,'Données projet'!$B$114,BY70+BX71-CG70)))</f>
        <v>266.39999999999992</v>
      </c>
      <c r="BZ71" s="14">
        <f>BY71*VLOOKUP('Données projet'!$B$12,Paramètres!$A$1:$I$89,3,0)*VLOOKUP('Données projet'!$B$12,Paramètres!$A$1:$I$89,5,0)</f>
        <v>195.32447999999994</v>
      </c>
      <c r="CA71" s="14">
        <f t="shared" si="93"/>
        <v>48.715219584659224</v>
      </c>
      <c r="CB71" s="22">
        <f t="shared" si="64"/>
        <v>425.03581010994799</v>
      </c>
      <c r="CC71" s="62">
        <f t="shared" si="65"/>
        <v>718.36914344328125</v>
      </c>
      <c r="CD71" s="62">
        <f ca="1">AVERAGE(OFFSET($CC$3,0,0,'Données projet'!$E$12+1,1))-AVERAGE(OFFSET($H$3,0,0,'Données projet'!$E$12+1,1))</f>
        <v>290.85271051443431</v>
      </c>
      <c r="CE71" s="62">
        <f t="shared" si="94"/>
        <v>318.66958823451142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8.6666666666666661</v>
      </c>
      <c r="CT71" s="13">
        <f>IF('Données projet'!$A$140&gt;35,CT70+CS71-DB70,IF(A71&lt;'Données projet'!$A$140,$CQ$205^A71,IF(A71='Données projet'!$A$140,'Données projet'!$B$140,CT70+CS71-DB70)))</f>
        <v>319.33333333333343</v>
      </c>
      <c r="CU71" s="18">
        <f>CT71*VLOOKUP('Données projet'!$B$13,Paramètres!$A$1:$I$89,3,0)*VLOOKUP('Données projet'!$B$13,Paramètres!$A$1:$I$89,5,0)</f>
        <v>249.08000000000007</v>
      </c>
      <c r="CV71" s="14">
        <f t="shared" si="95"/>
        <v>60.388894447487807</v>
      </c>
      <c r="CW71" s="22">
        <f t="shared" si="67"/>
        <v>538.99165782937473</v>
      </c>
      <c r="CX71" s="62">
        <f t="shared" si="68"/>
        <v>832.3249911627081</v>
      </c>
      <c r="CY71" s="62">
        <f ca="1">AVERAGE(OFFSET($CX$3,0,0,'Données projet'!$E$13+1,1))-AVERAGE(OFFSET($H$3,0,0,'Données projet'!$E$13+1,1))</f>
        <v>292.57482726862594</v>
      </c>
      <c r="CZ71" s="62">
        <f t="shared" si="96"/>
        <v>283.48738729114024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3.8</v>
      </c>
      <c r="DO71" s="13">
        <f>IF('Données projet'!$A$166&gt;35,DO70+DN71-DW70,IF(A71&lt;'Données projet'!$A$166,$DL$205^A71,IF(A71='Données projet'!$A$166,'Données projet'!$B$166,DO70+DN71-DW70)))</f>
        <v>266.39999999999992</v>
      </c>
      <c r="DP71" s="18">
        <f>DO71*VLOOKUP('Données projet'!$B$14,Paramètres!$A$1:$I$89,3,0)*VLOOKUP('Données projet'!$B$14,Paramètres!$A$1:$I$89,5,0)</f>
        <v>211.94783999999996</v>
      </c>
      <c r="DQ71" s="14">
        <f t="shared" si="97"/>
        <v>52.361008754780862</v>
      </c>
      <c r="DR71" s="22">
        <f t="shared" si="70"/>
        <v>460.33791158124319</v>
      </c>
      <c r="DS71" s="62">
        <f t="shared" si="71"/>
        <v>753.6712449145765</v>
      </c>
      <c r="DT71" s="62">
        <f ca="1">AVERAGE(OFFSET($DS$3,0,0,'Données projet'!$E$14+1,1))-AVERAGE(OFFSET($H$3,0,0,'Données projet'!$E$14+1,1))</f>
        <v>312.53381881960331</v>
      </c>
      <c r="DU71" s="62">
        <f t="shared" si="98"/>
        <v>342.06887933351783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4.3589743589743595</v>
      </c>
      <c r="EJ71" s="13">
        <f>IF('Données projet'!$A$192&gt;35,EJ70+EI71-ER70,IF(A71&lt;'Données projet'!$A$192,$EG$205^A71,IF(A71='Données projet'!$A$192,'Données projet'!$B$192,EJ70+EI71-ER70)))</f>
        <v>206.6666666666666</v>
      </c>
      <c r="EK71" s="18">
        <f>EJ71*VLOOKUP('Données projet'!$B$15,Paramètres!$A$1:$I$89,3,0)*VLOOKUP('Données projet'!$B$15,Paramètres!$A$1:$I$89,5,0)</f>
        <v>196.66399999999993</v>
      </c>
      <c r="EL71" s="14">
        <f t="shared" si="99"/>
        <v>49.010299712644574</v>
      </c>
      <c r="EM71" s="22">
        <f t="shared" si="73"/>
        <v>427.8827386661892</v>
      </c>
      <c r="EN71" s="62">
        <f t="shared" si="74"/>
        <v>721.21607199952246</v>
      </c>
      <c r="EO71" s="62">
        <f ca="1">AVERAGE(OFFSET($EN$3,0,0,'Données projet'!$E$15+1,1))-AVERAGE(OFFSET($H$3,0,0,'Données projet'!$E$15+1,1))</f>
        <v>363.37916970915211</v>
      </c>
      <c r="EP71" s="62">
        <f t="shared" si="100"/>
        <v>281.52963027844595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9.6897435897435908</v>
      </c>
      <c r="FE71" s="13">
        <f>IF('Données projet'!$A$218&gt;35,FE70+FD71-FM70,IF(A71&lt;'Données projet'!$A$218,$FB$205^A71,IF(A71='Données projet'!$A$218,'Données projet'!$B$218,FE70+FD71-FM70)))</f>
        <v>291.05641025641017</v>
      </c>
      <c r="FF71" s="18">
        <f>FE71*VLOOKUP('Données projet'!$B$16,Paramètres!$A$1:$I$89,3,0)*VLOOKUP('Données projet'!$B$16,Paramètres!$A$1:$I$89,5,0)</f>
        <v>136.21439999999996</v>
      </c>
      <c r="FG71" s="14">
        <f t="shared" si="101"/>
        <v>35.428398980540805</v>
      </c>
      <c r="FH71" s="22">
        <f t="shared" si="76"/>
        <v>298.94454155777515</v>
      </c>
      <c r="FI71" s="62">
        <f t="shared" si="77"/>
        <v>592.27787489110847</v>
      </c>
      <c r="FJ71" s="62">
        <f ca="1">AVERAGE(OFFSET($FI$3,0,0,'Données projet'!$E$16+1,1))-AVERAGE(OFFSET($H$3,0,0,'Données projet'!$E$16+1,1))</f>
        <v>245.47494516762282</v>
      </c>
      <c r="FK71" s="62">
        <f t="shared" si="102"/>
        <v>145.54897745089966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6.8</v>
      </c>
      <c r="FZ71" s="13">
        <f>IF('Données projet'!$A$244&gt;35,FZ70+FY71-GH70,IF(A71&lt;'Données projet'!$A$244,$FW$205^A71,IF(A71='Données projet'!$A$244,'Données projet'!$B$244,FZ70+FY71-GH70)))</f>
        <v>249.39999999999995</v>
      </c>
      <c r="GA71" s="18">
        <f>FZ71*VLOOKUP('Données projet'!$B$17,Paramètres!$A$1:$I$89,3,0)*VLOOKUP('Données projet'!$B$17,Paramètres!$A$1:$I$89,5,0)</f>
        <v>241.21967999999995</v>
      </c>
      <c r="GB71" s="14">
        <f t="shared" si="103"/>
        <v>58.701873105526744</v>
      </c>
      <c r="GC71" s="22">
        <f t="shared" si="79"/>
        <v>522.36337165879229</v>
      </c>
      <c r="GD71" s="62">
        <f t="shared" si="80"/>
        <v>815.69670499212566</v>
      </c>
      <c r="GE71" s="62">
        <f ca="1">AVERAGE(OFFSET($GD$3,0,0,'Données projet'!$E$17+1,1))-AVERAGE(OFFSET($H$3,0,0,'Données projet'!$E$17+1,1))</f>
        <v>455.50822833641354</v>
      </c>
      <c r="GF71" s="62">
        <f t="shared" si="104"/>
        <v>261.14722581688039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4.9999999999999947</v>
      </c>
      <c r="GU71" s="13">
        <f>IF('Données projet'!$A$270&gt;35,GU70+GT71-HC70,IF(A71&lt;'Données projet'!$A$270,$GR$205^A71,IF(A71='Données projet'!$A$270,'Données projet'!$B$270,GU70+GT71-HC70)))</f>
        <v>255.38461538461544</v>
      </c>
      <c r="GV71" s="18">
        <f>GU71*VLOOKUP('Données projet'!$B$18,Paramètres!$A$1:$I$89,3,0)*VLOOKUP('Données projet'!$B$18,Paramètres!$A$1:$I$89,5,0)</f>
        <v>171.31200000000004</v>
      </c>
      <c r="GW71" s="14">
        <f t="shared" si="105"/>
        <v>43.383736333098376</v>
      </c>
      <c r="GX71" s="22">
        <f t="shared" si="82"/>
        <v>373.92840744681308</v>
      </c>
      <c r="GY71" s="62">
        <f t="shared" si="83"/>
        <v>667.2617407801464</v>
      </c>
      <c r="GZ71" s="62">
        <f ca="1">AVERAGE(OFFSET($GY$3,0,0,'Données projet'!$E$18+1,1))-AVERAGE(OFFSET($H$3,0,0,'Données projet'!$E$18+1,1))</f>
        <v>312.06797204903796</v>
      </c>
      <c r="HA71" s="62">
        <f t="shared" si="106"/>
        <v>258.20189001775151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projet'!$B$18,Paramètres!$A$1:$I$89,3,0)*0.475*44/12</f>
        <v>0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84"/>
        <v>0</v>
      </c>
    </row>
    <row r="72" spans="1:218" s="5" customFormat="1" x14ac:dyDescent="0.25">
      <c r="A72" s="11">
        <f t="shared" si="85"/>
        <v>69</v>
      </c>
      <c r="B72" s="76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9">
        <f t="shared" si="56"/>
        <v>256.66666666666669</v>
      </c>
      <c r="I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>
        <f>VLOOKUP(A72,'Données projet'!$A$35:$I$55,2,0)</f>
        <v>456.23076923076923</v>
      </c>
      <c r="L72" s="13">
        <f>VLOOKUP(A72,'Données projet'!$A$35:$I$55,9,0)</f>
        <v>13.373076923076932</v>
      </c>
      <c r="M72" s="13">
        <f t="array" ref="M72">INDEX(L:L,MIN(IF(ISNUMBER(L72:L268),ROW(L72:L268),"")))</f>
        <v>13.373076923076932</v>
      </c>
      <c r="N72" s="14">
        <f>IF('Données projet'!$A$36&gt;35,N71+M72-V71,IF(A72&lt;'Données projet'!$A$36,$K$205^A72,IF(A72='Données projet'!$A$36,'Données projet'!$B$36,N71+M72-V71)))</f>
        <v>456.23076923076945</v>
      </c>
      <c r="O72" s="14">
        <f>N72*VLOOKUP('Données projet'!$B$9,Paramètres!$A$1:$I$89,3,0)*VLOOKUP('Données projet'!$B$9,Paramètres!$A$1:$I$89,5,0)</f>
        <v>255.03300000000013</v>
      </c>
      <c r="P72" s="14">
        <f t="shared" si="87"/>
        <v>61.662428642904949</v>
      </c>
      <c r="Q72" s="22">
        <f t="shared" si="54"/>
        <v>551.57787155305971</v>
      </c>
      <c r="R72" s="62">
        <f t="shared" si="55"/>
        <v>844.91120488639308</v>
      </c>
      <c r="S72" s="62">
        <f ca="1">AVERAGE(OFFSET($R$3,0,0,'Données projet'!$E$9+1,1))-AVERAGE(OFFSET($H$3,0,0,'Données projet'!$E$9+1,1))</f>
        <v>323.98185264074681</v>
      </c>
      <c r="T72" s="62">
        <f t="shared" si="88"/>
        <v>301.22207291854005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2.0612344233371891</v>
      </c>
      <c r="AA72" s="23">
        <f>EXP(-LN(2)/25)*AA71+(1-EXP(-LN(2)/25))/(LN(2)/25)*Calculateur!V72*Calculateur!X72*VLOOKUP('Données projet'!$B$9,Paramètres!$A$1:$I$89,3,0)*0.475*44/12</f>
        <v>2.7970805957122811</v>
      </c>
      <c r="AB72" s="23">
        <f>EXP(-LN(2)/2)*AB71+(1-EXP(-LN(2)/2))/(LN(2)/2)*V72*Y72*VLOOKUP('Données projet'!$B$9,Paramètres!$A$1:$I$89,3,0)*0.475*44/12</f>
        <v>8.2106203828126005E-6</v>
      </c>
      <c r="AC72" s="24">
        <f t="shared" si="57"/>
        <v>4.8583232296698533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9.1830769230769249</v>
      </c>
      <c r="AI72" s="14">
        <f>IF('Données projet'!$A$62&gt;35,AI71+AH72-AQ71,IF(A72&lt;'Données projet'!$A$62,$AF$205^A72,IF(A72='Données projet'!$A$62,'Données projet'!$B$62,AI71+AH72-AQ71)))</f>
        <v>370.80923076923057</v>
      </c>
      <c r="AJ72" s="14">
        <f>AI72*VLOOKUP('Données projet'!$B$10,Paramètres!$A$1:$I$89,3,0)*VLOOKUP('Données projet'!$B$10,Paramètres!$A$1:$I$89,5,0)</f>
        <v>221.74391999999989</v>
      </c>
      <c r="AK72" s="14">
        <f t="shared" si="89"/>
        <v>54.493743764780973</v>
      </c>
      <c r="AL72" s="22">
        <f t="shared" si="58"/>
        <v>481.11393105699329</v>
      </c>
      <c r="AM72" s="62">
        <f t="shared" si="59"/>
        <v>774.44726439032661</v>
      </c>
      <c r="AN72" s="62">
        <f ca="1">AVERAGE(OFFSET($AM$3,0,0,'Données projet'!$E$10+1,1))-AVERAGE(OFFSET($H$3,0,0,'Données projet'!$E$10+1,1))</f>
        <v>289.12367833861299</v>
      </c>
      <c r="AO72" s="62">
        <f t="shared" si="90"/>
        <v>229.06617320689003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5.5928329546624017E-6</v>
      </c>
      <c r="AX72" s="23">
        <f t="shared" si="60"/>
        <v>5.5928329546624017E-6</v>
      </c>
      <c r="AY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6.8</v>
      </c>
      <c r="BD72" s="13">
        <f>IF('Données projet'!$A$88&gt;35,BD71+BC72-BL71,IF(A72&lt;'Données projet'!$A$88,$BA$205^A72,IF(A72='Données projet'!$A$88,'Données projet'!$B$88,BD71+BC72-BL71)))</f>
        <v>256.19999999999993</v>
      </c>
      <c r="BE72" s="14">
        <f>BD72*VLOOKUP('Données projet'!$B$11,Paramètres!$A$1:$I$89,3,0)*VLOOKUP('Données projet'!$B$11,Paramètres!$A$1:$I$89,5,0)</f>
        <v>231.80975999999993</v>
      </c>
      <c r="BF72" s="14">
        <f t="shared" si="91"/>
        <v>56.673815277159328</v>
      </c>
      <c r="BG72" s="22">
        <f t="shared" si="61"/>
        <v>502.44222694105241</v>
      </c>
      <c r="BH72" s="62">
        <f t="shared" si="62"/>
        <v>795.77556027438573</v>
      </c>
      <c r="BI72" s="62">
        <f ca="1">AVERAGE(OFFSET($BH$3,0,0,'Données projet'!$E$11+1,1))-AVERAGE(OFFSET($H$3,0,0,'Données projet'!$E$11+1,1))</f>
        <v>428.8489304403459</v>
      </c>
      <c r="BJ72" s="62">
        <f t="shared" si="92"/>
        <v>247.01165577562966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3.8</v>
      </c>
      <c r="BY72" s="13">
        <f>IF('Données projet'!$A$114&gt;35,BY71+BX72-CG71,IF(A72&lt;'Données projet'!$A$114,$BV$205^A72,IF(A72='Données projet'!$A$114,'Données projet'!$B$114,BY71+BX72-CG71)))</f>
        <v>270.19999999999993</v>
      </c>
      <c r="BZ72" s="14">
        <f>BY72*VLOOKUP('Données projet'!$B$12,Paramètres!$A$1:$I$89,3,0)*VLOOKUP('Données projet'!$B$12,Paramètres!$A$1:$I$89,5,0)</f>
        <v>198.11063999999993</v>
      </c>
      <c r="CA72" s="14">
        <f t="shared" si="93"/>
        <v>49.328714484239143</v>
      </c>
      <c r="CB72" s="22">
        <f t="shared" si="64"/>
        <v>430.95687572671636</v>
      </c>
      <c r="CC72" s="62">
        <f t="shared" si="65"/>
        <v>724.29020906004962</v>
      </c>
      <c r="CD72" s="62">
        <f ca="1">AVERAGE(OFFSET($CC$3,0,0,'Données projet'!$E$12+1,1))-AVERAGE(OFFSET($H$3,0,0,'Données projet'!$E$12+1,1))</f>
        <v>290.85271051443431</v>
      </c>
      <c r="CE72" s="62">
        <f t="shared" si="94"/>
        <v>318.66958823451142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>
        <f>VLOOKUP(A72,'Données projet'!$A$139:$I$159,2,0)</f>
        <v>328</v>
      </c>
      <c r="CR72" s="13">
        <f>VLOOKUP(A72,'Données projet'!$A$139:$I$159,9,0)</f>
        <v>8.6666666666666661</v>
      </c>
      <c r="CS72" s="13">
        <f t="array" ref="CS72">INDEX(CR:CR,MIN(IF(ISNUMBER(CR72:CR268),ROW(CR72:CR268),"")))</f>
        <v>8.6666666666666661</v>
      </c>
      <c r="CT72" s="13">
        <f>IF('Données projet'!$A$140&gt;35,CT71+CS72-DB71,IF(A72&lt;'Données projet'!$A$140,$CQ$205^A72,IF(A72='Données projet'!$A$140,'Données projet'!$B$140,CT71+CS72-DB71)))</f>
        <v>328.00000000000011</v>
      </c>
      <c r="CU72" s="18">
        <f>CT72*VLOOKUP('Données projet'!$B$13,Paramètres!$A$1:$I$89,3,0)*VLOOKUP('Données projet'!$B$13,Paramètres!$A$1:$I$89,5,0)</f>
        <v>255.84000000000009</v>
      </c>
      <c r="CV72" s="14">
        <f t="shared" si="95"/>
        <v>61.834803371075836</v>
      </c>
      <c r="CW72" s="22">
        <f t="shared" si="67"/>
        <v>553.28361587129064</v>
      </c>
      <c r="CX72" s="62">
        <f t="shared" si="68"/>
        <v>846.61694920462401</v>
      </c>
      <c r="CY72" s="62">
        <f ca="1">AVERAGE(OFFSET($CX$3,0,0,'Données projet'!$E$13+1,1))-AVERAGE(OFFSET($H$3,0,0,'Données projet'!$E$13+1,1))</f>
        <v>292.57482726862594</v>
      </c>
      <c r="CZ72" s="62">
        <f t="shared" si="96"/>
        <v>283.48738729114024</v>
      </c>
      <c r="DA72" s="16">
        <f>IF(ISNA(VLOOKUP(A72,'Données projet'!$A$139:$I$159,3,0)),0,VLOOKUP(A72,'Données projet'!$A$139:$I$159,3,0))</f>
        <v>7</v>
      </c>
      <c r="DB72" s="16">
        <f>IF(ISNA(VLOOKUP(A72,'Données projet'!$A$139:$I$159,4,0)),0,VLOOKUP(A72,'Données projet'!$A$139:$I$159,4,0))</f>
        <v>328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3.8</v>
      </c>
      <c r="DO72" s="13">
        <f>IF('Données projet'!$A$166&gt;35,DO71+DN72-DW71,IF(A72&lt;'Données projet'!$A$166,$DL$205^A72,IF(A72='Données projet'!$A$166,'Données projet'!$B$166,DO71+DN72-DW71)))</f>
        <v>270.19999999999993</v>
      </c>
      <c r="DP72" s="18">
        <f>DO72*VLOOKUP('Données projet'!$B$14,Paramètres!$A$1:$I$89,3,0)*VLOOKUP('Données projet'!$B$14,Paramètres!$A$1:$I$89,5,0)</f>
        <v>214.97111999999996</v>
      </c>
      <c r="DQ72" s="14">
        <f t="shared" si="97"/>
        <v>53.020416883940428</v>
      </c>
      <c r="DR72" s="22">
        <f t="shared" si="70"/>
        <v>466.75192673952944</v>
      </c>
      <c r="DS72" s="62">
        <f t="shared" si="71"/>
        <v>760.08526007286275</v>
      </c>
      <c r="DT72" s="62">
        <f ca="1">AVERAGE(OFFSET($DS$3,0,0,'Données projet'!$E$14+1,1))-AVERAGE(OFFSET($H$3,0,0,'Données projet'!$E$14+1,1))</f>
        <v>312.53381881960331</v>
      </c>
      <c r="DU72" s="62">
        <f t="shared" si="98"/>
        <v>342.06887933351783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4.3589743589743595</v>
      </c>
      <c r="EJ72" s="13">
        <f>IF('Données projet'!$A$192&gt;35,EJ71+EI72-ER71,IF(A72&lt;'Données projet'!$A$192,$EG$205^A72,IF(A72='Données projet'!$A$192,'Données projet'!$B$192,EJ71+EI72-ER71)))</f>
        <v>211.02564102564097</v>
      </c>
      <c r="EK72" s="18">
        <f>EJ72*VLOOKUP('Données projet'!$B$15,Paramètres!$A$1:$I$89,3,0)*VLOOKUP('Données projet'!$B$15,Paramètres!$A$1:$I$89,5,0)</f>
        <v>200.81199999999993</v>
      </c>
      <c r="EL72" s="14">
        <f t="shared" si="99"/>
        <v>49.922578645138138</v>
      </c>
      <c r="EM72" s="22">
        <f t="shared" si="73"/>
        <v>436.69605780694877</v>
      </c>
      <c r="EN72" s="62">
        <f t="shared" si="74"/>
        <v>730.02939114028209</v>
      </c>
      <c r="EO72" s="62">
        <f ca="1">AVERAGE(OFFSET($EN$3,0,0,'Données projet'!$E$15+1,1))-AVERAGE(OFFSET($H$3,0,0,'Données projet'!$E$15+1,1))</f>
        <v>363.37916970915211</v>
      </c>
      <c r="EP72" s="62">
        <f t="shared" si="100"/>
        <v>281.52963027844595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>
        <f>VLOOKUP(A72,'Données projet'!$A$217:$I$237,2,0)</f>
        <v>300.74615384615385</v>
      </c>
      <c r="FC72" s="13">
        <f>VLOOKUP(A72,'Données projet'!$A$217:$I$237,9,0)</f>
        <v>9.6897435897435908</v>
      </c>
      <c r="FD72" s="13">
        <f t="array" ref="FD72">INDEX(FC:FC,MIN(IF(ISNUMBER(FC72:FC268),ROW(FC72:FC268),"")))</f>
        <v>9.6897435897435908</v>
      </c>
      <c r="FE72" s="13">
        <f>IF('Données projet'!$A$218&gt;35,FE71+FD72-FM71,IF(A72&lt;'Données projet'!$A$218,$FB$205^A72,IF(A72='Données projet'!$A$218,'Données projet'!$B$218,FE71+FD72-FM71)))</f>
        <v>300.74615384615379</v>
      </c>
      <c r="FF72" s="18">
        <f>FE72*VLOOKUP('Données projet'!$B$16,Paramètres!$A$1:$I$89,3,0)*VLOOKUP('Données projet'!$B$16,Paramètres!$A$1:$I$89,5,0)</f>
        <v>140.74919999999997</v>
      </c>
      <c r="FG72" s="14">
        <f t="shared" si="101"/>
        <v>36.468583345471806</v>
      </c>
      <c r="FH72" s="22">
        <f t="shared" si="76"/>
        <v>308.65430599336338</v>
      </c>
      <c r="FI72" s="62">
        <f t="shared" si="77"/>
        <v>601.98763932669669</v>
      </c>
      <c r="FJ72" s="62">
        <f ca="1">AVERAGE(OFFSET($FI$3,0,0,'Données projet'!$E$16+1,1))-AVERAGE(OFFSET($H$3,0,0,'Données projet'!$E$16+1,1))</f>
        <v>245.47494516762282</v>
      </c>
      <c r="FK72" s="62">
        <f t="shared" si="102"/>
        <v>145.54897745089966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6.8</v>
      </c>
      <c r="FZ72" s="13">
        <f>IF('Données projet'!$A$244&gt;35,FZ71+FY72-GH71,IF(A72&lt;'Données projet'!$A$244,$FW$205^A72,IF(A72='Données projet'!$A$244,'Données projet'!$B$244,FZ71+FY72-GH71)))</f>
        <v>256.19999999999993</v>
      </c>
      <c r="GA72" s="18">
        <f>FZ72*VLOOKUP('Données projet'!$B$17,Paramètres!$A$1:$I$89,3,0)*VLOOKUP('Données projet'!$B$17,Paramètres!$A$1:$I$89,5,0)</f>
        <v>247.79663999999997</v>
      </c>
      <c r="GB72" s="14">
        <f t="shared" si="103"/>
        <v>60.113881658336368</v>
      </c>
      <c r="GC72" s="22">
        <f t="shared" si="79"/>
        <v>536.27749188826908</v>
      </c>
      <c r="GD72" s="62">
        <f t="shared" si="80"/>
        <v>829.61082522160245</v>
      </c>
      <c r="GE72" s="62">
        <f ca="1">AVERAGE(OFFSET($GD$3,0,0,'Données projet'!$E$17+1,1))-AVERAGE(OFFSET($H$3,0,0,'Données projet'!$E$17+1,1))</f>
        <v>455.50822833641354</v>
      </c>
      <c r="GF72" s="62">
        <f t="shared" si="104"/>
        <v>261.14722581688039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4.9999999999999947</v>
      </c>
      <c r="GU72" s="13">
        <f>IF('Données projet'!$A$270&gt;35,GU71+GT72-HC71,IF(A72&lt;'Données projet'!$A$270,$GR$205^A72,IF(A72='Données projet'!$A$270,'Données projet'!$B$270,GU71+GT72-HC71)))</f>
        <v>260.38461538461542</v>
      </c>
      <c r="GV72" s="18">
        <f>GU72*VLOOKUP('Données projet'!$B$18,Paramètres!$A$1:$I$89,3,0)*VLOOKUP('Données projet'!$B$18,Paramètres!$A$1:$I$89,5,0)</f>
        <v>174.66600000000003</v>
      </c>
      <c r="GW72" s="14">
        <f t="shared" si="105"/>
        <v>44.133399826367565</v>
      </c>
      <c r="GX72" s="22">
        <f t="shared" si="82"/>
        <v>381.0756213642569</v>
      </c>
      <c r="GY72" s="62">
        <f t="shared" si="83"/>
        <v>674.40895469759016</v>
      </c>
      <c r="GZ72" s="62">
        <f ca="1">AVERAGE(OFFSET($GY$3,0,0,'Données projet'!$E$18+1,1))-AVERAGE(OFFSET($H$3,0,0,'Données projet'!$E$18+1,1))</f>
        <v>312.06797204903796</v>
      </c>
      <c r="HA72" s="62">
        <f t="shared" si="106"/>
        <v>258.20189001775151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projet'!$B$18,Paramètres!$A$1:$I$89,3,0)*0.475*44/12</f>
        <v>0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84"/>
        <v>0</v>
      </c>
    </row>
    <row r="73" spans="1:218" s="5" customFormat="1" x14ac:dyDescent="0.25">
      <c r="A73" s="11">
        <f t="shared" si="85"/>
        <v>70</v>
      </c>
      <c r="B73" s="76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9">
        <f t="shared" si="56"/>
        <v>256.66666666666669</v>
      </c>
      <c r="I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469.06923076923073</v>
      </c>
      <c r="L73" s="13">
        <f>VLOOKUP(A73,'Données projet'!$A$35:$I$55,9,0)</f>
        <v>12.838461538461502</v>
      </c>
      <c r="M73" s="13">
        <f t="array" ref="M73">INDEX(L:L,MIN(IF(ISNUMBER(L73:L269),ROW(L73:L269),"")))</f>
        <v>12.838461538461502</v>
      </c>
      <c r="N73" s="14">
        <f>IF('Données projet'!$A$36&gt;35,N72+M73-V72,IF(A73&lt;'Données projet'!$A$36,$K$205^A73,IF(A73='Données projet'!$A$36,'Données projet'!$B$36,N72+M73-V72)))</f>
        <v>469.06923076923096</v>
      </c>
      <c r="O73" s="14">
        <f>N73*VLOOKUP('Données projet'!$B$9,Paramètres!$A$1:$I$89,3,0)*VLOOKUP('Données projet'!$B$9,Paramètres!$A$1:$I$89,5,0)</f>
        <v>262.20970000000011</v>
      </c>
      <c r="P73" s="14">
        <f t="shared" si="87"/>
        <v>63.193164452376678</v>
      </c>
      <c r="Q73" s="22">
        <f t="shared" si="54"/>
        <v>566.74332225455612</v>
      </c>
      <c r="R73" s="62">
        <f t="shared" si="55"/>
        <v>860.07665558788949</v>
      </c>
      <c r="S73" s="62">
        <f ca="1">AVERAGE(OFFSET($R$3,0,0,'Données projet'!$E$9+1,1))-AVERAGE(OFFSET($H$3,0,0,'Données projet'!$E$9+1,1))</f>
        <v>323.98185264074681</v>
      </c>
      <c r="T73" s="62">
        <f t="shared" si="88"/>
        <v>301.22207291854005</v>
      </c>
      <c r="U73" s="16">
        <f>IF(ISNA(VLOOKUP(A73,'Données projet'!$A$35:$I$55,3,0)),0,VLOOKUP(A73,'Données projet'!$A$35:$I$55,3,0))</f>
        <v>8</v>
      </c>
      <c r="V73" s="16">
        <f>IF(ISNA(VLOOKUP(A73,'Données projet'!$A$35:$I$55,4,0)),0,VLOOKUP(A73,'Données projet'!$A$35:$I$55,4,0))</f>
        <v>469.06923076923073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2.020814873524404</v>
      </c>
      <c r="AA73" s="23">
        <f>EXP(-LN(2)/25)*AA72+(1-EXP(-LN(2)/25))/(LN(2)/25)*Calculateur!V73*Calculateur!X73*VLOOKUP('Données projet'!$B$9,Paramètres!$A$1:$I$89,3,0)*0.475*44/12</f>
        <v>2.7205942797304532</v>
      </c>
      <c r="AB73" s="23">
        <f>EXP(-LN(2)/2)*AB72+(1-EXP(-LN(2)/2))/(LN(2)/2)*V73*Y73*VLOOKUP('Données projet'!$B$9,Paramètres!$A$1:$I$89,3,0)*0.475*44/12</f>
        <v>5.8057853504352766E-6</v>
      </c>
      <c r="AC73" s="24">
        <f t="shared" si="57"/>
        <v>4.741414959040207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379.99230769230769</v>
      </c>
      <c r="AG73" s="13">
        <f>VLOOKUP(A73,'Données projet'!$A$61:$I$81,9,0)</f>
        <v>9.1830769230769249</v>
      </c>
      <c r="AH73" s="13">
        <f t="array" ref="AH73">INDEX(AG:AG,MIN(IF(ISNUMBER(AG73:AG269),ROW(AG73:AG269),"")))</f>
        <v>9.1830769230769249</v>
      </c>
      <c r="AI73" s="14">
        <f>IF('Données projet'!$A$62&gt;35,AI72+AH73-AQ72,IF(A73&lt;'Données projet'!$A$62,$AF$205^A73,IF(A73='Données projet'!$A$62,'Données projet'!$B$62,AI72+AH73-AQ72)))</f>
        <v>379.99230769230746</v>
      </c>
      <c r="AJ73" s="14">
        <f>AI73*VLOOKUP('Données projet'!$B$10,Paramètres!$A$1:$I$89,3,0)*VLOOKUP('Données projet'!$B$10,Paramètres!$A$1:$I$89,5,0)</f>
        <v>227.23539999999988</v>
      </c>
      <c r="AK73" s="14">
        <f t="shared" si="89"/>
        <v>55.684490313081348</v>
      </c>
      <c r="AL73" s="22">
        <f t="shared" si="58"/>
        <v>492.75214229528314</v>
      </c>
      <c r="AM73" s="62">
        <f t="shared" si="59"/>
        <v>786.08547562861645</v>
      </c>
      <c r="AN73" s="62">
        <f ca="1">AVERAGE(OFFSET($AM$3,0,0,'Données projet'!$E$10+1,1))-AVERAGE(OFFSET($H$3,0,0,'Données projet'!$E$10+1,1))</f>
        <v>289.12367833861299</v>
      </c>
      <c r="AO73" s="62">
        <f t="shared" si="90"/>
        <v>229.06617320689003</v>
      </c>
      <c r="AP73" s="16">
        <f>IF(ISNA(VLOOKUP(A73,'Données projet'!$A$61:$I$81,3,0)),0,VLOOKUP(A73,'Données projet'!$A$61:$I$81,3,0))</f>
        <v>7</v>
      </c>
      <c r="AQ73" s="16">
        <f>IF(ISNA(VLOOKUP(A73,'Données projet'!$A$61:$I$81,4,0)),0,VLOOKUP(A73,'Données projet'!$A$61:$I$81,4,0))</f>
        <v>52.669230769230765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3.9547301082853789E-6</v>
      </c>
      <c r="AX73" s="23">
        <f t="shared" si="60"/>
        <v>3.9547301082853789E-6</v>
      </c>
      <c r="AY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6.8</v>
      </c>
      <c r="BC73" s="13">
        <f t="array" ref="BC73">INDEX(BB:BB,MIN(IF(ISNUMBER(BB73:BB269),ROW(BB73:BB269),"")))</f>
        <v>6.8</v>
      </c>
      <c r="BD73" s="13">
        <f>IF('Données projet'!$A$88&gt;35,BD72+BC73-BL72,IF(A73&lt;'Données projet'!$A$88,$BA$205^A73,IF(A73='Données projet'!$A$88,'Données projet'!$B$88,BD72+BC73-BL72)))</f>
        <v>262.99999999999994</v>
      </c>
      <c r="BE73" s="14">
        <f>BD73*VLOOKUP('Données projet'!$B$11,Paramètres!$A$1:$I$89,3,0)*VLOOKUP('Données projet'!$B$11,Paramètres!$A$1:$I$89,5,0)</f>
        <v>237.96239999999995</v>
      </c>
      <c r="BF73" s="14">
        <f t="shared" si="91"/>
        <v>58.00091360766335</v>
      </c>
      <c r="BG73" s="22">
        <f t="shared" si="61"/>
        <v>515.4694378666801</v>
      </c>
      <c r="BH73" s="62">
        <f t="shared" si="62"/>
        <v>808.80277120001347</v>
      </c>
      <c r="BI73" s="62">
        <f ca="1">AVERAGE(OFFSET($BH$3,0,0,'Données projet'!$E$11+1,1))-AVERAGE(OFFSET($H$3,0,0,'Données projet'!$E$11+1,1))</f>
        <v>428.8489304403459</v>
      </c>
      <c r="BJ73" s="62">
        <f t="shared" si="92"/>
        <v>247.01165577562966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42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274</v>
      </c>
      <c r="BW73" s="13">
        <f>VLOOKUP(A73,'Données projet'!$A$113:$I$133,9,0)</f>
        <v>3.8</v>
      </c>
      <c r="BX73" s="13">
        <f t="array" ref="BX73">INDEX(BW:BW,MIN(IF(ISNUMBER(BW73:BW269),ROW(BW73:BW269),"")))</f>
        <v>3.8</v>
      </c>
      <c r="BY73" s="13">
        <f>IF('Données projet'!$A$114&gt;35,BY72+BX73-CG72,IF(A73&lt;'Données projet'!$A$114,$BV$205^A73,IF(A73='Données projet'!$A$114,'Données projet'!$B$114,BY72+BX73-CG72)))</f>
        <v>273.99999999999994</v>
      </c>
      <c r="BZ73" s="14">
        <f>BY73*VLOOKUP('Données projet'!$B$12,Paramètres!$A$1:$I$89,3,0)*VLOOKUP('Données projet'!$B$12,Paramètres!$A$1:$I$89,5,0)</f>
        <v>200.89679999999996</v>
      </c>
      <c r="CA73" s="14">
        <f t="shared" si="93"/>
        <v>49.941205873360218</v>
      </c>
      <c r="CB73" s="22">
        <f t="shared" si="64"/>
        <v>436.87619356276895</v>
      </c>
      <c r="CC73" s="62">
        <f t="shared" si="65"/>
        <v>730.20952689610226</v>
      </c>
      <c r="CD73" s="62">
        <f ca="1">AVERAGE(OFFSET($CC$3,0,0,'Données projet'!$E$12+1,1))-AVERAGE(OFFSET($H$3,0,0,'Données projet'!$E$12+1,1))</f>
        <v>290.85271051443431</v>
      </c>
      <c r="CE73" s="62">
        <f t="shared" si="94"/>
        <v>318.66958823451142</v>
      </c>
      <c r="CF73" s="16">
        <f>IF(ISNA(VLOOKUP(A73,'Données projet'!$A$113:$I$133,3,0)),0,VLOOKUP(A73,'Données projet'!$A$113:$I$133,3,0))</f>
        <v>6</v>
      </c>
      <c r="CG73" s="16">
        <f>IF(ISNA(VLOOKUP(A73,'Données projet'!$A$113:$I$133,4,0)),0,VLOOKUP(A73,'Données projet'!$A$113:$I$133,4,0))</f>
        <v>21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1.1368683772161603E-13</v>
      </c>
      <c r="CU73" s="18">
        <f>CT73*VLOOKUP('Données projet'!$B$13,Paramètres!$A$1:$I$89,3,0)*VLOOKUP('Données projet'!$B$13,Paramètres!$A$1:$I$89,5,0)</f>
        <v>8.8675733422860506E-14</v>
      </c>
      <c r="CV73" s="14">
        <f t="shared" si="95"/>
        <v>1.3509285393066301E-12</v>
      </c>
      <c r="CW73" s="22">
        <f t="shared" si="67"/>
        <v>2.5073107750038623E-12</v>
      </c>
      <c r="CX73" s="62">
        <f t="shared" si="68"/>
        <v>293.33333333333582</v>
      </c>
      <c r="CY73" s="62">
        <f ca="1">AVERAGE(OFFSET($CX$3,0,0,'Données projet'!$E$13+1,1))-AVERAGE(OFFSET($H$3,0,0,'Données projet'!$E$13+1,1))</f>
        <v>292.57482726862594</v>
      </c>
      <c r="CZ73" s="62">
        <f t="shared" si="96"/>
        <v>283.48738729114024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274</v>
      </c>
      <c r="DM73" s="13">
        <f>VLOOKUP(A73,'Données projet'!$A$165:$I$185,9,0)</f>
        <v>3.8</v>
      </c>
      <c r="DN73" s="13">
        <f t="array" ref="DN73">INDEX(DM:DM,MIN(IF(ISNUMBER(DM73:DM269),ROW(DM73:DM269),"")))</f>
        <v>3.8</v>
      </c>
      <c r="DO73" s="13">
        <f>IF('Données projet'!$A$166&gt;35,DO72+DN73-DW72,IF(A73&lt;'Données projet'!$A$166,$DL$205^A73,IF(A73='Données projet'!$A$166,'Données projet'!$B$166,DO72+DN73-DW72)))</f>
        <v>273.99999999999994</v>
      </c>
      <c r="DP73" s="18">
        <f>DO73*VLOOKUP('Données projet'!$B$14,Paramètres!$A$1:$I$89,3,0)*VLOOKUP('Données projet'!$B$14,Paramètres!$A$1:$I$89,5,0)</f>
        <v>217.99439999999998</v>
      </c>
      <c r="DQ73" s="14">
        <f t="shared" si="97"/>
        <v>53.678746401110374</v>
      </c>
      <c r="DR73" s="22">
        <f t="shared" si="70"/>
        <v>473.16406331526713</v>
      </c>
      <c r="DS73" s="62">
        <f t="shared" si="71"/>
        <v>766.49739664860044</v>
      </c>
      <c r="DT73" s="62">
        <f ca="1">AVERAGE(OFFSET($DS$3,0,0,'Données projet'!$E$14+1,1))-AVERAGE(OFFSET($H$3,0,0,'Données projet'!$E$14+1,1))</f>
        <v>312.53381881960331</v>
      </c>
      <c r="DU73" s="62">
        <f t="shared" si="98"/>
        <v>342.06887933351783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21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215.38461538461539</v>
      </c>
      <c r="EH73" s="13">
        <f>VLOOKUP(A73,'Données projet'!$A$191:$I$211,9,0)</f>
        <v>4.3589743589743595</v>
      </c>
      <c r="EI73" s="13">
        <f t="array" ref="EI73">INDEX(EH:EH,MIN(IF(ISNUMBER(EH73:EH269),ROW(EH73:EH269),"")))</f>
        <v>4.3589743589743595</v>
      </c>
      <c r="EJ73" s="13">
        <f>IF('Données projet'!$A$192&gt;35,EJ72+EI73-ER72,IF(A73&lt;'Données projet'!$A$192,$EG$205^A73,IF(A73='Données projet'!$A$192,'Données projet'!$B$192,EJ72+EI73-ER72)))</f>
        <v>215.38461538461533</v>
      </c>
      <c r="EK73" s="18">
        <f>EJ73*VLOOKUP('Données projet'!$B$15,Paramètres!$A$1:$I$89,3,0)*VLOOKUP('Données projet'!$B$15,Paramètres!$A$1:$I$89,5,0)</f>
        <v>204.95999999999998</v>
      </c>
      <c r="EL73" s="14">
        <f t="shared" si="99"/>
        <v>50.832666587809335</v>
      </c>
      <c r="EM73" s="22">
        <f t="shared" si="73"/>
        <v>445.50556097376784</v>
      </c>
      <c r="EN73" s="62">
        <f t="shared" si="74"/>
        <v>738.8388943071011</v>
      </c>
      <c r="EO73" s="62">
        <f ca="1">AVERAGE(OFFSET($EN$3,0,0,'Données projet'!$E$15+1,1))-AVERAGE(OFFSET($H$3,0,0,'Données projet'!$E$15+1,1))</f>
        <v>363.37916970915211</v>
      </c>
      <c r="EP73" s="62">
        <f t="shared" si="100"/>
        <v>281.52963027844595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28.846153846153847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9.9551282051282044</v>
      </c>
      <c r="FE73" s="13">
        <f>IF('Données projet'!$A$218&gt;35,FE72+FD73-FM72,IF(A73&lt;'Données projet'!$A$218,$FB$205^A73,IF(A73='Données projet'!$A$218,'Données projet'!$B$218,FE72+FD73-FM72)))</f>
        <v>310.70128205128196</v>
      </c>
      <c r="FF73" s="18">
        <f>FE73*VLOOKUP('Données projet'!$B$16,Paramètres!$A$1:$I$89,3,0)*VLOOKUP('Données projet'!$B$16,Paramètres!$A$1:$I$89,5,0)</f>
        <v>145.40819999999997</v>
      </c>
      <c r="FG73" s="14">
        <f t="shared" si="101"/>
        <v>37.533201941228626</v>
      </c>
      <c r="FH73" s="22">
        <f t="shared" si="76"/>
        <v>318.62294171430648</v>
      </c>
      <c r="FI73" s="62">
        <f t="shared" si="77"/>
        <v>611.95627504763979</v>
      </c>
      <c r="FJ73" s="62">
        <f ca="1">AVERAGE(OFFSET($FI$3,0,0,'Données projet'!$E$16+1,1))-AVERAGE(OFFSET($H$3,0,0,'Données projet'!$E$16+1,1))</f>
        <v>245.47494516762282</v>
      </c>
      <c r="FK73" s="62">
        <f t="shared" si="102"/>
        <v>145.54897745089966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263</v>
      </c>
      <c r="FX73" s="13">
        <f>VLOOKUP(A73,'Données projet'!$A$243:$I$263,9,0)</f>
        <v>6.8</v>
      </c>
      <c r="FY73" s="13">
        <f t="array" ref="FY73">INDEX(FX:FX,MIN(IF(ISNUMBER(FX73:FX269),ROW(FX73:FX269),"")))</f>
        <v>6.8</v>
      </c>
      <c r="FZ73" s="13">
        <f>IF('Données projet'!$A$244&gt;35,FZ72+FY73-GH72,IF(A73&lt;'Données projet'!$A$244,$FW$205^A73,IF(A73='Données projet'!$A$244,'Données projet'!$B$244,FZ72+FY73-GH72)))</f>
        <v>262.99999999999994</v>
      </c>
      <c r="GA73" s="18">
        <f>FZ73*VLOOKUP('Données projet'!$B$17,Paramètres!$A$1:$I$89,3,0)*VLOOKUP('Données projet'!$B$17,Paramètres!$A$1:$I$89,5,0)</f>
        <v>254.37359999999998</v>
      </c>
      <c r="GB73" s="14">
        <f t="shared" si="103"/>
        <v>61.521534056516209</v>
      </c>
      <c r="GC73" s="22">
        <f t="shared" si="79"/>
        <v>550.1840251484324</v>
      </c>
      <c r="GD73" s="62">
        <f t="shared" si="80"/>
        <v>843.51735848176577</v>
      </c>
      <c r="GE73" s="62">
        <f ca="1">AVERAGE(OFFSET($GD$3,0,0,'Données projet'!$E$17+1,1))-AVERAGE(OFFSET($H$3,0,0,'Données projet'!$E$17+1,1))</f>
        <v>455.50822833641354</v>
      </c>
      <c r="GF73" s="62">
        <f t="shared" si="104"/>
        <v>261.14722581688039</v>
      </c>
      <c r="GG73" s="16">
        <f>IF(ISNA(VLOOKUP(A73,'Données projet'!$A$243:$I$263,3,0)),0,VLOOKUP(A73,'Données projet'!$A$243:$I$263,3,0))</f>
        <v>5</v>
      </c>
      <c r="GH73" s="16">
        <f>IF(ISNA(VLOOKUP(A73,'Données projet'!$A$243:$I$263,4,0)),0,VLOOKUP(A73,'Données projet'!$A$243:$I$263,4,0))</f>
        <v>42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>
        <f>VLOOKUP(A73,'Données projet'!$A$269:$I$289,2,0)</f>
        <v>265.38461538461536</v>
      </c>
      <c r="GS73" s="13">
        <f>VLOOKUP(A73,'Données projet'!$A$269:$I$289,9,0)</f>
        <v>4.9999999999999947</v>
      </c>
      <c r="GT73" s="13">
        <f t="array" ref="GT73">INDEX(GS:GS,MIN(IF(ISNUMBER(GS73:GS269),ROW(GS73:GS269),"")))</f>
        <v>4.9999999999999947</v>
      </c>
      <c r="GU73" s="13">
        <f>IF('Données projet'!$A$270&gt;35,GU72+GT73-HC72,IF(A73&lt;'Données projet'!$A$270,$GR$205^A73,IF(A73='Données projet'!$A$270,'Données projet'!$B$270,GU72+GT73-HC72)))</f>
        <v>265.38461538461542</v>
      </c>
      <c r="GV73" s="18">
        <f>GU73*VLOOKUP('Données projet'!$B$18,Paramètres!$A$1:$I$89,3,0)*VLOOKUP('Données projet'!$B$18,Paramètres!$A$1:$I$89,5,0)</f>
        <v>178.02000000000004</v>
      </c>
      <c r="GW73" s="14">
        <f t="shared" si="105"/>
        <v>44.881389467952083</v>
      </c>
      <c r="GX73" s="22">
        <f t="shared" si="82"/>
        <v>388.21991999001654</v>
      </c>
      <c r="GY73" s="62">
        <f t="shared" si="83"/>
        <v>681.55325332334985</v>
      </c>
      <c r="GZ73" s="62">
        <f ca="1">AVERAGE(OFFSET($GY$3,0,0,'Données projet'!$E$18+1,1))-AVERAGE(OFFSET($H$3,0,0,'Données projet'!$E$18+1,1))</f>
        <v>312.06797204903796</v>
      </c>
      <c r="HA73" s="62">
        <f t="shared" si="106"/>
        <v>258.20189001775151</v>
      </c>
      <c r="HB73" s="16">
        <f>IF(ISNA(VLOOKUP(A73,'Données projet'!$A$269:$I$289,3,0)),0,VLOOKUP(A73,'Données projet'!$A$269:$I$289,3,0))</f>
        <v>6</v>
      </c>
      <c r="HC73" s="16">
        <f>IF(ISNA(VLOOKUP(A73,'Données projet'!$A$269:$I$289,4,0)),0,VLOOKUP(A73,'Données projet'!$A$269:$I$289,4,0))</f>
        <v>27.564102564102562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projet'!$B$18,Paramètres!$A$1:$I$89,3,0)*0.475*44/12</f>
        <v>0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84"/>
        <v>0</v>
      </c>
    </row>
    <row r="74" spans="1:218" s="5" customFormat="1" x14ac:dyDescent="0.25">
      <c r="A74" s="11">
        <f t="shared" si="85"/>
        <v>71</v>
      </c>
      <c r="B74" s="76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9">
        <f t="shared" si="56"/>
        <v>256.66666666666669</v>
      </c>
      <c r="I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2.2737367544323206E-13</v>
      </c>
      <c r="O74" s="14">
        <f>N74*VLOOKUP('Données projet'!$B$9,Paramètres!$A$1:$I$89,3,0)*VLOOKUP('Données projet'!$B$9,Paramètres!$A$1:$I$89,5,0)</f>
        <v>1.2710188457276673E-13</v>
      </c>
      <c r="P74" s="14">
        <f t="shared" si="87"/>
        <v>1.856866851063998E-12</v>
      </c>
      <c r="Q74" s="22">
        <f t="shared" si="54"/>
        <v>3.4554122145673649E-12</v>
      </c>
      <c r="R74" s="62">
        <f t="shared" si="55"/>
        <v>293.33333333333678</v>
      </c>
      <c r="S74" s="62">
        <f ca="1">AVERAGE(OFFSET($R$3,0,0,'Données projet'!$E$9+1,1))-AVERAGE(OFFSET($H$3,0,0,'Données projet'!$E$9+1,1))</f>
        <v>323.98185264074681</v>
      </c>
      <c r="T74" s="62">
        <f t="shared" si="88"/>
        <v>301.22207291854005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1.9811879264299566</v>
      </c>
      <c r="AA74" s="23">
        <f>EXP(-LN(2)/25)*AA73+(1-EXP(-LN(2)/25))/(LN(2)/25)*Calculateur!V74*Calculateur!X74*VLOOKUP('Données projet'!$B$9,Paramètres!$A$1:$I$89,3,0)*0.475*44/12</f>
        <v>2.6461994860813887</v>
      </c>
      <c r="AB74" s="23">
        <f>EXP(-LN(2)/2)*AB73+(1-EXP(-LN(2)/2))/(LN(2)/2)*V74*Y74*VLOOKUP('Données projet'!$B$9,Paramètres!$A$1:$I$89,3,0)*0.475*44/12</f>
        <v>4.1053101914063002E-6</v>
      </c>
      <c r="AC74" s="24">
        <f t="shared" si="57"/>
        <v>4.6273915178215361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7.5584615384615343</v>
      </c>
      <c r="AI74" s="14">
        <f>IF('Données projet'!$A$62&gt;35,AI73+AH74-AQ73,IF(A74&lt;'Données projet'!$A$62,$AF$205^A74,IF(A74='Données projet'!$A$62,'Données projet'!$B$62,AI73+AH74-AQ73)))</f>
        <v>334.88153846153824</v>
      </c>
      <c r="AJ74" s="14">
        <f>AI74*VLOOKUP('Données projet'!$B$10,Paramètres!$A$1:$I$89,3,0)*VLOOKUP('Données projet'!$B$10,Paramètres!$A$1:$I$89,5,0)</f>
        <v>200.25915999999989</v>
      </c>
      <c r="AK74" s="14">
        <f t="shared" si="89"/>
        <v>49.801118956127333</v>
      </c>
      <c r="AL74" s="22">
        <f t="shared" si="58"/>
        <v>435.52165251525486</v>
      </c>
      <c r="AM74" s="62">
        <f t="shared" si="59"/>
        <v>728.85498584858817</v>
      </c>
      <c r="AN74" s="62">
        <f ca="1">AVERAGE(OFFSET($AM$3,0,0,'Données projet'!$E$10+1,1))-AVERAGE(OFFSET($H$3,0,0,'Données projet'!$E$10+1,1))</f>
        <v>289.12367833861299</v>
      </c>
      <c r="AO74" s="62">
        <f t="shared" si="90"/>
        <v>229.06617320689003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2.7964164773312009E-6</v>
      </c>
      <c r="AX74" s="23">
        <f t="shared" si="60"/>
        <v>2.7964164773312009E-6</v>
      </c>
      <c r="AY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6.2</v>
      </c>
      <c r="BD74" s="13">
        <f>IF('Données projet'!$A$88&gt;35,BD73+BC74-BL73,IF(A74&lt;'Données projet'!$A$88,$BA$205^A74,IF(A74='Données projet'!$A$88,'Données projet'!$B$88,BD73+BC74-BL73)))</f>
        <v>227.19999999999993</v>
      </c>
      <c r="BE74" s="14">
        <f>BD74*VLOOKUP('Données projet'!$B$11,Paramètres!$A$1:$I$89,3,0)*VLOOKUP('Données projet'!$B$11,Paramètres!$A$1:$I$89,5,0)</f>
        <v>205.57055999999994</v>
      </c>
      <c r="BF74" s="14">
        <f t="shared" si="91"/>
        <v>50.966443946767392</v>
      </c>
      <c r="BG74" s="22">
        <f t="shared" si="61"/>
        <v>446.80194854061978</v>
      </c>
      <c r="BH74" s="62">
        <f t="shared" si="62"/>
        <v>740.13528187395309</v>
      </c>
      <c r="BI74" s="62">
        <f ca="1">AVERAGE(OFFSET($BH$3,0,0,'Données projet'!$E$11+1,1))-AVERAGE(OFFSET($H$3,0,0,'Données projet'!$E$11+1,1))</f>
        <v>428.8489304403459</v>
      </c>
      <c r="BJ74" s="62">
        <f t="shared" si="92"/>
        <v>247.01165577562966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3.4</v>
      </c>
      <c r="BY74" s="13">
        <f>IF('Données projet'!$A$114&gt;35,BY73+BX74-CG73,IF(A74&lt;'Données projet'!$A$114,$BV$205^A74,IF(A74='Données projet'!$A$114,'Données projet'!$B$114,BY73+BX74-CG73)))</f>
        <v>256.39999999999992</v>
      </c>
      <c r="BZ74" s="14">
        <f>BY74*VLOOKUP('Données projet'!$B$12,Paramètres!$A$1:$I$89,3,0)*VLOOKUP('Données projet'!$B$12,Paramètres!$A$1:$I$89,5,0)</f>
        <v>187.99247999999994</v>
      </c>
      <c r="CA74" s="14">
        <f t="shared" si="93"/>
        <v>47.095844674053957</v>
      </c>
      <c r="CB74" s="22">
        <f t="shared" si="64"/>
        <v>409.44549880731051</v>
      </c>
      <c r="CC74" s="62">
        <f t="shared" si="65"/>
        <v>702.77883214064377</v>
      </c>
      <c r="CD74" s="62">
        <f ca="1">AVERAGE(OFFSET($CC$3,0,0,'Données projet'!$E$12+1,1))-AVERAGE(OFFSET($H$3,0,0,'Données projet'!$E$12+1,1))</f>
        <v>290.85271051443431</v>
      </c>
      <c r="CE74" s="62">
        <f t="shared" si="94"/>
        <v>318.66958823451142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1.1368683772161603E-13</v>
      </c>
      <c r="CU74" s="18">
        <f>CT74*VLOOKUP('Données projet'!$B$13,Paramètres!$A$1:$I$89,3,0)*VLOOKUP('Données projet'!$B$13,Paramètres!$A$1:$I$89,5,0)</f>
        <v>8.8675733422860506E-14</v>
      </c>
      <c r="CV74" s="14">
        <f t="shared" si="95"/>
        <v>1.3509285393066301E-12</v>
      </c>
      <c r="CW74" s="22">
        <f t="shared" si="67"/>
        <v>2.5073107750038623E-12</v>
      </c>
      <c r="CX74" s="62">
        <f t="shared" si="68"/>
        <v>293.33333333333582</v>
      </c>
      <c r="CY74" s="62">
        <f ca="1">AVERAGE(OFFSET($CX$3,0,0,'Données projet'!$E$13+1,1))-AVERAGE(OFFSET($H$3,0,0,'Données projet'!$E$13+1,1))</f>
        <v>292.57482726862594</v>
      </c>
      <c r="CZ74" s="62">
        <f t="shared" si="96"/>
        <v>283.48738729114024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3.4</v>
      </c>
      <c r="DO74" s="13">
        <f>IF('Données projet'!$A$166&gt;35,DO73+DN74-DW73,IF(A74&lt;'Données projet'!$A$166,$DL$205^A74,IF(A74='Données projet'!$A$166,'Données projet'!$B$166,DO73+DN74-DW73)))</f>
        <v>256.39999999999992</v>
      </c>
      <c r="DP74" s="18">
        <f>DO74*VLOOKUP('Données projet'!$B$14,Paramètres!$A$1:$I$89,3,0)*VLOOKUP('Données projet'!$B$14,Paramètres!$A$1:$I$89,5,0)</f>
        <v>203.99183999999994</v>
      </c>
      <c r="DQ74" s="14">
        <f t="shared" si="97"/>
        <v>50.620441749347997</v>
      </c>
      <c r="DR74" s="22">
        <f t="shared" si="70"/>
        <v>443.449724046781</v>
      </c>
      <c r="DS74" s="62">
        <f t="shared" si="71"/>
        <v>736.78305738011431</v>
      </c>
      <c r="DT74" s="62">
        <f ca="1">AVERAGE(OFFSET($DS$3,0,0,'Données projet'!$E$14+1,1))-AVERAGE(OFFSET($H$3,0,0,'Données projet'!$E$14+1,1))</f>
        <v>312.53381881960331</v>
      </c>
      <c r="DU74" s="62">
        <f t="shared" si="98"/>
        <v>342.06887933351783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4.2307692307692264</v>
      </c>
      <c r="EJ74" s="13">
        <f>IF('Données projet'!$A$192&gt;35,EJ73+EI74-ER73,IF(A74&lt;'Données projet'!$A$192,$EG$205^A74,IF(A74='Données projet'!$A$192,'Données projet'!$B$192,EJ73+EI74-ER73)))</f>
        <v>190.76923076923072</v>
      </c>
      <c r="EK74" s="18">
        <f>EJ74*VLOOKUP('Données projet'!$B$15,Paramètres!$A$1:$I$89,3,0)*VLOOKUP('Données projet'!$B$15,Paramètres!$A$1:$I$89,5,0)</f>
        <v>181.53599999999997</v>
      </c>
      <c r="EL74" s="14">
        <f t="shared" si="99"/>
        <v>45.663748686335545</v>
      </c>
      <c r="EM74" s="22">
        <f t="shared" si="73"/>
        <v>395.70622896203434</v>
      </c>
      <c r="EN74" s="62">
        <f t="shared" si="74"/>
        <v>689.03956229536766</v>
      </c>
      <c r="EO74" s="62">
        <f ca="1">AVERAGE(OFFSET($EN$3,0,0,'Données projet'!$E$15+1,1))-AVERAGE(OFFSET($H$3,0,0,'Données projet'!$E$15+1,1))</f>
        <v>363.37916970915211</v>
      </c>
      <c r="EP74" s="62">
        <f t="shared" si="100"/>
        <v>281.52963027844595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9.9551282051282044</v>
      </c>
      <c r="FE74" s="13">
        <f>IF('Données projet'!$A$218&gt;35,FE73+FD74-FM73,IF(A74&lt;'Données projet'!$A$218,$FB$205^A74,IF(A74='Données projet'!$A$218,'Données projet'!$B$218,FE73+FD74-FM73)))</f>
        <v>320.65641025641014</v>
      </c>
      <c r="FF74" s="18">
        <f>FE74*VLOOKUP('Données projet'!$B$16,Paramètres!$A$1:$I$89,3,0)*VLOOKUP('Données projet'!$B$16,Paramètres!$A$1:$I$89,5,0)</f>
        <v>150.06719999999996</v>
      </c>
      <c r="FG74" s="14">
        <f t="shared" si="101"/>
        <v>38.593856663876636</v>
      </c>
      <c r="FH74" s="22">
        <f t="shared" si="76"/>
        <v>328.58467368958503</v>
      </c>
      <c r="FI74" s="62">
        <f t="shared" si="77"/>
        <v>621.91800702291835</v>
      </c>
      <c r="FJ74" s="62">
        <f ca="1">AVERAGE(OFFSET($FI$3,0,0,'Données projet'!$E$16+1,1))-AVERAGE(OFFSET($H$3,0,0,'Données projet'!$E$16+1,1))</f>
        <v>245.47494516762282</v>
      </c>
      <c r="FK74" s="62">
        <f t="shared" si="102"/>
        <v>145.54897745089966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6.2</v>
      </c>
      <c r="FZ74" s="13">
        <f>IF('Données projet'!$A$244&gt;35,FZ73+FY74-GH73,IF(A74&lt;'Données projet'!$A$244,$FW$205^A74,IF(A74='Données projet'!$A$244,'Données projet'!$B$244,FZ73+FY74-GH73)))</f>
        <v>227.19999999999993</v>
      </c>
      <c r="GA74" s="18">
        <f>FZ74*VLOOKUP('Données projet'!$B$17,Paramètres!$A$1:$I$89,3,0)*VLOOKUP('Données projet'!$B$17,Paramètres!$A$1:$I$89,5,0)</f>
        <v>219.74783999999994</v>
      </c>
      <c r="GB74" s="14">
        <f t="shared" si="103"/>
        <v>54.060076332940561</v>
      </c>
      <c r="GC74" s="22">
        <f t="shared" si="79"/>
        <v>476.88212094653812</v>
      </c>
      <c r="GD74" s="62">
        <f t="shared" si="80"/>
        <v>770.21545427987144</v>
      </c>
      <c r="GE74" s="62">
        <f ca="1">AVERAGE(OFFSET($GD$3,0,0,'Données projet'!$E$17+1,1))-AVERAGE(OFFSET($H$3,0,0,'Données projet'!$E$17+1,1))</f>
        <v>455.50822833641354</v>
      </c>
      <c r="GF74" s="62">
        <f t="shared" si="104"/>
        <v>261.14722581688039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4.6153846153846247</v>
      </c>
      <c r="GU74" s="13">
        <f>IF('Données projet'!$A$270&gt;35,GU73+GT74-HC73,IF(A74&lt;'Données projet'!$A$270,$GR$205^A74,IF(A74='Données projet'!$A$270,'Données projet'!$B$270,GU73+GT74-HC73)))</f>
        <v>242.43589743589749</v>
      </c>
      <c r="GV74" s="18">
        <f>GU74*VLOOKUP('Données projet'!$B$18,Paramètres!$A$1:$I$89,3,0)*VLOOKUP('Données projet'!$B$18,Paramètres!$A$1:$I$89,5,0)</f>
        <v>162.62600000000003</v>
      </c>
      <c r="GW74" s="14">
        <f t="shared" si="105"/>
        <v>41.43425469159893</v>
      </c>
      <c r="GX74" s="22">
        <f t="shared" si="82"/>
        <v>355.40494358786822</v>
      </c>
      <c r="GY74" s="62">
        <f t="shared" si="83"/>
        <v>648.73827692120153</v>
      </c>
      <c r="GZ74" s="62">
        <f ca="1">AVERAGE(OFFSET($GY$3,0,0,'Données projet'!$E$18+1,1))-AVERAGE(OFFSET($H$3,0,0,'Données projet'!$E$18+1,1))</f>
        <v>312.06797204903796</v>
      </c>
      <c r="HA74" s="62">
        <f t="shared" si="106"/>
        <v>258.20189001775151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projet'!$B$18,Paramètres!$A$1:$I$89,3,0)*0.475*44/12</f>
        <v>0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84"/>
        <v>0</v>
      </c>
    </row>
    <row r="75" spans="1:218" s="5" customFormat="1" x14ac:dyDescent="0.25">
      <c r="A75" s="11">
        <f t="shared" si="85"/>
        <v>72</v>
      </c>
      <c r="B75" s="76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9">
        <f t="shared" si="56"/>
        <v>256.66666666666669</v>
      </c>
      <c r="I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2.2737367544323206E-13</v>
      </c>
      <c r="O75" s="14">
        <f>N75*VLOOKUP('Données projet'!$B$9,Paramètres!$A$1:$I$89,3,0)*VLOOKUP('Données projet'!$B$9,Paramètres!$A$1:$I$89,5,0)</f>
        <v>1.2710188457276673E-13</v>
      </c>
      <c r="P75" s="14">
        <f t="shared" si="87"/>
        <v>1.856866851063998E-12</v>
      </c>
      <c r="Q75" s="22">
        <f t="shared" si="54"/>
        <v>3.4554122145673649E-12</v>
      </c>
      <c r="R75" s="62">
        <f t="shared" si="55"/>
        <v>293.33333333333678</v>
      </c>
      <c r="S75" s="62">
        <f ca="1">AVERAGE(OFFSET($R$3,0,0,'Données projet'!$E$9+1,1))-AVERAGE(OFFSET($H$3,0,0,'Données projet'!$E$9+1,1))</f>
        <v>323.98185264074681</v>
      </c>
      <c r="T75" s="62">
        <f t="shared" si="88"/>
        <v>301.22207291854005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1.9423380395979801</v>
      </c>
      <c r="AA75" s="23">
        <f>EXP(-LN(2)/25)*AA74+(1-EXP(-LN(2)/25))/(LN(2)/25)*Calculateur!V75*Calculateur!X75*VLOOKUP('Données projet'!$B$9,Paramètres!$A$1:$I$89,3,0)*0.475*44/12</f>
        <v>2.5738390219769101</v>
      </c>
      <c r="AB75" s="23">
        <f>EXP(-LN(2)/2)*AB74+(1-EXP(-LN(2)/2))/(LN(2)/2)*V75*Y75*VLOOKUP('Données projet'!$B$9,Paramètres!$A$1:$I$89,3,0)*0.475*44/12</f>
        <v>2.9028926752176383E-6</v>
      </c>
      <c r="AC75" s="24">
        <f t="shared" si="57"/>
        <v>4.5161799644675655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7.5584615384615343</v>
      </c>
      <c r="AI75" s="14">
        <f>IF('Données projet'!$A$62&gt;35,AI74+AH75-AQ74,IF(A75&lt;'Données projet'!$A$62,$AF$205^A75,IF(A75='Données projet'!$A$62,'Données projet'!$B$62,AI74+AH75-AQ74)))</f>
        <v>342.43999999999977</v>
      </c>
      <c r="AJ75" s="14">
        <f>AI75*VLOOKUP('Données projet'!$B$10,Paramètres!$A$1:$I$89,3,0)*VLOOKUP('Données projet'!$B$10,Paramètres!$A$1:$I$89,5,0)</f>
        <v>204.77911999999986</v>
      </c>
      <c r="AK75" s="14">
        <f t="shared" si="89"/>
        <v>50.79302579334589</v>
      </c>
      <c r="AL75" s="22">
        <f t="shared" si="58"/>
        <v>445.12148725674388</v>
      </c>
      <c r="AM75" s="62">
        <f t="shared" si="59"/>
        <v>738.45482059007713</v>
      </c>
      <c r="AN75" s="62">
        <f ca="1">AVERAGE(OFFSET($AM$3,0,0,'Données projet'!$E$10+1,1))-AVERAGE(OFFSET($H$3,0,0,'Données projet'!$E$10+1,1))</f>
        <v>289.12367833861299</v>
      </c>
      <c r="AO75" s="62">
        <f t="shared" si="90"/>
        <v>229.06617320689003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1.9773650541426895E-6</v>
      </c>
      <c r="AX75" s="23">
        <f t="shared" si="60"/>
        <v>1.9773650541426895E-6</v>
      </c>
      <c r="AY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6.2</v>
      </c>
      <c r="BD75" s="13">
        <f>IF('Données projet'!$A$88&gt;35,BD74+BC75-BL74,IF(A75&lt;'Données projet'!$A$88,$BA$205^A75,IF(A75='Données projet'!$A$88,'Données projet'!$B$88,BD74+BC75-BL74)))</f>
        <v>233.39999999999992</v>
      </c>
      <c r="BE75" s="14">
        <f>BD75*VLOOKUP('Données projet'!$B$11,Paramètres!$A$1:$I$89,3,0)*VLOOKUP('Données projet'!$B$11,Paramètres!$A$1:$I$89,5,0)</f>
        <v>211.18031999999994</v>
      </c>
      <c r="BF75" s="14">
        <f t="shared" si="91"/>
        <v>52.193431117443019</v>
      </c>
      <c r="BG75" s="22">
        <f t="shared" si="61"/>
        <v>458.70928319621316</v>
      </c>
      <c r="BH75" s="62">
        <f t="shared" si="62"/>
        <v>752.04261652954642</v>
      </c>
      <c r="BI75" s="62">
        <f ca="1">AVERAGE(OFFSET($BH$3,0,0,'Données projet'!$E$11+1,1))-AVERAGE(OFFSET($H$3,0,0,'Données projet'!$E$11+1,1))</f>
        <v>428.8489304403459</v>
      </c>
      <c r="BJ75" s="62">
        <f t="shared" si="92"/>
        <v>247.01165577562966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3.4</v>
      </c>
      <c r="BY75" s="13">
        <f>IF('Données projet'!$A$114&gt;35,BY74+BX75-CG74,IF(A75&lt;'Données projet'!$A$114,$BV$205^A75,IF(A75='Données projet'!$A$114,'Données projet'!$B$114,BY74+BX75-CG74)))</f>
        <v>259.7999999999999</v>
      </c>
      <c r="BZ75" s="14">
        <f>BY75*VLOOKUP('Données projet'!$B$12,Paramètres!$A$1:$I$89,3,0)*VLOOKUP('Données projet'!$B$12,Paramètres!$A$1:$I$89,5,0)</f>
        <v>190.48535999999993</v>
      </c>
      <c r="CA75" s="14">
        <f t="shared" si="93"/>
        <v>47.647243117546594</v>
      </c>
      <c r="CB75" s="22">
        <f t="shared" si="64"/>
        <v>414.74761709639353</v>
      </c>
      <c r="CC75" s="62">
        <f t="shared" si="65"/>
        <v>708.08095042972684</v>
      </c>
      <c r="CD75" s="62">
        <f ca="1">AVERAGE(OFFSET($CC$3,0,0,'Données projet'!$E$12+1,1))-AVERAGE(OFFSET($H$3,0,0,'Données projet'!$E$12+1,1))</f>
        <v>290.85271051443431</v>
      </c>
      <c r="CE75" s="62">
        <f t="shared" si="94"/>
        <v>318.66958823451142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1.1368683772161603E-13</v>
      </c>
      <c r="CU75" s="18">
        <f>CT75*VLOOKUP('Données projet'!$B$13,Paramètres!$A$1:$I$89,3,0)*VLOOKUP('Données projet'!$B$13,Paramètres!$A$1:$I$89,5,0)</f>
        <v>8.8675733422860506E-14</v>
      </c>
      <c r="CV75" s="14">
        <f t="shared" si="95"/>
        <v>1.3509285393066301E-12</v>
      </c>
      <c r="CW75" s="22">
        <f t="shared" si="67"/>
        <v>2.5073107750038623E-12</v>
      </c>
      <c r="CX75" s="62">
        <f t="shared" si="68"/>
        <v>293.33333333333582</v>
      </c>
      <c r="CY75" s="62">
        <f ca="1">AVERAGE(OFFSET($CX$3,0,0,'Données projet'!$E$13+1,1))-AVERAGE(OFFSET($H$3,0,0,'Données projet'!$E$13+1,1))</f>
        <v>292.57482726862594</v>
      </c>
      <c r="CZ75" s="62">
        <f t="shared" si="96"/>
        <v>283.48738729114024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3.4</v>
      </c>
      <c r="DO75" s="13">
        <f>IF('Données projet'!$A$166&gt;35,DO74+DN75-DW74,IF(A75&lt;'Données projet'!$A$166,$DL$205^A75,IF(A75='Données projet'!$A$166,'Données projet'!$B$166,DO74+DN75-DW74)))</f>
        <v>259.7999999999999</v>
      </c>
      <c r="DP75" s="18">
        <f>DO75*VLOOKUP('Données projet'!$B$14,Paramètres!$A$1:$I$89,3,0)*VLOOKUP('Données projet'!$B$14,Paramètres!$A$1:$I$89,5,0)</f>
        <v>206.69687999999994</v>
      </c>
      <c r="DQ75" s="14">
        <f t="shared" si="97"/>
        <v>51.213106197404436</v>
      </c>
      <c r="DR75" s="22">
        <f t="shared" si="70"/>
        <v>449.1932259604792</v>
      </c>
      <c r="DS75" s="62">
        <f t="shared" si="71"/>
        <v>742.52655929381251</v>
      </c>
      <c r="DT75" s="62">
        <f ca="1">AVERAGE(OFFSET($DS$3,0,0,'Données projet'!$E$14+1,1))-AVERAGE(OFFSET($H$3,0,0,'Données projet'!$E$14+1,1))</f>
        <v>312.53381881960331</v>
      </c>
      <c r="DU75" s="62">
        <f t="shared" si="98"/>
        <v>342.06887933351783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4.2307692307692264</v>
      </c>
      <c r="EJ75" s="13">
        <f>IF('Données projet'!$A$192&gt;35,EJ74+EI75-ER74,IF(A75&lt;'Données projet'!$A$192,$EG$205^A75,IF(A75='Données projet'!$A$192,'Données projet'!$B$192,EJ74+EI75-ER74)))</f>
        <v>194.99999999999994</v>
      </c>
      <c r="EK75" s="18">
        <f>EJ75*VLOOKUP('Données projet'!$B$15,Paramètres!$A$1:$I$89,3,0)*VLOOKUP('Données projet'!$B$15,Paramètres!$A$1:$I$89,5,0)</f>
        <v>185.56199999999995</v>
      </c>
      <c r="EL75" s="14">
        <f t="shared" si="99"/>
        <v>46.557428480028591</v>
      </c>
      <c r="EM75" s="22">
        <f t="shared" si="73"/>
        <v>404.27467126938308</v>
      </c>
      <c r="EN75" s="62">
        <f t="shared" si="74"/>
        <v>697.60800460271639</v>
      </c>
      <c r="EO75" s="62">
        <f ca="1">AVERAGE(OFFSET($EN$3,0,0,'Données projet'!$E$15+1,1))-AVERAGE(OFFSET($H$3,0,0,'Données projet'!$E$15+1,1))</f>
        <v>363.37916970915211</v>
      </c>
      <c r="EP75" s="62">
        <f t="shared" si="100"/>
        <v>281.52963027844595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9.9551282051282044</v>
      </c>
      <c r="FE75" s="13">
        <f>IF('Données projet'!$A$218&gt;35,FE74+FD75-FM74,IF(A75&lt;'Données projet'!$A$218,$FB$205^A75,IF(A75='Données projet'!$A$218,'Données projet'!$B$218,FE74+FD75-FM74)))</f>
        <v>330.61153846153832</v>
      </c>
      <c r="FF75" s="18">
        <f>FE75*VLOOKUP('Données projet'!$B$16,Paramètres!$A$1:$I$89,3,0)*VLOOKUP('Données projet'!$B$16,Paramètres!$A$1:$I$89,5,0)</f>
        <v>154.72619999999992</v>
      </c>
      <c r="FG75" s="14">
        <f t="shared" si="101"/>
        <v>39.650684697457002</v>
      </c>
      <c r="FH75" s="22">
        <f t="shared" si="76"/>
        <v>338.53974084807078</v>
      </c>
      <c r="FI75" s="62">
        <f t="shared" si="77"/>
        <v>631.87307418140404</v>
      </c>
      <c r="FJ75" s="62">
        <f ca="1">AVERAGE(OFFSET($FI$3,0,0,'Données projet'!$E$16+1,1))-AVERAGE(OFFSET($H$3,0,0,'Données projet'!$E$16+1,1))</f>
        <v>245.47494516762282</v>
      </c>
      <c r="FK75" s="62">
        <f t="shared" si="102"/>
        <v>145.54897745089966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6.2</v>
      </c>
      <c r="FZ75" s="13">
        <f>IF('Données projet'!$A$244&gt;35,FZ74+FY75-GH74,IF(A75&lt;'Données projet'!$A$244,$FW$205^A75,IF(A75='Données projet'!$A$244,'Données projet'!$B$244,FZ74+FY75-GH74)))</f>
        <v>233.39999999999992</v>
      </c>
      <c r="GA75" s="18">
        <f>FZ75*VLOOKUP('Données projet'!$B$17,Paramètres!$A$1:$I$89,3,0)*VLOOKUP('Données projet'!$B$17,Paramètres!$A$1:$I$89,5,0)</f>
        <v>225.74447999999992</v>
      </c>
      <c r="GB75" s="14">
        <f t="shared" si="103"/>
        <v>55.36154088431374</v>
      </c>
      <c r="GC75" s="22">
        <f t="shared" si="79"/>
        <v>489.59298637351299</v>
      </c>
      <c r="GD75" s="62">
        <f t="shared" si="80"/>
        <v>782.92631970684624</v>
      </c>
      <c r="GE75" s="62">
        <f ca="1">AVERAGE(OFFSET($GD$3,0,0,'Données projet'!$E$17+1,1))-AVERAGE(OFFSET($H$3,0,0,'Données projet'!$E$17+1,1))</f>
        <v>455.50822833641354</v>
      </c>
      <c r="GF75" s="62">
        <f t="shared" si="104"/>
        <v>261.14722581688039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4.6153846153846247</v>
      </c>
      <c r="GU75" s="13">
        <f>IF('Données projet'!$A$270&gt;35,GU74+GT75-HC74,IF(A75&lt;'Données projet'!$A$270,$GR$205^A75,IF(A75='Données projet'!$A$270,'Données projet'!$B$270,GU74+GT75-HC74)))</f>
        <v>247.0512820512821</v>
      </c>
      <c r="GV75" s="18">
        <f>GU75*VLOOKUP('Données projet'!$B$18,Paramètres!$A$1:$I$89,3,0)*VLOOKUP('Données projet'!$B$18,Paramètres!$A$1:$I$89,5,0)</f>
        <v>165.72200000000004</v>
      </c>
      <c r="GW75" s="14">
        <f t="shared" si="105"/>
        <v>42.130477313738041</v>
      </c>
      <c r="GX75" s="22">
        <f t="shared" si="82"/>
        <v>362.00973132142713</v>
      </c>
      <c r="GY75" s="62">
        <f t="shared" si="83"/>
        <v>655.34306465476038</v>
      </c>
      <c r="GZ75" s="62">
        <f ca="1">AVERAGE(OFFSET($GY$3,0,0,'Données projet'!$E$18+1,1))-AVERAGE(OFFSET($H$3,0,0,'Données projet'!$E$18+1,1))</f>
        <v>312.06797204903796</v>
      </c>
      <c r="HA75" s="62">
        <f t="shared" si="106"/>
        <v>258.20189001775151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projet'!$B$18,Paramètres!$A$1:$I$89,3,0)*0.475*44/12</f>
        <v>0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84"/>
        <v>0</v>
      </c>
    </row>
    <row r="76" spans="1:218" s="5" customFormat="1" x14ac:dyDescent="0.25">
      <c r="A76" s="11">
        <f t="shared" si="85"/>
        <v>73</v>
      </c>
      <c r="B76" s="76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9">
        <f t="shared" si="56"/>
        <v>256.66666666666669</v>
      </c>
      <c r="I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2.2737367544323206E-13</v>
      </c>
      <c r="O76" s="14">
        <f>N76*VLOOKUP('Données projet'!$B$9,Paramètres!$A$1:$I$89,3,0)*VLOOKUP('Données projet'!$B$9,Paramètres!$A$1:$I$89,5,0)</f>
        <v>1.2710188457276673E-13</v>
      </c>
      <c r="P76" s="14">
        <f t="shared" si="87"/>
        <v>1.856866851063998E-12</v>
      </c>
      <c r="Q76" s="22">
        <f t="shared" si="54"/>
        <v>3.4554122145673649E-12</v>
      </c>
      <c r="R76" s="62">
        <f t="shared" si="55"/>
        <v>293.33333333333678</v>
      </c>
      <c r="S76" s="62">
        <f ca="1">AVERAGE(OFFSET($R$3,0,0,'Données projet'!$E$9+1,1))-AVERAGE(OFFSET($H$3,0,0,'Données projet'!$E$9+1,1))</f>
        <v>323.98185264074681</v>
      </c>
      <c r="T76" s="62">
        <f t="shared" si="88"/>
        <v>301.22207291854005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1.9042499753506876</v>
      </c>
      <c r="AA76" s="23">
        <f>EXP(-LN(2)/25)*AA75+(1-EXP(-LN(2)/25))/(LN(2)/25)*Calculateur!V76*Calculateur!X76*VLOOKUP('Données projet'!$B$9,Paramètres!$A$1:$I$89,3,0)*0.475*44/12</f>
        <v>2.5034572585686399</v>
      </c>
      <c r="AB76" s="23">
        <f>EXP(-LN(2)/2)*AB75+(1-EXP(-LN(2)/2))/(LN(2)/2)*V76*Y76*VLOOKUP('Données projet'!$B$9,Paramètres!$A$1:$I$89,3,0)*0.475*44/12</f>
        <v>2.0526550957031501E-6</v>
      </c>
      <c r="AC76" s="24">
        <f t="shared" si="57"/>
        <v>4.4077092865744234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7.5584615384615343</v>
      </c>
      <c r="AI76" s="14">
        <f>IF('Données projet'!$A$62&gt;35,AI75+AH76-AQ75,IF(A76&lt;'Données projet'!$A$62,$AF$205^A76,IF(A76='Données projet'!$A$62,'Données projet'!$B$62,AI75+AH76-AQ75)))</f>
        <v>349.9984615384613</v>
      </c>
      <c r="AJ76" s="14">
        <f>AI76*VLOOKUP('Données projet'!$B$10,Paramètres!$A$1:$I$89,3,0)*VLOOKUP('Données projet'!$B$10,Paramètres!$A$1:$I$89,5,0)</f>
        <v>209.29907999999986</v>
      </c>
      <c r="AK76" s="14">
        <f t="shared" si="89"/>
        <v>51.782387252616175</v>
      </c>
      <c r="AL76" s="22">
        <f t="shared" si="58"/>
        <v>454.71688879830623</v>
      </c>
      <c r="AM76" s="62">
        <f t="shared" si="59"/>
        <v>748.05022213163954</v>
      </c>
      <c r="AN76" s="62">
        <f ca="1">AVERAGE(OFFSET($AM$3,0,0,'Données projet'!$E$10+1,1))-AVERAGE(OFFSET($H$3,0,0,'Données projet'!$E$10+1,1))</f>
        <v>289.12367833861299</v>
      </c>
      <c r="AO76" s="62">
        <f t="shared" si="90"/>
        <v>229.06617320689003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1.3982082386656004E-6</v>
      </c>
      <c r="AX76" s="23">
        <f t="shared" si="60"/>
        <v>1.3982082386656004E-6</v>
      </c>
      <c r="AY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6.2</v>
      </c>
      <c r="BD76" s="13">
        <f>IF('Données projet'!$A$88&gt;35,BD75+BC76-BL75,IF(A76&lt;'Données projet'!$A$88,$BA$205^A76,IF(A76='Données projet'!$A$88,'Données projet'!$B$88,BD75+BC76-BL75)))</f>
        <v>239.59999999999991</v>
      </c>
      <c r="BE76" s="14">
        <f>BD76*VLOOKUP('Données projet'!$B$11,Paramètres!$A$1:$I$89,3,0)*VLOOKUP('Données projet'!$B$11,Paramètres!$A$1:$I$89,5,0)</f>
        <v>216.7900799999999</v>
      </c>
      <c r="BF76" s="14">
        <f t="shared" si="91"/>
        <v>53.416629794462551</v>
      </c>
      <c r="BG76" s="22">
        <f t="shared" si="61"/>
        <v>470.61001955868869</v>
      </c>
      <c r="BH76" s="62">
        <f t="shared" si="62"/>
        <v>763.94335289202195</v>
      </c>
      <c r="BI76" s="62">
        <f ca="1">AVERAGE(OFFSET($BH$3,0,0,'Données projet'!$E$11+1,1))-AVERAGE(OFFSET($H$3,0,0,'Données projet'!$E$11+1,1))</f>
        <v>428.8489304403459</v>
      </c>
      <c r="BJ76" s="62">
        <f t="shared" si="92"/>
        <v>247.01165577562966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3.4</v>
      </c>
      <c r="BY76" s="13">
        <f>IF('Données projet'!$A$114&gt;35,BY75+BX76-CG75,IF(A76&lt;'Données projet'!$A$114,$BV$205^A76,IF(A76='Données projet'!$A$114,'Données projet'!$B$114,BY75+BX76-CG75)))</f>
        <v>263.19999999999987</v>
      </c>
      <c r="BZ76" s="14">
        <f>BY76*VLOOKUP('Données projet'!$B$12,Paramètres!$A$1:$I$89,3,0)*VLOOKUP('Données projet'!$B$12,Paramètres!$A$1:$I$89,5,0)</f>
        <v>192.97823999999991</v>
      </c>
      <c r="CA76" s="14">
        <f t="shared" si="93"/>
        <v>48.197802215761044</v>
      </c>
      <c r="CB76" s="22">
        <f t="shared" si="64"/>
        <v>420.0482735257836</v>
      </c>
      <c r="CC76" s="62">
        <f t="shared" si="65"/>
        <v>713.38160685911691</v>
      </c>
      <c r="CD76" s="62">
        <f ca="1">AVERAGE(OFFSET($CC$3,0,0,'Données projet'!$E$12+1,1))-AVERAGE(OFFSET($H$3,0,0,'Données projet'!$E$12+1,1))</f>
        <v>290.85271051443431</v>
      </c>
      <c r="CE76" s="62">
        <f t="shared" si="94"/>
        <v>318.66958823451142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1.1368683772161603E-13</v>
      </c>
      <c r="CU76" s="18">
        <f>CT76*VLOOKUP('Données projet'!$B$13,Paramètres!$A$1:$I$89,3,0)*VLOOKUP('Données projet'!$B$13,Paramètres!$A$1:$I$89,5,0)</f>
        <v>8.8675733422860506E-14</v>
      </c>
      <c r="CV76" s="14">
        <f t="shared" si="95"/>
        <v>1.3509285393066301E-12</v>
      </c>
      <c r="CW76" s="22">
        <f t="shared" si="67"/>
        <v>2.5073107750038623E-12</v>
      </c>
      <c r="CX76" s="62">
        <f t="shared" si="68"/>
        <v>293.33333333333582</v>
      </c>
      <c r="CY76" s="62">
        <f ca="1">AVERAGE(OFFSET($CX$3,0,0,'Données projet'!$E$13+1,1))-AVERAGE(OFFSET($H$3,0,0,'Données projet'!$E$13+1,1))</f>
        <v>292.57482726862594</v>
      </c>
      <c r="CZ76" s="62">
        <f t="shared" si="96"/>
        <v>283.48738729114024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3.4</v>
      </c>
      <c r="DO76" s="13">
        <f>IF('Données projet'!$A$166&gt;35,DO75+DN76-DW75,IF(A76&lt;'Données projet'!$A$166,$DL$205^A76,IF(A76='Données projet'!$A$166,'Données projet'!$B$166,DO75+DN76-DW75)))</f>
        <v>263.19999999999987</v>
      </c>
      <c r="DP76" s="18">
        <f>DO76*VLOOKUP('Données projet'!$B$14,Paramètres!$A$1:$I$89,3,0)*VLOOKUP('Données projet'!$B$14,Paramètres!$A$1:$I$89,5,0)</f>
        <v>209.4019199999999</v>
      </c>
      <c r="DQ76" s="14">
        <f t="shared" si="97"/>
        <v>51.804868484579039</v>
      </c>
      <c r="DR76" s="22">
        <f t="shared" si="70"/>
        <v>454.93515661064163</v>
      </c>
      <c r="DS76" s="62">
        <f t="shared" si="71"/>
        <v>748.26848994397494</v>
      </c>
      <c r="DT76" s="62">
        <f ca="1">AVERAGE(OFFSET($DS$3,0,0,'Données projet'!$E$14+1,1))-AVERAGE(OFFSET($H$3,0,0,'Données projet'!$E$14+1,1))</f>
        <v>312.53381881960331</v>
      </c>
      <c r="DU76" s="62">
        <f t="shared" si="98"/>
        <v>342.06887933351783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4.2307692307692264</v>
      </c>
      <c r="EJ76" s="13">
        <f>IF('Données projet'!$A$192&gt;35,EJ75+EI76-ER75,IF(A76&lt;'Données projet'!$A$192,$EG$205^A76,IF(A76='Données projet'!$A$192,'Données projet'!$B$192,EJ75+EI76-ER75)))</f>
        <v>199.23076923076917</v>
      </c>
      <c r="EK76" s="18">
        <f>EJ76*VLOOKUP('Données projet'!$B$15,Paramètres!$A$1:$I$89,3,0)*VLOOKUP('Données projet'!$B$15,Paramètres!$A$1:$I$89,5,0)</f>
        <v>189.58799999999994</v>
      </c>
      <c r="EL76" s="14">
        <f t="shared" si="99"/>
        <v>47.44885399619001</v>
      </c>
      <c r="EM76" s="22">
        <f t="shared" si="73"/>
        <v>412.83918737669751</v>
      </c>
      <c r="EN76" s="62">
        <f t="shared" si="74"/>
        <v>706.17252071003077</v>
      </c>
      <c r="EO76" s="62">
        <f ca="1">AVERAGE(OFFSET($EN$3,0,0,'Données projet'!$E$15+1,1))-AVERAGE(OFFSET($H$3,0,0,'Données projet'!$E$15+1,1))</f>
        <v>363.37916970915211</v>
      </c>
      <c r="EP76" s="62">
        <f t="shared" si="100"/>
        <v>281.52963027844595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9.9551282051282044</v>
      </c>
      <c r="FE76" s="13">
        <f>IF('Données projet'!$A$218&gt;35,FE75+FD76-FM75,IF(A76&lt;'Données projet'!$A$218,$FB$205^A76,IF(A76='Données projet'!$A$218,'Données projet'!$B$218,FE75+FD76-FM75)))</f>
        <v>340.56666666666649</v>
      </c>
      <c r="FF76" s="18">
        <f>FE76*VLOOKUP('Données projet'!$B$16,Paramètres!$A$1:$I$89,3,0)*VLOOKUP('Données projet'!$B$16,Paramètres!$A$1:$I$89,5,0)</f>
        <v>159.38519999999991</v>
      </c>
      <c r="FG76" s="14">
        <f t="shared" si="101"/>
        <v>40.703814494924693</v>
      </c>
      <c r="FH76" s="22">
        <f t="shared" si="76"/>
        <v>348.48836691199364</v>
      </c>
      <c r="FI76" s="62">
        <f t="shared" si="77"/>
        <v>641.82170024532695</v>
      </c>
      <c r="FJ76" s="62">
        <f ca="1">AVERAGE(OFFSET($FI$3,0,0,'Données projet'!$E$16+1,1))-AVERAGE(OFFSET($H$3,0,0,'Données projet'!$E$16+1,1))</f>
        <v>245.47494516762282</v>
      </c>
      <c r="FK76" s="62">
        <f t="shared" si="102"/>
        <v>145.54897745089966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6.2</v>
      </c>
      <c r="FZ76" s="13">
        <f>IF('Données projet'!$A$244&gt;35,FZ75+FY76-GH75,IF(A76&lt;'Données projet'!$A$244,$FW$205^A76,IF(A76='Données projet'!$A$244,'Données projet'!$B$244,FZ75+FY76-GH75)))</f>
        <v>239.59999999999991</v>
      </c>
      <c r="GA76" s="18">
        <f>FZ76*VLOOKUP('Données projet'!$B$17,Paramètres!$A$1:$I$89,3,0)*VLOOKUP('Données projet'!$B$17,Paramètres!$A$1:$I$89,5,0)</f>
        <v>231.74111999999991</v>
      </c>
      <c r="GB76" s="14">
        <f t="shared" si="103"/>
        <v>56.658986982752438</v>
      </c>
      <c r="GC76" s="22">
        <f t="shared" si="79"/>
        <v>502.29685299496032</v>
      </c>
      <c r="GD76" s="62">
        <f t="shared" si="80"/>
        <v>795.63018632829358</v>
      </c>
      <c r="GE76" s="62">
        <f ca="1">AVERAGE(OFFSET($GD$3,0,0,'Données projet'!$E$17+1,1))-AVERAGE(OFFSET($H$3,0,0,'Données projet'!$E$17+1,1))</f>
        <v>455.50822833641354</v>
      </c>
      <c r="GF76" s="62">
        <f t="shared" si="104"/>
        <v>261.14722581688039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4.6153846153846247</v>
      </c>
      <c r="GU76" s="13">
        <f>IF('Données projet'!$A$270&gt;35,GU75+GT76-HC75,IF(A76&lt;'Données projet'!$A$270,$GR$205^A76,IF(A76='Données projet'!$A$270,'Données projet'!$B$270,GU75+GT76-HC75)))</f>
        <v>251.66666666666671</v>
      </c>
      <c r="GV76" s="18">
        <f>GU76*VLOOKUP('Données projet'!$B$18,Paramètres!$A$1:$I$89,3,0)*VLOOKUP('Données projet'!$B$18,Paramètres!$A$1:$I$89,5,0)</f>
        <v>168.81800000000004</v>
      </c>
      <c r="GW76" s="14">
        <f t="shared" si="105"/>
        <v>42.825187501685285</v>
      </c>
      <c r="GX76" s="22">
        <f t="shared" si="82"/>
        <v>368.61188489876866</v>
      </c>
      <c r="GY76" s="62">
        <f t="shared" si="83"/>
        <v>661.94521823210198</v>
      </c>
      <c r="GZ76" s="62">
        <f ca="1">AVERAGE(OFFSET($GY$3,0,0,'Données projet'!$E$18+1,1))-AVERAGE(OFFSET($H$3,0,0,'Données projet'!$E$18+1,1))</f>
        <v>312.06797204903796</v>
      </c>
      <c r="HA76" s="62">
        <f t="shared" si="106"/>
        <v>258.20189001775151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projet'!$B$18,Paramètres!$A$1:$I$89,3,0)*0.475*44/12</f>
        <v>0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84"/>
        <v>0</v>
      </c>
    </row>
    <row r="77" spans="1:218" s="5" customFormat="1" x14ac:dyDescent="0.25">
      <c r="A77" s="11">
        <f t="shared" si="85"/>
        <v>74</v>
      </c>
      <c r="B77" s="76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9">
        <f t="shared" si="56"/>
        <v>256.66666666666669</v>
      </c>
      <c r="I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2.2737367544323206E-13</v>
      </c>
      <c r="O77" s="14">
        <f>N77*VLOOKUP('Données projet'!$B$9,Paramètres!$A$1:$I$89,3,0)*VLOOKUP('Données projet'!$B$9,Paramètres!$A$1:$I$89,5,0)</f>
        <v>1.2710188457276673E-13</v>
      </c>
      <c r="P77" s="14">
        <f t="shared" si="87"/>
        <v>1.856866851063998E-12</v>
      </c>
      <c r="Q77" s="22">
        <f t="shared" si="54"/>
        <v>3.4554122145673649E-12</v>
      </c>
      <c r="R77" s="62">
        <f t="shared" si="55"/>
        <v>293.33333333333678</v>
      </c>
      <c r="S77" s="62">
        <f ca="1">AVERAGE(OFFSET($R$3,0,0,'Données projet'!$E$9+1,1))-AVERAGE(OFFSET($H$3,0,0,'Données projet'!$E$9+1,1))</f>
        <v>323.98185264074681</v>
      </c>
      <c r="T77" s="62">
        <f t="shared" si="88"/>
        <v>301.22207291854005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1.8669087948118592</v>
      </c>
      <c r="AA77" s="23">
        <f>EXP(-LN(2)/25)*AA76+(1-EXP(-LN(2)/25))/(LN(2)/25)*Calculateur!V77*Calculateur!X77*VLOOKUP('Données projet'!$B$9,Paramètres!$A$1:$I$89,3,0)*0.475*44/12</f>
        <v>2.4350000881819849</v>
      </c>
      <c r="AB77" s="23">
        <f>EXP(-LN(2)/2)*AB76+(1-EXP(-LN(2)/2))/(LN(2)/2)*V77*Y77*VLOOKUP('Données projet'!$B$9,Paramètres!$A$1:$I$89,3,0)*0.475*44/12</f>
        <v>1.4514463376088192E-6</v>
      </c>
      <c r="AC77" s="24">
        <f t="shared" si="57"/>
        <v>4.3019103344401817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7.5584615384615343</v>
      </c>
      <c r="AI77" s="14">
        <f>IF('Données projet'!$A$62&gt;35,AI76+AH77-AQ76,IF(A77&lt;'Données projet'!$A$62,$AF$205^A77,IF(A77='Données projet'!$A$62,'Données projet'!$B$62,AI76+AH77-AQ76)))</f>
        <v>357.55692307692283</v>
      </c>
      <c r="AJ77" s="14">
        <f>AI77*VLOOKUP('Données projet'!$B$10,Paramètres!$A$1:$I$89,3,0)*VLOOKUP('Données projet'!$B$10,Paramètres!$A$1:$I$89,5,0)</f>
        <v>213.81903999999986</v>
      </c>
      <c r="AK77" s="14">
        <f t="shared" si="89"/>
        <v>52.769264634128973</v>
      </c>
      <c r="AL77" s="22">
        <f t="shared" si="58"/>
        <v>464.30796390444101</v>
      </c>
      <c r="AM77" s="62">
        <f t="shared" si="59"/>
        <v>757.64129723777432</v>
      </c>
      <c r="AN77" s="62">
        <f ca="1">AVERAGE(OFFSET($AM$3,0,0,'Données projet'!$E$10+1,1))-AVERAGE(OFFSET($H$3,0,0,'Données projet'!$E$10+1,1))</f>
        <v>289.12367833861299</v>
      </c>
      <c r="AO77" s="62">
        <f t="shared" si="90"/>
        <v>229.06617320689003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9.8868252707134473E-7</v>
      </c>
      <c r="AX77" s="23">
        <f t="shared" si="60"/>
        <v>9.8868252707134473E-7</v>
      </c>
      <c r="AY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6.2</v>
      </c>
      <c r="BD77" s="13">
        <f>IF('Données projet'!$A$88&gt;35,BD76+BC77-BL76,IF(A77&lt;'Données projet'!$A$88,$BA$205^A77,IF(A77='Données projet'!$A$88,'Données projet'!$B$88,BD76+BC77-BL76)))</f>
        <v>245.7999999999999</v>
      </c>
      <c r="BE77" s="14">
        <f>BD77*VLOOKUP('Données projet'!$B$11,Paramètres!$A$1:$I$89,3,0)*VLOOKUP('Données projet'!$B$11,Paramètres!$A$1:$I$89,5,0)</f>
        <v>222.3998399999999</v>
      </c>
      <c r="BF77" s="14">
        <f t="shared" si="91"/>
        <v>54.636149281681448</v>
      </c>
      <c r="BG77" s="22">
        <f t="shared" si="61"/>
        <v>482.50434799892832</v>
      </c>
      <c r="BH77" s="62">
        <f t="shared" si="62"/>
        <v>775.83768133226158</v>
      </c>
      <c r="BI77" s="62">
        <f ca="1">AVERAGE(OFFSET($BH$3,0,0,'Données projet'!$E$11+1,1))-AVERAGE(OFFSET($H$3,0,0,'Données projet'!$E$11+1,1))</f>
        <v>428.8489304403459</v>
      </c>
      <c r="BJ77" s="62">
        <f t="shared" si="92"/>
        <v>247.01165577562966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3.4</v>
      </c>
      <c r="BY77" s="13">
        <f>IF('Données projet'!$A$114&gt;35,BY76+BX77-CG76,IF(A77&lt;'Données projet'!$A$114,$BV$205^A77,IF(A77='Données projet'!$A$114,'Données projet'!$B$114,BY76+BX77-CG76)))</f>
        <v>266.59999999999985</v>
      </c>
      <c r="BZ77" s="14">
        <f>BY77*VLOOKUP('Données projet'!$B$12,Paramètres!$A$1:$I$89,3,0)*VLOOKUP('Données projet'!$B$12,Paramètres!$A$1:$I$89,5,0)</f>
        <v>195.47111999999987</v>
      </c>
      <c r="CA77" s="14">
        <f t="shared" si="93"/>
        <v>48.747534064963503</v>
      </c>
      <c r="CB77" s="22">
        <f t="shared" si="64"/>
        <v>425.34748916314453</v>
      </c>
      <c r="CC77" s="62">
        <f t="shared" si="65"/>
        <v>718.68082249647784</v>
      </c>
      <c r="CD77" s="62">
        <f ca="1">AVERAGE(OFFSET($CC$3,0,0,'Données projet'!$E$12+1,1))-AVERAGE(OFFSET($H$3,0,0,'Données projet'!$E$12+1,1))</f>
        <v>290.85271051443431</v>
      </c>
      <c r="CE77" s="62">
        <f t="shared" si="94"/>
        <v>318.66958823451142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1.1368683772161603E-13</v>
      </c>
      <c r="CU77" s="18">
        <f>CT77*VLOOKUP('Données projet'!$B$13,Paramètres!$A$1:$I$89,3,0)*VLOOKUP('Données projet'!$B$13,Paramètres!$A$1:$I$89,5,0)</f>
        <v>8.8675733422860506E-14</v>
      </c>
      <c r="CV77" s="14">
        <f t="shared" si="95"/>
        <v>1.3509285393066301E-12</v>
      </c>
      <c r="CW77" s="22">
        <f t="shared" si="67"/>
        <v>2.5073107750038623E-12</v>
      </c>
      <c r="CX77" s="62">
        <f t="shared" si="68"/>
        <v>293.33333333333582</v>
      </c>
      <c r="CY77" s="62">
        <f ca="1">AVERAGE(OFFSET($CX$3,0,0,'Données projet'!$E$13+1,1))-AVERAGE(OFFSET($H$3,0,0,'Données projet'!$E$13+1,1))</f>
        <v>292.57482726862594</v>
      </c>
      <c r="CZ77" s="62">
        <f t="shared" si="96"/>
        <v>283.48738729114024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3.4</v>
      </c>
      <c r="DO77" s="13">
        <f>IF('Données projet'!$A$166&gt;35,DO76+DN77-DW76,IF(A77&lt;'Données projet'!$A$166,$DL$205^A77,IF(A77='Données projet'!$A$166,'Données projet'!$B$166,DO76+DN77-DW76)))</f>
        <v>266.59999999999985</v>
      </c>
      <c r="DP77" s="18">
        <f>DO77*VLOOKUP('Données projet'!$B$14,Paramètres!$A$1:$I$89,3,0)*VLOOKUP('Données projet'!$B$14,Paramètres!$A$1:$I$89,5,0)</f>
        <v>212.10695999999987</v>
      </c>
      <c r="DQ77" s="14">
        <f t="shared" si="97"/>
        <v>52.395741612408194</v>
      </c>
      <c r="DR77" s="22">
        <f t="shared" si="70"/>
        <v>460.67553864161073</v>
      </c>
      <c r="DS77" s="62">
        <f t="shared" si="71"/>
        <v>754.00887197494399</v>
      </c>
      <c r="DT77" s="62">
        <f ca="1">AVERAGE(OFFSET($DS$3,0,0,'Données projet'!$E$14+1,1))-AVERAGE(OFFSET($H$3,0,0,'Données projet'!$E$14+1,1))</f>
        <v>312.53381881960331</v>
      </c>
      <c r="DU77" s="62">
        <f t="shared" si="98"/>
        <v>342.06887933351783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4.2307692307692264</v>
      </c>
      <c r="EJ77" s="13">
        <f>IF('Données projet'!$A$192&gt;35,EJ76+EI77-ER76,IF(A77&lt;'Données projet'!$A$192,$EG$205^A77,IF(A77='Données projet'!$A$192,'Données projet'!$B$192,EJ76+EI77-ER76)))</f>
        <v>203.4615384615384</v>
      </c>
      <c r="EK77" s="18">
        <f>EJ77*VLOOKUP('Données projet'!$B$15,Paramètres!$A$1:$I$89,3,0)*VLOOKUP('Données projet'!$B$15,Paramètres!$A$1:$I$89,5,0)</f>
        <v>193.61399999999995</v>
      </c>
      <c r="EL77" s="14">
        <f t="shared" si="99"/>
        <v>48.338078619840999</v>
      </c>
      <c r="EM77" s="22">
        <f t="shared" si="73"/>
        <v>421.39987026288964</v>
      </c>
      <c r="EN77" s="62">
        <f t="shared" si="74"/>
        <v>714.73320359622289</v>
      </c>
      <c r="EO77" s="62">
        <f ca="1">AVERAGE(OFFSET($EN$3,0,0,'Données projet'!$E$15+1,1))-AVERAGE(OFFSET($H$3,0,0,'Données projet'!$E$15+1,1))</f>
        <v>363.37916970915211</v>
      </c>
      <c r="EP77" s="62">
        <f t="shared" si="100"/>
        <v>281.52963027844595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9.9551282051282044</v>
      </c>
      <c r="FE77" s="13">
        <f>IF('Données projet'!$A$218&gt;35,FE76+FD77-FM76,IF(A77&lt;'Données projet'!$A$218,$FB$205^A77,IF(A77='Données projet'!$A$218,'Données projet'!$B$218,FE76+FD77-FM76)))</f>
        <v>350.52179487179467</v>
      </c>
      <c r="FF77" s="18">
        <f>FE77*VLOOKUP('Données projet'!$B$16,Paramètres!$A$1:$I$89,3,0)*VLOOKUP('Données projet'!$B$16,Paramètres!$A$1:$I$89,5,0)</f>
        <v>164.0441999999999</v>
      </c>
      <c r="FG77" s="14">
        <f t="shared" si="101"/>
        <v>41.753366572621168</v>
      </c>
      <c r="FH77" s="22">
        <f t="shared" si="76"/>
        <v>358.43076178064831</v>
      </c>
      <c r="FI77" s="62">
        <f t="shared" si="77"/>
        <v>651.76409511398163</v>
      </c>
      <c r="FJ77" s="62">
        <f ca="1">AVERAGE(OFFSET($FI$3,0,0,'Données projet'!$E$16+1,1))-AVERAGE(OFFSET($H$3,0,0,'Données projet'!$E$16+1,1))</f>
        <v>245.47494516762282</v>
      </c>
      <c r="FK77" s="62">
        <f t="shared" si="102"/>
        <v>145.54897745089966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6.2</v>
      </c>
      <c r="FZ77" s="13">
        <f>IF('Données projet'!$A$244&gt;35,FZ76+FY77-GH76,IF(A77&lt;'Données projet'!$A$244,$FW$205^A77,IF(A77='Données projet'!$A$244,'Données projet'!$B$244,FZ76+FY77-GH76)))</f>
        <v>245.7999999999999</v>
      </c>
      <c r="GA77" s="18">
        <f>FZ77*VLOOKUP('Données projet'!$B$17,Paramètres!$A$1:$I$89,3,0)*VLOOKUP('Données projet'!$B$17,Paramètres!$A$1:$I$89,5,0)</f>
        <v>237.73775999999989</v>
      </c>
      <c r="GB77" s="14">
        <f t="shared" si="103"/>
        <v>57.952530566790166</v>
      </c>
      <c r="GC77" s="22">
        <f t="shared" si="79"/>
        <v>514.99392273715932</v>
      </c>
      <c r="GD77" s="62">
        <f t="shared" si="80"/>
        <v>808.32725607049269</v>
      </c>
      <c r="GE77" s="62">
        <f ca="1">AVERAGE(OFFSET($GD$3,0,0,'Données projet'!$E$17+1,1))-AVERAGE(OFFSET($H$3,0,0,'Données projet'!$E$17+1,1))</f>
        <v>455.50822833641354</v>
      </c>
      <c r="GF77" s="62">
        <f t="shared" si="104"/>
        <v>261.14722581688039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4.6153846153846247</v>
      </c>
      <c r="GU77" s="13">
        <f>IF('Données projet'!$A$270&gt;35,GU76+GT77-HC76,IF(A77&lt;'Données projet'!$A$270,$GR$205^A77,IF(A77='Données projet'!$A$270,'Données projet'!$B$270,GU76+GT77-HC76)))</f>
        <v>256.28205128205133</v>
      </c>
      <c r="GV77" s="18">
        <f>GU77*VLOOKUP('Données projet'!$B$18,Paramètres!$A$1:$I$89,3,0)*VLOOKUP('Données projet'!$B$18,Paramètres!$A$1:$I$89,5,0)</f>
        <v>171.91400000000002</v>
      </c>
      <c r="GW77" s="14">
        <f t="shared" si="105"/>
        <v>43.518416191440224</v>
      </c>
      <c r="GX77" s="22">
        <f t="shared" si="82"/>
        <v>375.21145820009173</v>
      </c>
      <c r="GY77" s="62">
        <f t="shared" si="83"/>
        <v>668.54479153342504</v>
      </c>
      <c r="GZ77" s="62">
        <f ca="1">AVERAGE(OFFSET($GY$3,0,0,'Données projet'!$E$18+1,1))-AVERAGE(OFFSET($H$3,0,0,'Données projet'!$E$18+1,1))</f>
        <v>312.06797204903796</v>
      </c>
      <c r="HA77" s="62">
        <f t="shared" si="106"/>
        <v>258.20189001775151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projet'!$B$18,Paramètres!$A$1:$I$89,3,0)*0.475*44/12</f>
        <v>0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84"/>
        <v>0</v>
      </c>
    </row>
    <row r="78" spans="1:218" s="5" customFormat="1" x14ac:dyDescent="0.25">
      <c r="A78" s="11">
        <f t="shared" si="85"/>
        <v>75</v>
      </c>
      <c r="B78" s="76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9">
        <f t="shared" si="56"/>
        <v>256.66666666666669</v>
      </c>
      <c r="I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2.2737367544323206E-13</v>
      </c>
      <c r="O78" s="14">
        <f>N78*VLOOKUP('Données projet'!$B$9,Paramètres!$A$1:$I$89,3,0)*VLOOKUP('Données projet'!$B$9,Paramètres!$A$1:$I$89,5,0)</f>
        <v>1.2710188457276673E-13</v>
      </c>
      <c r="P78" s="14">
        <f t="shared" si="87"/>
        <v>1.856866851063998E-12</v>
      </c>
      <c r="Q78" s="22">
        <f t="shared" si="54"/>
        <v>3.4554122145673649E-12</v>
      </c>
      <c r="R78" s="62">
        <f t="shared" si="55"/>
        <v>293.33333333333678</v>
      </c>
      <c r="S78" s="62">
        <f ca="1">AVERAGE(OFFSET($R$3,0,0,'Données projet'!$E$9+1,1))-AVERAGE(OFFSET($H$3,0,0,'Données projet'!$E$9+1,1))</f>
        <v>323.98185264074681</v>
      </c>
      <c r="T78" s="62">
        <f t="shared" si="88"/>
        <v>301.22207291854005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1.830299852047526</v>
      </c>
      <c r="AA78" s="23">
        <f>EXP(-LN(2)/25)*AA77+(1-EXP(-LN(2)/25))/(LN(2)/25)*Calculateur!V78*Calculateur!X78*VLOOKUP('Données projet'!$B$9,Paramètres!$A$1:$I$89,3,0)*0.475*44/12</f>
        <v>2.3684148827195592</v>
      </c>
      <c r="AB78" s="23">
        <f>EXP(-LN(2)/2)*AB77+(1-EXP(-LN(2)/2))/(LN(2)/2)*V78*Y78*VLOOKUP('Données projet'!$B$9,Paramètres!$A$1:$I$89,3,0)*0.475*44/12</f>
        <v>1.0263275478515751E-6</v>
      </c>
      <c r="AC78" s="24">
        <f t="shared" si="57"/>
        <v>4.1987157610946335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7.5584615384615343</v>
      </c>
      <c r="AI78" s="14">
        <f>IF('Données projet'!$A$62&gt;35,AI77+AH78-AQ77,IF(A78&lt;'Données projet'!$A$62,$AF$205^A78,IF(A78='Données projet'!$A$62,'Données projet'!$B$62,AI77+AH78-AQ77)))</f>
        <v>365.11538461538436</v>
      </c>
      <c r="AJ78" s="14">
        <f>AI78*VLOOKUP('Données projet'!$B$10,Paramètres!$A$1:$I$89,3,0)*VLOOKUP('Données projet'!$B$10,Paramètres!$A$1:$I$89,5,0)</f>
        <v>218.33899999999988</v>
      </c>
      <c r="AK78" s="14">
        <f t="shared" si="89"/>
        <v>53.753716498326504</v>
      </c>
      <c r="AL78" s="22">
        <f t="shared" si="58"/>
        <v>473.8948145679185</v>
      </c>
      <c r="AM78" s="62">
        <f t="shared" si="59"/>
        <v>767.22814790125176</v>
      </c>
      <c r="AN78" s="62">
        <f ca="1">AVERAGE(OFFSET($AM$3,0,0,'Données projet'!$E$10+1,1))-AVERAGE(OFFSET($H$3,0,0,'Données projet'!$E$10+1,1))</f>
        <v>289.12367833861299</v>
      </c>
      <c r="AO78" s="62">
        <f t="shared" si="90"/>
        <v>229.06617320689003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6.9910411933280022E-7</v>
      </c>
      <c r="AX78" s="23">
        <f t="shared" si="60"/>
        <v>6.9910411933280022E-7</v>
      </c>
      <c r="AY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252</v>
      </c>
      <c r="BB78" s="13">
        <f>VLOOKUP(A78,'Données projet'!$A$87:$I$107,9,0)</f>
        <v>6.2</v>
      </c>
      <c r="BC78" s="13">
        <f t="array" ref="BC78">INDEX(BB:BB,MIN(IF(ISNUMBER(BB78:BB274),ROW(BB78:BB274),"")))</f>
        <v>6.2</v>
      </c>
      <c r="BD78" s="13">
        <f>IF('Données projet'!$A$88&gt;35,BD77+BC78-BL77,IF(A78&lt;'Données projet'!$A$88,$BA$205^A78,IF(A78='Données projet'!$A$88,'Données projet'!$B$88,BD77+BC78-BL77)))</f>
        <v>251.99999999999989</v>
      </c>
      <c r="BE78" s="14">
        <f>BD78*VLOOKUP('Données projet'!$B$11,Paramètres!$A$1:$I$89,3,0)*VLOOKUP('Données projet'!$B$11,Paramètres!$A$1:$I$89,5,0)</f>
        <v>228.00959999999986</v>
      </c>
      <c r="BF78" s="14">
        <f t="shared" si="91"/>
        <v>55.852093054619779</v>
      </c>
      <c r="BG78" s="22">
        <f t="shared" si="61"/>
        <v>494.39244873679587</v>
      </c>
      <c r="BH78" s="62">
        <f t="shared" si="62"/>
        <v>787.72578207012918</v>
      </c>
      <c r="BI78" s="62">
        <f ca="1">AVERAGE(OFFSET($BH$3,0,0,'Données projet'!$E$11+1,1))-AVERAGE(OFFSET($H$3,0,0,'Données projet'!$E$11+1,1))</f>
        <v>428.8489304403459</v>
      </c>
      <c r="BJ78" s="62">
        <f t="shared" si="92"/>
        <v>247.01165577562966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270</v>
      </c>
      <c r="BW78" s="13">
        <f>VLOOKUP(A78,'Données projet'!$A$113:$I$133,9,0)</f>
        <v>3.4</v>
      </c>
      <c r="BX78" s="13">
        <f t="array" ref="BX78">INDEX(BW:BW,MIN(IF(ISNUMBER(BW78:BW274),ROW(BW78:BW274),"")))</f>
        <v>3.4</v>
      </c>
      <c r="BY78" s="13">
        <f>IF('Données projet'!$A$114&gt;35,BY77+BX78-CG77,IF(A78&lt;'Données projet'!$A$114,$BV$205^A78,IF(A78='Données projet'!$A$114,'Données projet'!$B$114,BY77+BX78-CG77)))</f>
        <v>269.99999999999983</v>
      </c>
      <c r="BZ78" s="14">
        <f>BY78*VLOOKUP('Données projet'!$B$12,Paramètres!$A$1:$I$89,3,0)*VLOOKUP('Données projet'!$B$12,Paramètres!$A$1:$I$89,5,0)</f>
        <v>197.96399999999986</v>
      </c>
      <c r="CA78" s="14">
        <f t="shared" si="93"/>
        <v>49.296450435147719</v>
      </c>
      <c r="CB78" s="22">
        <f t="shared" si="64"/>
        <v>430.64528450788202</v>
      </c>
      <c r="CC78" s="62">
        <f t="shared" si="65"/>
        <v>723.97861784121528</v>
      </c>
      <c r="CD78" s="62">
        <f ca="1">AVERAGE(OFFSET($CC$3,0,0,'Données projet'!$E$12+1,1))-AVERAGE(OFFSET($H$3,0,0,'Données projet'!$E$12+1,1))</f>
        <v>290.85271051443431</v>
      </c>
      <c r="CE78" s="62">
        <f t="shared" si="94"/>
        <v>318.66958823451142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1.1368683772161603E-13</v>
      </c>
      <c r="CU78" s="18">
        <f>CT78*VLOOKUP('Données projet'!$B$13,Paramètres!$A$1:$I$89,3,0)*VLOOKUP('Données projet'!$B$13,Paramètres!$A$1:$I$89,5,0)</f>
        <v>8.8675733422860506E-14</v>
      </c>
      <c r="CV78" s="14">
        <f t="shared" si="95"/>
        <v>1.3509285393066301E-12</v>
      </c>
      <c r="CW78" s="22">
        <f t="shared" si="67"/>
        <v>2.5073107750038623E-12</v>
      </c>
      <c r="CX78" s="62">
        <f t="shared" si="68"/>
        <v>293.33333333333582</v>
      </c>
      <c r="CY78" s="62">
        <f ca="1">AVERAGE(OFFSET($CX$3,0,0,'Données projet'!$E$13+1,1))-AVERAGE(OFFSET($H$3,0,0,'Données projet'!$E$13+1,1))</f>
        <v>292.57482726862594</v>
      </c>
      <c r="CZ78" s="62">
        <f t="shared" si="96"/>
        <v>283.48738729114024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270</v>
      </c>
      <c r="DM78" s="13">
        <f>VLOOKUP(A78,'Données projet'!$A$165:$I$185,9,0)</f>
        <v>3.4</v>
      </c>
      <c r="DN78" s="13">
        <f t="array" ref="DN78">INDEX(DM:DM,MIN(IF(ISNUMBER(DM78:DM274),ROW(DM78:DM274),"")))</f>
        <v>3.4</v>
      </c>
      <c r="DO78" s="13">
        <f>IF('Données projet'!$A$166&gt;35,DO77+DN78-DW77,IF(A78&lt;'Données projet'!$A$166,$DL$205^A78,IF(A78='Données projet'!$A$166,'Données projet'!$B$166,DO77+DN78-DW77)))</f>
        <v>269.99999999999983</v>
      </c>
      <c r="DP78" s="18">
        <f>DO78*VLOOKUP('Données projet'!$B$14,Paramètres!$A$1:$I$89,3,0)*VLOOKUP('Données projet'!$B$14,Paramètres!$A$1:$I$89,5,0)</f>
        <v>214.81199999999987</v>
      </c>
      <c r="DQ78" s="14">
        <f t="shared" si="97"/>
        <v>52.985738231738011</v>
      </c>
      <c r="DR78" s="22">
        <f t="shared" si="70"/>
        <v>466.41439408694345</v>
      </c>
      <c r="DS78" s="62">
        <f t="shared" si="71"/>
        <v>759.74772742027676</v>
      </c>
      <c r="DT78" s="62">
        <f ca="1">AVERAGE(OFFSET($DS$3,0,0,'Données projet'!$E$14+1,1))-AVERAGE(OFFSET($H$3,0,0,'Données projet'!$E$14+1,1))</f>
        <v>312.53381881960331</v>
      </c>
      <c r="DU78" s="62">
        <f t="shared" si="98"/>
        <v>342.06887933351783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207.69230769230768</v>
      </c>
      <c r="EH78" s="13">
        <f>VLOOKUP(A78,'Données projet'!$A$191:$I$211,9,0)</f>
        <v>4.2307692307692264</v>
      </c>
      <c r="EI78" s="13">
        <f t="array" ref="EI78">INDEX(EH:EH,MIN(IF(ISNUMBER(EH78:EH274),ROW(EH78:EH274),"")))</f>
        <v>4.2307692307692264</v>
      </c>
      <c r="EJ78" s="13">
        <f>IF('Données projet'!$A$192&gt;35,EJ77+EI78-ER77,IF(A78&lt;'Données projet'!$A$192,$EG$205^A78,IF(A78='Données projet'!$A$192,'Données projet'!$B$192,EJ77+EI78-ER77)))</f>
        <v>207.69230769230762</v>
      </c>
      <c r="EK78" s="18">
        <f>EJ78*VLOOKUP('Données projet'!$B$15,Paramètres!$A$1:$I$89,3,0)*VLOOKUP('Données projet'!$B$15,Paramètres!$A$1:$I$89,5,0)</f>
        <v>197.63999999999993</v>
      </c>
      <c r="EL78" s="14">
        <f t="shared" si="99"/>
        <v>49.22515338895078</v>
      </c>
      <c r="EM78" s="22">
        <f t="shared" si="73"/>
        <v>429.95680881908919</v>
      </c>
      <c r="EN78" s="62">
        <f t="shared" si="74"/>
        <v>723.2901421524225</v>
      </c>
      <c r="EO78" s="62">
        <f ca="1">AVERAGE(OFFSET($EN$3,0,0,'Données projet'!$E$15+1,1))-AVERAGE(OFFSET($H$3,0,0,'Données projet'!$E$15+1,1))</f>
        <v>363.37916970915211</v>
      </c>
      <c r="EP78" s="62">
        <f t="shared" si="100"/>
        <v>281.52963027844595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360.47692307692307</v>
      </c>
      <c r="FC78" s="13">
        <f>VLOOKUP(A78,'Données projet'!$A$217:$I$237,9,0)</f>
        <v>9.9551282051282044</v>
      </c>
      <c r="FD78" s="13">
        <f t="array" ref="FD78">INDEX(FC:FC,MIN(IF(ISNUMBER(FC78:FC274),ROW(FC78:FC274),"")))</f>
        <v>9.9551282051282044</v>
      </c>
      <c r="FE78" s="13">
        <f>IF('Données projet'!$A$218&gt;35,FE77+FD78-FM77,IF(A78&lt;'Données projet'!$A$218,$FB$205^A78,IF(A78='Données projet'!$A$218,'Données projet'!$B$218,FE77+FD78-FM77)))</f>
        <v>360.47692307692284</v>
      </c>
      <c r="FF78" s="18">
        <f>FE78*VLOOKUP('Données projet'!$B$16,Paramètres!$A$1:$I$89,3,0)*VLOOKUP('Données projet'!$B$16,Paramètres!$A$1:$I$89,5,0)</f>
        <v>168.70319999999987</v>
      </c>
      <c r="FG78" s="14">
        <f t="shared" si="101"/>
        <v>42.799454211954576</v>
      </c>
      <c r="FH78" s="22">
        <f t="shared" si="76"/>
        <v>368.36712275248732</v>
      </c>
      <c r="FI78" s="62">
        <f t="shared" si="77"/>
        <v>661.70045608582063</v>
      </c>
      <c r="FJ78" s="62">
        <f ca="1">AVERAGE(OFFSET($FI$3,0,0,'Données projet'!$E$16+1,1))-AVERAGE(OFFSET($H$3,0,0,'Données projet'!$E$16+1,1))</f>
        <v>245.47494516762282</v>
      </c>
      <c r="FK78" s="62">
        <f t="shared" si="102"/>
        <v>145.54897745089966</v>
      </c>
      <c r="FL78" s="16">
        <f>IF(ISNA(VLOOKUP(A78,'Données projet'!$A$217:$I$237,3,0)),0,VLOOKUP(A78,'Données projet'!$A$217:$I$237,3,0))</f>
        <v>3</v>
      </c>
      <c r="FM78" s="16">
        <f>IF(ISNA(VLOOKUP(A78,'Données projet'!$A$217:$I$237,4,0)),0,VLOOKUP(A78,'Données projet'!$A$217:$I$237,4,0))</f>
        <v>85.361538461538458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252</v>
      </c>
      <c r="FX78" s="13">
        <f>VLOOKUP(A78,'Données projet'!$A$243:$I$263,9,0)</f>
        <v>6.2</v>
      </c>
      <c r="FY78" s="13">
        <f t="array" ref="FY78">INDEX(FX:FX,MIN(IF(ISNUMBER(FX78:FX274),ROW(FX78:FX274),"")))</f>
        <v>6.2</v>
      </c>
      <c r="FZ78" s="13">
        <f>IF('Données projet'!$A$244&gt;35,FZ77+FY78-GH77,IF(A78&lt;'Données projet'!$A$244,$FW$205^A78,IF(A78='Données projet'!$A$244,'Données projet'!$B$244,FZ77+FY78-GH77)))</f>
        <v>251.99999999999989</v>
      </c>
      <c r="GA78" s="18">
        <f>FZ78*VLOOKUP('Données projet'!$B$17,Paramètres!$A$1:$I$89,3,0)*VLOOKUP('Données projet'!$B$17,Paramètres!$A$1:$I$89,5,0)</f>
        <v>243.73439999999988</v>
      </c>
      <c r="GB78" s="14">
        <f t="shared" si="103"/>
        <v>59.242281392848767</v>
      </c>
      <c r="GC78" s="22">
        <f t="shared" si="79"/>
        <v>527.68438675921141</v>
      </c>
      <c r="GD78" s="62">
        <f t="shared" si="80"/>
        <v>821.01772009254478</v>
      </c>
      <c r="GE78" s="62">
        <f ca="1">AVERAGE(OFFSET($GD$3,0,0,'Données projet'!$E$17+1,1))-AVERAGE(OFFSET($H$3,0,0,'Données projet'!$E$17+1,1))</f>
        <v>455.50822833641354</v>
      </c>
      <c r="GF78" s="62">
        <f t="shared" si="104"/>
        <v>261.14722581688039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>
        <f>VLOOKUP(A78,'Données projet'!$A$269:$I$289,2,0)</f>
        <v>260.89743589743591</v>
      </c>
      <c r="GS78" s="13">
        <f>VLOOKUP(A78,'Données projet'!$A$269:$I$289,9,0)</f>
        <v>4.6153846153846247</v>
      </c>
      <c r="GT78" s="13">
        <f t="array" ref="GT78">INDEX(GS:GS,MIN(IF(ISNUMBER(GS78:GS274),ROW(GS78:GS274),"")))</f>
        <v>4.6153846153846247</v>
      </c>
      <c r="GU78" s="13">
        <f>IF('Données projet'!$A$270&gt;35,GU77+GT78-HC77,IF(A78&lt;'Données projet'!$A$270,$GR$205^A78,IF(A78='Données projet'!$A$270,'Données projet'!$B$270,GU77+GT78-HC77)))</f>
        <v>260.89743589743597</v>
      </c>
      <c r="GV78" s="18">
        <f>GU78*VLOOKUP('Données projet'!$B$18,Paramètres!$A$1:$I$89,3,0)*VLOOKUP('Données projet'!$B$18,Paramètres!$A$1:$I$89,5,0)</f>
        <v>175.01000000000005</v>
      </c>
      <c r="GW78" s="14">
        <f t="shared" si="105"/>
        <v>44.210193140944192</v>
      </c>
      <c r="GX78" s="22">
        <f t="shared" si="82"/>
        <v>381.80850305381119</v>
      </c>
      <c r="GY78" s="62">
        <f t="shared" si="83"/>
        <v>675.14183638714451</v>
      </c>
      <c r="GZ78" s="62">
        <f ca="1">AVERAGE(OFFSET($GY$3,0,0,'Données projet'!$E$18+1,1))-AVERAGE(OFFSET($H$3,0,0,'Données projet'!$E$18+1,1))</f>
        <v>312.06797204903796</v>
      </c>
      <c r="HA78" s="62">
        <f t="shared" si="106"/>
        <v>258.20189001775151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projet'!$B$18,Paramètres!$A$1:$I$89,3,0)*0.475*44/12</f>
        <v>0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84"/>
        <v>0</v>
      </c>
    </row>
    <row r="79" spans="1:218" s="5" customFormat="1" x14ac:dyDescent="0.25">
      <c r="A79" s="11">
        <f t="shared" si="85"/>
        <v>76</v>
      </c>
      <c r="B79" s="76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9">
        <f t="shared" si="56"/>
        <v>256.66666666666669</v>
      </c>
      <c r="I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2.2737367544323206E-13</v>
      </c>
      <c r="O79" s="14">
        <f>N79*VLOOKUP('Données projet'!$B$9,Paramètres!$A$1:$I$89,3,0)*VLOOKUP('Données projet'!$B$9,Paramètres!$A$1:$I$89,5,0)</f>
        <v>1.2710188457276673E-13</v>
      </c>
      <c r="P79" s="14">
        <f t="shared" si="87"/>
        <v>1.856866851063998E-12</v>
      </c>
      <c r="Q79" s="22">
        <f t="shared" si="54"/>
        <v>3.4554122145673649E-12</v>
      </c>
      <c r="R79" s="62">
        <f t="shared" si="55"/>
        <v>293.33333333333678</v>
      </c>
      <c r="S79" s="62">
        <f ca="1">AVERAGE(OFFSET($R$3,0,0,'Données projet'!$E$9+1,1))-AVERAGE(OFFSET($H$3,0,0,'Données projet'!$E$9+1,1))</f>
        <v>323.98185264074681</v>
      </c>
      <c r="T79" s="62">
        <f t="shared" si="88"/>
        <v>301.22207291854005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1.7944087883215512</v>
      </c>
      <c r="AA79" s="23">
        <f>EXP(-LN(2)/25)*AA78+(1-EXP(-LN(2)/25))/(LN(2)/25)*Calculateur!V79*Calculateur!X79*VLOOKUP('Données projet'!$B$9,Paramètres!$A$1:$I$89,3,0)*0.475*44/12</f>
        <v>2.3036504532020672</v>
      </c>
      <c r="AB79" s="23">
        <f>EXP(-LN(2)/2)*AB78+(1-EXP(-LN(2)/2))/(LN(2)/2)*V79*Y79*VLOOKUP('Données projet'!$B$9,Paramètres!$A$1:$I$89,3,0)*0.475*44/12</f>
        <v>7.2572316880440958E-7</v>
      </c>
      <c r="AC79" s="24">
        <f t="shared" si="57"/>
        <v>4.0980599672467868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7.5584615384615343</v>
      </c>
      <c r="AI79" s="14">
        <f>IF('Données projet'!$A$62&gt;35,AI78+AH79-AQ78,IF(A79&lt;'Données projet'!$A$62,$AF$205^A79,IF(A79='Données projet'!$A$62,'Données projet'!$B$62,AI78+AH79-AQ78)))</f>
        <v>372.67384615384589</v>
      </c>
      <c r="AJ79" s="14">
        <f>AI79*VLOOKUP('Données projet'!$B$10,Paramètres!$A$1:$I$89,3,0)*VLOOKUP('Données projet'!$B$10,Paramètres!$A$1:$I$89,5,0)</f>
        <v>222.85895999999985</v>
      </c>
      <c r="AK79" s="14">
        <f t="shared" si="89"/>
        <v>54.735798842493168</v>
      </c>
      <c r="AL79" s="22">
        <f t="shared" si="58"/>
        <v>483.47753831734195</v>
      </c>
      <c r="AM79" s="62">
        <f t="shared" si="59"/>
        <v>776.81087165067527</v>
      </c>
      <c r="AN79" s="62">
        <f ca="1">AVERAGE(OFFSET($AM$3,0,0,'Données projet'!$E$10+1,1))-AVERAGE(OFFSET($H$3,0,0,'Données projet'!$E$10+1,1))</f>
        <v>289.12367833861299</v>
      </c>
      <c r="AO79" s="62">
        <f t="shared" si="90"/>
        <v>229.06617320689003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4.9434126353567236E-7</v>
      </c>
      <c r="AX79" s="23">
        <f t="shared" si="60"/>
        <v>4.9434126353567236E-7</v>
      </c>
      <c r="AY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6</v>
      </c>
      <c r="BD79" s="13">
        <f>IF('Données projet'!$A$88&gt;35,BD78+BC79-BL78,IF(A79&lt;'Données projet'!$A$88,$BA$205^A79,IF(A79='Données projet'!$A$88,'Données projet'!$B$88,BD78+BC79-BL78)))</f>
        <v>257.99999999999989</v>
      </c>
      <c r="BE79" s="14">
        <f>BD79*VLOOKUP('Données projet'!$B$11,Paramètres!$A$1:$I$89,3,0)*VLOOKUP('Données projet'!$B$11,Paramètres!$A$1:$I$89,5,0)</f>
        <v>233.43839999999989</v>
      </c>
      <c r="BF79" s="14">
        <f t="shared" si="91"/>
        <v>57.025500710931624</v>
      </c>
      <c r="BG79" s="22">
        <f t="shared" si="61"/>
        <v>505.89129373820577</v>
      </c>
      <c r="BH79" s="62">
        <f t="shared" si="62"/>
        <v>799.22462707153909</v>
      </c>
      <c r="BI79" s="62">
        <f ca="1">AVERAGE(OFFSET($BH$3,0,0,'Données projet'!$E$11+1,1))-AVERAGE(OFFSET($H$3,0,0,'Données projet'!$E$11+1,1))</f>
        <v>428.8489304403459</v>
      </c>
      <c r="BJ79" s="62">
        <f t="shared" si="92"/>
        <v>247.01165577562966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</v>
      </c>
      <c r="BY79" s="13">
        <f>IF('Données projet'!$A$114&gt;35,BY78+BX79-CG78,IF(A79&lt;'Données projet'!$A$114,$BV$205^A79,IF(A79='Données projet'!$A$114,'Données projet'!$B$114,BY78+BX79-CG78)))</f>
        <v>272.99999999999983</v>
      </c>
      <c r="BZ79" s="14">
        <f>BY79*VLOOKUP('Données projet'!$B$12,Paramètres!$A$1:$I$89,3,0)*VLOOKUP('Données projet'!$B$12,Paramètres!$A$1:$I$89,5,0)</f>
        <v>200.16359999999989</v>
      </c>
      <c r="CA79" s="14">
        <f t="shared" si="93"/>
        <v>49.78012034252523</v>
      </c>
      <c r="CB79" s="22">
        <f t="shared" si="64"/>
        <v>435.31864626323119</v>
      </c>
      <c r="CC79" s="62">
        <f t="shared" si="65"/>
        <v>728.6519795965645</v>
      </c>
      <c r="CD79" s="62">
        <f ca="1">AVERAGE(OFFSET($CC$3,0,0,'Données projet'!$E$12+1,1))-AVERAGE(OFFSET($H$3,0,0,'Données projet'!$E$12+1,1))</f>
        <v>290.85271051443431</v>
      </c>
      <c r="CE79" s="62">
        <f t="shared" si="94"/>
        <v>318.66958823451142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1.1368683772161603E-13</v>
      </c>
      <c r="CU79" s="18">
        <f>CT79*VLOOKUP('Données projet'!$B$13,Paramètres!$A$1:$I$89,3,0)*VLOOKUP('Données projet'!$B$13,Paramètres!$A$1:$I$89,5,0)</f>
        <v>8.8675733422860506E-14</v>
      </c>
      <c r="CV79" s="14">
        <f t="shared" si="95"/>
        <v>1.3509285393066301E-12</v>
      </c>
      <c r="CW79" s="22">
        <f t="shared" si="67"/>
        <v>2.5073107750038623E-12</v>
      </c>
      <c r="CX79" s="62">
        <f t="shared" si="68"/>
        <v>293.33333333333582</v>
      </c>
      <c r="CY79" s="62">
        <f ca="1">AVERAGE(OFFSET($CX$3,0,0,'Données projet'!$E$13+1,1))-AVERAGE(OFFSET($H$3,0,0,'Données projet'!$E$13+1,1))</f>
        <v>292.57482726862594</v>
      </c>
      <c r="CZ79" s="62">
        <f t="shared" si="96"/>
        <v>283.48738729114024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</v>
      </c>
      <c r="DO79" s="13">
        <f>IF('Données projet'!$A$166&gt;35,DO78+DN79-DW78,IF(A79&lt;'Données projet'!$A$166,$DL$205^A79,IF(A79='Données projet'!$A$166,'Données projet'!$B$166,DO78+DN79-DW78)))</f>
        <v>272.99999999999983</v>
      </c>
      <c r="DP79" s="18">
        <f>DO79*VLOOKUP('Données projet'!$B$14,Paramètres!$A$1:$I$89,3,0)*VLOOKUP('Données projet'!$B$14,Paramètres!$A$1:$I$89,5,0)</f>
        <v>217.19879999999986</v>
      </c>
      <c r="DQ79" s="14">
        <f t="shared" si="97"/>
        <v>53.505605420483995</v>
      </c>
      <c r="DR79" s="22">
        <f t="shared" si="70"/>
        <v>471.47683944067597</v>
      </c>
      <c r="DS79" s="62">
        <f t="shared" si="71"/>
        <v>764.81017277400929</v>
      </c>
      <c r="DT79" s="62">
        <f ca="1">AVERAGE(OFFSET($DS$3,0,0,'Données projet'!$E$14+1,1))-AVERAGE(OFFSET($H$3,0,0,'Données projet'!$E$14+1,1))</f>
        <v>312.53381881960331</v>
      </c>
      <c r="DU79" s="62">
        <f t="shared" si="98"/>
        <v>342.06887933351783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3.974358974358978</v>
      </c>
      <c r="EJ79" s="13">
        <f>IF('Données projet'!$A$192&gt;35,EJ78+EI79-ER78,IF(A79&lt;'Données projet'!$A$192,$EG$205^A79,IF(A79='Données projet'!$A$192,'Données projet'!$B$192,EJ78+EI79-ER78)))</f>
        <v>211.6666666666666</v>
      </c>
      <c r="EK79" s="18">
        <f>EJ79*VLOOKUP('Données projet'!$B$15,Paramètres!$A$1:$I$89,3,0)*VLOOKUP('Données projet'!$B$15,Paramètres!$A$1:$I$89,5,0)</f>
        <v>201.42199999999994</v>
      </c>
      <c r="EL79" s="14">
        <f t="shared" si="99"/>
        <v>50.056551308279687</v>
      </c>
      <c r="EM79" s="22">
        <f t="shared" si="73"/>
        <v>437.99181019525372</v>
      </c>
      <c r="EN79" s="62">
        <f t="shared" si="74"/>
        <v>731.32514352858698</v>
      </c>
      <c r="EO79" s="62">
        <f ca="1">AVERAGE(OFFSET($EN$3,0,0,'Données projet'!$E$15+1,1))-AVERAGE(OFFSET($H$3,0,0,'Données projet'!$E$15+1,1))</f>
        <v>363.37916970915211</v>
      </c>
      <c r="EP79" s="62">
        <f t="shared" si="100"/>
        <v>281.52963027844595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8.9320512820512761</v>
      </c>
      <c r="FE79" s="13">
        <f>IF('Données projet'!$A$218&gt;35,FE78+FD79-FM78,IF(A79&lt;'Données projet'!$A$218,$FB$205^A79,IF(A79='Données projet'!$A$218,'Données projet'!$B$218,FE78+FD79-FM78)))</f>
        <v>284.04743589743566</v>
      </c>
      <c r="FF79" s="18">
        <f>FE79*VLOOKUP('Données projet'!$B$16,Paramètres!$A$1:$I$89,3,0)*VLOOKUP('Données projet'!$B$16,Paramètres!$A$1:$I$89,5,0)</f>
        <v>132.93419999999989</v>
      </c>
      <c r="FG79" s="14">
        <f t="shared" si="101"/>
        <v>34.67348355149219</v>
      </c>
      <c r="FH79" s="22">
        <f t="shared" si="76"/>
        <v>291.91671551884872</v>
      </c>
      <c r="FI79" s="62">
        <f t="shared" si="77"/>
        <v>585.25004885218209</v>
      </c>
      <c r="FJ79" s="62">
        <f ca="1">AVERAGE(OFFSET($FI$3,0,0,'Données projet'!$E$16+1,1))-AVERAGE(OFFSET($H$3,0,0,'Données projet'!$E$16+1,1))</f>
        <v>245.47494516762282</v>
      </c>
      <c r="FK79" s="62">
        <f t="shared" si="102"/>
        <v>145.54897745089966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6</v>
      </c>
      <c r="FZ79" s="13">
        <f>IF('Données projet'!$A$244&gt;35,FZ78+FY79-GH78,IF(A79&lt;'Données projet'!$A$244,$FW$205^A79,IF(A79='Données projet'!$A$244,'Données projet'!$B$244,FZ78+FY79-GH78)))</f>
        <v>257.99999999999989</v>
      </c>
      <c r="GA79" s="18">
        <f>FZ79*VLOOKUP('Données projet'!$B$17,Paramètres!$A$1:$I$89,3,0)*VLOOKUP('Données projet'!$B$17,Paramètres!$A$1:$I$89,5,0)</f>
        <v>249.53759999999988</v>
      </c>
      <c r="GB79" s="14">
        <f t="shared" si="103"/>
        <v>60.486914185674671</v>
      </c>
      <c r="GC79" s="22">
        <f t="shared" si="79"/>
        <v>539.95936220671649</v>
      </c>
      <c r="GD79" s="62">
        <f t="shared" si="80"/>
        <v>833.29269554004986</v>
      </c>
      <c r="GE79" s="62">
        <f ca="1">AVERAGE(OFFSET($GD$3,0,0,'Données projet'!$E$17+1,1))-AVERAGE(OFFSET($H$3,0,0,'Données projet'!$E$17+1,1))</f>
        <v>455.50822833641354</v>
      </c>
      <c r="GF79" s="62">
        <f t="shared" si="104"/>
        <v>261.14722581688039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4.2307692307692264</v>
      </c>
      <c r="GU79" s="13">
        <f>IF('Données projet'!$A$270&gt;35,GU78+GT79-HC78,IF(A79&lt;'Données projet'!$A$270,$GR$205^A79,IF(A79='Données projet'!$A$270,'Données projet'!$B$270,GU78+GT79-HC78)))</f>
        <v>265.1282051282052</v>
      </c>
      <c r="GV79" s="18">
        <f>GU79*VLOOKUP('Données projet'!$B$18,Paramètres!$A$1:$I$89,3,0)*VLOOKUP('Données projet'!$B$18,Paramètres!$A$1:$I$89,5,0)</f>
        <v>177.84800000000004</v>
      </c>
      <c r="GW79" s="14">
        <f t="shared" si="105"/>
        <v>44.84307118144492</v>
      </c>
      <c r="GX79" s="22">
        <f t="shared" si="82"/>
        <v>387.85361564101663</v>
      </c>
      <c r="GY79" s="62">
        <f t="shared" si="83"/>
        <v>681.18694897434989</v>
      </c>
      <c r="GZ79" s="62">
        <f ca="1">AVERAGE(OFFSET($GY$3,0,0,'Données projet'!$E$18+1,1))-AVERAGE(OFFSET($H$3,0,0,'Données projet'!$E$18+1,1))</f>
        <v>312.06797204903796</v>
      </c>
      <c r="HA79" s="62">
        <f t="shared" si="106"/>
        <v>258.20189001775151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projet'!$B$18,Paramètres!$A$1:$I$89,3,0)*0.475*44/12</f>
        <v>0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84"/>
        <v>0</v>
      </c>
    </row>
    <row r="80" spans="1:218" s="5" customFormat="1" x14ac:dyDescent="0.25">
      <c r="A80" s="11">
        <f t="shared" si="85"/>
        <v>77</v>
      </c>
      <c r="B80" s="76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9">
        <f t="shared" si="56"/>
        <v>256.66666666666669</v>
      </c>
      <c r="I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2.2737367544323206E-13</v>
      </c>
      <c r="O80" s="14">
        <f>N80*VLOOKUP('Données projet'!$B$9,Paramètres!$A$1:$I$89,3,0)*VLOOKUP('Données projet'!$B$9,Paramètres!$A$1:$I$89,5,0)</f>
        <v>1.2710188457276673E-13</v>
      </c>
      <c r="P80" s="14">
        <f t="shared" si="87"/>
        <v>1.856866851063998E-12</v>
      </c>
      <c r="Q80" s="22">
        <f t="shared" si="54"/>
        <v>3.4554122145673649E-12</v>
      </c>
      <c r="R80" s="62">
        <f t="shared" si="55"/>
        <v>293.33333333333678</v>
      </c>
      <c r="S80" s="62">
        <f ca="1">AVERAGE(OFFSET($R$3,0,0,'Données projet'!$E$9+1,1))-AVERAGE(OFFSET($H$3,0,0,'Données projet'!$E$9+1,1))</f>
        <v>323.98185264074681</v>
      </c>
      <c r="T80" s="62">
        <f t="shared" si="88"/>
        <v>301.22207291854005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1.7592215264638553</v>
      </c>
      <c r="AA80" s="23">
        <f>EXP(-LN(2)/25)*AA79+(1-EXP(-LN(2)/25))/(LN(2)/25)*Calculateur!V80*Calculateur!X80*VLOOKUP('Données projet'!$B$9,Paramètres!$A$1:$I$89,3,0)*0.475*44/12</f>
        <v>2.2406570104155445</v>
      </c>
      <c r="AB80" s="23">
        <f>EXP(-LN(2)/2)*AB79+(1-EXP(-LN(2)/2))/(LN(2)/2)*V80*Y80*VLOOKUP('Données projet'!$B$9,Paramètres!$A$1:$I$89,3,0)*0.475*44/12</f>
        <v>5.1316377392578753E-7</v>
      </c>
      <c r="AC80" s="24">
        <f t="shared" si="57"/>
        <v>3.999879050043174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7.5584615384615343</v>
      </c>
      <c r="AI80" s="14">
        <f>IF('Données projet'!$A$62&gt;35,AI79+AH80-AQ79,IF(A80&lt;'Données projet'!$A$62,$AF$205^A80,IF(A80='Données projet'!$A$62,'Données projet'!$B$62,AI79+AH80-AQ79)))</f>
        <v>380.23230769230742</v>
      </c>
      <c r="AJ80" s="14">
        <f>AI80*VLOOKUP('Données projet'!$B$10,Paramètres!$A$1:$I$89,3,0)*VLOOKUP('Données projet'!$B$10,Paramètres!$A$1:$I$89,5,0)</f>
        <v>227.37891999999985</v>
      </c>
      <c r="AK80" s="14">
        <f t="shared" si="89"/>
        <v>55.715565262615499</v>
      </c>
      <c r="AL80" s="22">
        <f t="shared" si="58"/>
        <v>493.05622849905507</v>
      </c>
      <c r="AM80" s="62">
        <f t="shared" si="59"/>
        <v>786.38956183238838</v>
      </c>
      <c r="AN80" s="62">
        <f ca="1">AVERAGE(OFFSET($AM$3,0,0,'Données projet'!$E$10+1,1))-AVERAGE(OFFSET($H$3,0,0,'Données projet'!$E$10+1,1))</f>
        <v>289.12367833861299</v>
      </c>
      <c r="AO80" s="62">
        <f t="shared" si="90"/>
        <v>229.06617320689003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3.4955205966640011E-7</v>
      </c>
      <c r="AX80" s="23">
        <f t="shared" si="60"/>
        <v>3.4955205966640011E-7</v>
      </c>
      <c r="AY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6</v>
      </c>
      <c r="BD80" s="13">
        <f>IF('Données projet'!$A$88&gt;35,BD79+BC80-BL79,IF(A80&lt;'Données projet'!$A$88,$BA$205^A80,IF(A80='Données projet'!$A$88,'Données projet'!$B$88,BD79+BC80-BL79)))</f>
        <v>263.99999999999989</v>
      </c>
      <c r="BE80" s="14">
        <f>BD80*VLOOKUP('Données projet'!$B$11,Paramètres!$A$1:$I$89,3,0)*VLOOKUP('Données projet'!$B$11,Paramètres!$A$1:$I$89,5,0)</f>
        <v>238.86719999999988</v>
      </c>
      <c r="BF80" s="14">
        <f t="shared" si="91"/>
        <v>58.195735973104156</v>
      </c>
      <c r="BG80" s="22">
        <f t="shared" si="61"/>
        <v>517.38461348648957</v>
      </c>
      <c r="BH80" s="62">
        <f t="shared" si="62"/>
        <v>810.71794681982283</v>
      </c>
      <c r="BI80" s="62">
        <f ca="1">AVERAGE(OFFSET($BH$3,0,0,'Données projet'!$E$11+1,1))-AVERAGE(OFFSET($H$3,0,0,'Données projet'!$E$11+1,1))</f>
        <v>428.8489304403459</v>
      </c>
      <c r="BJ80" s="62">
        <f t="shared" si="92"/>
        <v>247.01165577562966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</v>
      </c>
      <c r="BY80" s="13">
        <f>IF('Données projet'!$A$114&gt;35,BY79+BX80-CG79,IF(A80&lt;'Données projet'!$A$114,$BV$205^A80,IF(A80='Données projet'!$A$114,'Données projet'!$B$114,BY79+BX80-CG79)))</f>
        <v>275.99999999999983</v>
      </c>
      <c r="BZ80" s="14">
        <f>BY80*VLOOKUP('Données projet'!$B$12,Paramètres!$A$1:$I$89,3,0)*VLOOKUP('Données projet'!$B$12,Paramètres!$A$1:$I$89,5,0)</f>
        <v>202.36319999999986</v>
      </c>
      <c r="CA80" s="14">
        <f t="shared" si="93"/>
        <v>50.263171959975132</v>
      </c>
      <c r="CB80" s="22">
        <f t="shared" si="64"/>
        <v>439.99093116362309</v>
      </c>
      <c r="CC80" s="62">
        <f t="shared" si="65"/>
        <v>733.3242644969564</v>
      </c>
      <c r="CD80" s="62">
        <f ca="1">AVERAGE(OFFSET($CC$3,0,0,'Données projet'!$E$12+1,1))-AVERAGE(OFFSET($H$3,0,0,'Données projet'!$E$12+1,1))</f>
        <v>290.85271051443431</v>
      </c>
      <c r="CE80" s="62">
        <f t="shared" si="94"/>
        <v>318.66958823451142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1.1368683772161603E-13</v>
      </c>
      <c r="CU80" s="18">
        <f>CT80*VLOOKUP('Données projet'!$B$13,Paramètres!$A$1:$I$89,3,0)*VLOOKUP('Données projet'!$B$13,Paramètres!$A$1:$I$89,5,0)</f>
        <v>8.8675733422860506E-14</v>
      </c>
      <c r="CV80" s="14">
        <f t="shared" si="95"/>
        <v>1.3509285393066301E-12</v>
      </c>
      <c r="CW80" s="22">
        <f t="shared" si="67"/>
        <v>2.5073107750038623E-12</v>
      </c>
      <c r="CX80" s="62">
        <f t="shared" si="68"/>
        <v>293.33333333333582</v>
      </c>
      <c r="CY80" s="62">
        <f ca="1">AVERAGE(OFFSET($CX$3,0,0,'Données projet'!$E$13+1,1))-AVERAGE(OFFSET($H$3,0,0,'Données projet'!$E$13+1,1))</f>
        <v>292.57482726862594</v>
      </c>
      <c r="CZ80" s="62">
        <f t="shared" si="96"/>
        <v>283.48738729114024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</v>
      </c>
      <c r="DO80" s="13">
        <f>IF('Données projet'!$A$166&gt;35,DO79+DN80-DW79,IF(A80&lt;'Données projet'!$A$166,$DL$205^A80,IF(A80='Données projet'!$A$166,'Données projet'!$B$166,DO79+DN80-DW79)))</f>
        <v>275.99999999999983</v>
      </c>
      <c r="DP80" s="18">
        <f>DO80*VLOOKUP('Données projet'!$B$14,Paramètres!$A$1:$I$89,3,0)*VLOOKUP('Données projet'!$B$14,Paramètres!$A$1:$I$89,5,0)</f>
        <v>219.58559999999986</v>
      </c>
      <c r="DQ80" s="14">
        <f t="shared" si="97"/>
        <v>54.024808047218499</v>
      </c>
      <c r="DR80" s="22">
        <f t="shared" si="70"/>
        <v>476.53812734890533</v>
      </c>
      <c r="DS80" s="62">
        <f t="shared" si="71"/>
        <v>769.87146068223865</v>
      </c>
      <c r="DT80" s="62">
        <f ca="1">AVERAGE(OFFSET($DS$3,0,0,'Données projet'!$E$14+1,1))-AVERAGE(OFFSET($H$3,0,0,'Données projet'!$E$14+1,1))</f>
        <v>312.53381881960331</v>
      </c>
      <c r="DU80" s="62">
        <f t="shared" si="98"/>
        <v>342.06887933351783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3.974358974358978</v>
      </c>
      <c r="EJ80" s="13">
        <f>IF('Données projet'!$A$192&gt;35,EJ79+EI80-ER79,IF(A80&lt;'Données projet'!$A$192,$EG$205^A80,IF(A80='Données projet'!$A$192,'Données projet'!$B$192,EJ79+EI80-ER79)))</f>
        <v>215.64102564102558</v>
      </c>
      <c r="EK80" s="18">
        <f>EJ80*VLOOKUP('Données projet'!$B$15,Paramètres!$A$1:$I$89,3,0)*VLOOKUP('Données projet'!$B$15,Paramètres!$A$1:$I$89,5,0)</f>
        <v>205.20399999999995</v>
      </c>
      <c r="EL80" s="14">
        <f t="shared" si="99"/>
        <v>50.886134008708602</v>
      </c>
      <c r="EM80" s="22">
        <f t="shared" si="73"/>
        <v>446.02365006516737</v>
      </c>
      <c r="EN80" s="62">
        <f t="shared" si="74"/>
        <v>739.35698339850069</v>
      </c>
      <c r="EO80" s="62">
        <f ca="1">AVERAGE(OFFSET($EN$3,0,0,'Données projet'!$E$15+1,1))-AVERAGE(OFFSET($H$3,0,0,'Données projet'!$E$15+1,1))</f>
        <v>363.37916970915211</v>
      </c>
      <c r="EP80" s="62">
        <f t="shared" si="100"/>
        <v>281.52963027844595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8.9320512820512761</v>
      </c>
      <c r="FE80" s="13">
        <f>IF('Données projet'!$A$218&gt;35,FE79+FD80-FM79,IF(A80&lt;'Données projet'!$A$218,$FB$205^A80,IF(A80='Données projet'!$A$218,'Données projet'!$B$218,FE79+FD80-FM79)))</f>
        <v>292.97948717948691</v>
      </c>
      <c r="FF80" s="18">
        <f>FE80*VLOOKUP('Données projet'!$B$16,Paramètres!$A$1:$I$89,3,0)*VLOOKUP('Données projet'!$B$16,Paramètres!$A$1:$I$89,5,0)</f>
        <v>137.11439999999988</v>
      </c>
      <c r="FG80" s="14">
        <f t="shared" si="101"/>
        <v>35.635155920090774</v>
      </c>
      <c r="FH80" s="22">
        <f t="shared" si="76"/>
        <v>300.87214322749122</v>
      </c>
      <c r="FI80" s="62">
        <f t="shared" si="77"/>
        <v>594.20547656082454</v>
      </c>
      <c r="FJ80" s="62">
        <f ca="1">AVERAGE(OFFSET($FI$3,0,0,'Données projet'!$E$16+1,1))-AVERAGE(OFFSET($H$3,0,0,'Données projet'!$E$16+1,1))</f>
        <v>245.47494516762282</v>
      </c>
      <c r="FK80" s="62">
        <f t="shared" si="102"/>
        <v>145.54897745089966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6</v>
      </c>
      <c r="FZ80" s="13">
        <f>IF('Données projet'!$A$244&gt;35,FZ79+FY80-GH79,IF(A80&lt;'Données projet'!$A$244,$FW$205^A80,IF(A80='Données projet'!$A$244,'Données projet'!$B$244,FZ79+FY80-GH79)))</f>
        <v>263.99999999999989</v>
      </c>
      <c r="GA80" s="18">
        <f>FZ80*VLOOKUP('Données projet'!$B$17,Paramètres!$A$1:$I$89,3,0)*VLOOKUP('Données projet'!$B$17,Paramètres!$A$1:$I$89,5,0)</f>
        <v>255.34079999999989</v>
      </c>
      <c r="GB80" s="14">
        <f t="shared" si="103"/>
        <v>61.728182021951895</v>
      </c>
      <c r="GC80" s="22">
        <f t="shared" si="79"/>
        <v>552.22847702156594</v>
      </c>
      <c r="GD80" s="62">
        <f t="shared" si="80"/>
        <v>845.56181035489931</v>
      </c>
      <c r="GE80" s="62">
        <f ca="1">AVERAGE(OFFSET($GD$3,0,0,'Données projet'!$E$17+1,1))-AVERAGE(OFFSET($H$3,0,0,'Données projet'!$E$17+1,1))</f>
        <v>455.50822833641354</v>
      </c>
      <c r="GF80" s="62">
        <f t="shared" si="104"/>
        <v>261.14722581688039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4.2307692307692264</v>
      </c>
      <c r="GU80" s="13">
        <f>IF('Données projet'!$A$270&gt;35,GU79+GT80-HC79,IF(A80&lt;'Données projet'!$A$270,$GR$205^A80,IF(A80='Données projet'!$A$270,'Données projet'!$B$270,GU79+GT80-HC79)))</f>
        <v>269.35897435897442</v>
      </c>
      <c r="GV80" s="18">
        <f>GU80*VLOOKUP('Données projet'!$B$18,Paramètres!$A$1:$I$89,3,0)*VLOOKUP('Données projet'!$B$18,Paramètres!$A$1:$I$89,5,0)</f>
        <v>180.68600000000004</v>
      </c>
      <c r="GW80" s="14">
        <f t="shared" si="105"/>
        <v>45.474774723021419</v>
      </c>
      <c r="GX80" s="22">
        <f t="shared" si="82"/>
        <v>393.89668264259575</v>
      </c>
      <c r="GY80" s="62">
        <f t="shared" si="83"/>
        <v>687.23001597592906</v>
      </c>
      <c r="GZ80" s="62">
        <f ca="1">AVERAGE(OFFSET($GY$3,0,0,'Données projet'!$E$18+1,1))-AVERAGE(OFFSET($H$3,0,0,'Données projet'!$E$18+1,1))</f>
        <v>312.06797204903796</v>
      </c>
      <c r="HA80" s="62">
        <f t="shared" si="106"/>
        <v>258.20189001775151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projet'!$B$18,Paramètres!$A$1:$I$89,3,0)*0.475*44/12</f>
        <v>0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84"/>
        <v>0</v>
      </c>
    </row>
    <row r="81" spans="1:218" s="5" customFormat="1" x14ac:dyDescent="0.25">
      <c r="A81" s="11">
        <f t="shared" si="85"/>
        <v>78</v>
      </c>
      <c r="B81" s="76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9">
        <f t="shared" si="56"/>
        <v>256.66666666666669</v>
      </c>
      <c r="I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2.2737367544323206E-13</v>
      </c>
      <c r="O81" s="14">
        <f>N81*VLOOKUP('Données projet'!$B$9,Paramètres!$A$1:$I$89,3,0)*VLOOKUP('Données projet'!$B$9,Paramètres!$A$1:$I$89,5,0)</f>
        <v>1.2710188457276673E-13</v>
      </c>
      <c r="P81" s="14">
        <f t="shared" si="87"/>
        <v>1.856866851063998E-12</v>
      </c>
      <c r="Q81" s="22">
        <f t="shared" si="54"/>
        <v>3.4554122145673649E-12</v>
      </c>
      <c r="R81" s="62">
        <f t="shared" si="55"/>
        <v>293.33333333333678</v>
      </c>
      <c r="S81" s="62">
        <f ca="1">AVERAGE(OFFSET($R$3,0,0,'Données projet'!$E$9+1,1))-AVERAGE(OFFSET($H$3,0,0,'Données projet'!$E$9+1,1))</f>
        <v>323.98185264074681</v>
      </c>
      <c r="T81" s="62">
        <f t="shared" si="88"/>
        <v>301.22207291854005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1.7247242653490784</v>
      </c>
      <c r="AA81" s="23">
        <f>EXP(-LN(2)/25)*AA80+(1-EXP(-LN(2)/25))/(LN(2)/25)*Calculateur!V81*Calculateur!X81*VLOOKUP('Données projet'!$B$9,Paramètres!$A$1:$I$89,3,0)*0.475*44/12</f>
        <v>2.1793861266347005</v>
      </c>
      <c r="AB81" s="23">
        <f>EXP(-LN(2)/2)*AB80+(1-EXP(-LN(2)/2))/(LN(2)/2)*V81*Y81*VLOOKUP('Données projet'!$B$9,Paramètres!$A$1:$I$89,3,0)*0.475*44/12</f>
        <v>3.6286158440220479E-7</v>
      </c>
      <c r="AC81" s="24">
        <f t="shared" si="57"/>
        <v>3.9041107548453633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7.5584615384615343</v>
      </c>
      <c r="AI81" s="14">
        <f>IF('Données projet'!$A$62&gt;35,AI80+AH81-AQ80,IF(A81&lt;'Données projet'!$A$62,$AF$205^A81,IF(A81='Données projet'!$A$62,'Données projet'!$B$62,AI80+AH81-AQ80)))</f>
        <v>387.79076923076894</v>
      </c>
      <c r="AJ81" s="14">
        <f>AI81*VLOOKUP('Données projet'!$B$10,Paramètres!$A$1:$I$89,3,0)*VLOOKUP('Données projet'!$B$10,Paramètres!$A$1:$I$89,5,0)</f>
        <v>231.89887999999985</v>
      </c>
      <c r="AK81" s="14">
        <f t="shared" si="89"/>
        <v>56.693067102008712</v>
      </c>
      <c r="AL81" s="22">
        <f t="shared" si="58"/>
        <v>502.63097453599829</v>
      </c>
      <c r="AM81" s="62">
        <f t="shared" si="59"/>
        <v>795.96430786933161</v>
      </c>
      <c r="AN81" s="62">
        <f ca="1">AVERAGE(OFFSET($AM$3,0,0,'Données projet'!$E$10+1,1))-AVERAGE(OFFSET($H$3,0,0,'Données projet'!$E$10+1,1))</f>
        <v>289.12367833861299</v>
      </c>
      <c r="AO81" s="62">
        <f t="shared" si="90"/>
        <v>229.06617320689003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2.4717063176783618E-7</v>
      </c>
      <c r="AX81" s="23">
        <f t="shared" si="60"/>
        <v>2.4717063176783618E-7</v>
      </c>
      <c r="AY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6</v>
      </c>
      <c r="BD81" s="13">
        <f>IF('Données projet'!$A$88&gt;35,BD80+BC81-BL80,IF(A81&lt;'Données projet'!$A$88,$BA$205^A81,IF(A81='Données projet'!$A$88,'Données projet'!$B$88,BD80+BC81-BL80)))</f>
        <v>269.99999999999989</v>
      </c>
      <c r="BE81" s="14">
        <f>BD81*VLOOKUP('Données projet'!$B$11,Paramètres!$A$1:$I$89,3,0)*VLOOKUP('Données projet'!$B$11,Paramètres!$A$1:$I$89,5,0)</f>
        <v>244.29599999999991</v>
      </c>
      <c r="BF81" s="14">
        <f t="shared" si="91"/>
        <v>59.362879241040318</v>
      </c>
      <c r="BG81" s="22">
        <f t="shared" si="61"/>
        <v>528.87254801147833</v>
      </c>
      <c r="BH81" s="62">
        <f t="shared" si="62"/>
        <v>822.20588134481159</v>
      </c>
      <c r="BI81" s="62">
        <f ca="1">AVERAGE(OFFSET($BH$3,0,0,'Données projet'!$E$11+1,1))-AVERAGE(OFFSET($H$3,0,0,'Données projet'!$E$11+1,1))</f>
        <v>428.8489304403459</v>
      </c>
      <c r="BJ81" s="62">
        <f t="shared" si="92"/>
        <v>247.01165577562966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</v>
      </c>
      <c r="BY81" s="13">
        <f>IF('Données projet'!$A$114&gt;35,BY80+BX81-CG80,IF(A81&lt;'Données projet'!$A$114,$BV$205^A81,IF(A81='Données projet'!$A$114,'Données projet'!$B$114,BY80+BX81-CG80)))</f>
        <v>278.99999999999983</v>
      </c>
      <c r="BZ81" s="14">
        <f>BY81*VLOOKUP('Données projet'!$B$12,Paramètres!$A$1:$I$89,3,0)*VLOOKUP('Données projet'!$B$12,Paramètres!$A$1:$I$89,5,0)</f>
        <v>204.56279999999987</v>
      </c>
      <c r="CA81" s="14">
        <f t="shared" si="93"/>
        <v>50.74561278586372</v>
      </c>
      <c r="CB81" s="22">
        <f t="shared" si="64"/>
        <v>444.66215226871242</v>
      </c>
      <c r="CC81" s="62">
        <f t="shared" si="65"/>
        <v>737.99548560204573</v>
      </c>
      <c r="CD81" s="62">
        <f ca="1">AVERAGE(OFFSET($CC$3,0,0,'Données projet'!$E$12+1,1))-AVERAGE(OFFSET($H$3,0,0,'Données projet'!$E$12+1,1))</f>
        <v>290.85271051443431</v>
      </c>
      <c r="CE81" s="62">
        <f t="shared" si="94"/>
        <v>318.66958823451142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1.1368683772161603E-13</v>
      </c>
      <c r="CU81" s="18">
        <f>CT81*VLOOKUP('Données projet'!$B$13,Paramètres!$A$1:$I$89,3,0)*VLOOKUP('Données projet'!$B$13,Paramètres!$A$1:$I$89,5,0)</f>
        <v>8.8675733422860506E-14</v>
      </c>
      <c r="CV81" s="14">
        <f t="shared" si="95"/>
        <v>1.3509285393066301E-12</v>
      </c>
      <c r="CW81" s="22">
        <f t="shared" si="67"/>
        <v>2.5073107750038623E-12</v>
      </c>
      <c r="CX81" s="62">
        <f t="shared" si="68"/>
        <v>293.33333333333582</v>
      </c>
      <c r="CY81" s="62">
        <f ca="1">AVERAGE(OFFSET($CX$3,0,0,'Données projet'!$E$13+1,1))-AVERAGE(OFFSET($H$3,0,0,'Données projet'!$E$13+1,1))</f>
        <v>292.57482726862594</v>
      </c>
      <c r="CZ81" s="62">
        <f t="shared" si="96"/>
        <v>283.48738729114024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</v>
      </c>
      <c r="DO81" s="13">
        <f>IF('Données projet'!$A$166&gt;35,DO80+DN81-DW80,IF(A81&lt;'Données projet'!$A$166,$DL$205^A81,IF(A81='Données projet'!$A$166,'Données projet'!$B$166,DO80+DN81-DW80)))</f>
        <v>278.99999999999983</v>
      </c>
      <c r="DP81" s="18">
        <f>DO81*VLOOKUP('Données projet'!$B$14,Paramètres!$A$1:$I$89,3,0)*VLOOKUP('Données projet'!$B$14,Paramètres!$A$1:$I$89,5,0)</f>
        <v>221.97239999999985</v>
      </c>
      <c r="DQ81" s="14">
        <f t="shared" si="97"/>
        <v>54.543354171476771</v>
      </c>
      <c r="DR81" s="22">
        <f t="shared" si="70"/>
        <v>481.59827184865503</v>
      </c>
      <c r="DS81" s="62">
        <f t="shared" si="71"/>
        <v>774.93160518198829</v>
      </c>
      <c r="DT81" s="62">
        <f ca="1">AVERAGE(OFFSET($DS$3,0,0,'Données projet'!$E$14+1,1))-AVERAGE(OFFSET($H$3,0,0,'Données projet'!$E$14+1,1))</f>
        <v>312.53381881960331</v>
      </c>
      <c r="DU81" s="62">
        <f t="shared" si="98"/>
        <v>342.06887933351783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3.974358974358978</v>
      </c>
      <c r="EJ81" s="13">
        <f>IF('Données projet'!$A$192&gt;35,EJ80+EI81-ER80,IF(A81&lt;'Données projet'!$A$192,$EG$205^A81,IF(A81='Données projet'!$A$192,'Données projet'!$B$192,EJ80+EI81-ER80)))</f>
        <v>219.61538461538456</v>
      </c>
      <c r="EK81" s="18">
        <f>EJ81*VLOOKUP('Données projet'!$B$15,Paramètres!$A$1:$I$89,3,0)*VLOOKUP('Données projet'!$B$15,Paramètres!$A$1:$I$89,5,0)</f>
        <v>208.98599999999996</v>
      </c>
      <c r="EL81" s="14">
        <f t="shared" si="99"/>
        <v>51.713938803941488</v>
      </c>
      <c r="EM81" s="22">
        <f t="shared" si="73"/>
        <v>454.05239341686462</v>
      </c>
      <c r="EN81" s="62">
        <f t="shared" si="74"/>
        <v>747.38572675019793</v>
      </c>
      <c r="EO81" s="62">
        <f ca="1">AVERAGE(OFFSET($EN$3,0,0,'Données projet'!$E$15+1,1))-AVERAGE(OFFSET($H$3,0,0,'Données projet'!$E$15+1,1))</f>
        <v>363.37916970915211</v>
      </c>
      <c r="EP81" s="62">
        <f t="shared" si="100"/>
        <v>281.52963027844595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8.9320512820512761</v>
      </c>
      <c r="FE81" s="13">
        <f>IF('Données projet'!$A$218&gt;35,FE80+FD81-FM80,IF(A81&lt;'Données projet'!$A$218,$FB$205^A81,IF(A81='Données projet'!$A$218,'Données projet'!$B$218,FE80+FD81-FM80)))</f>
        <v>301.91153846153816</v>
      </c>
      <c r="FF81" s="18">
        <f>FE81*VLOOKUP('Données projet'!$B$16,Paramètres!$A$1:$I$89,3,0)*VLOOKUP('Données projet'!$B$16,Paramètres!$A$1:$I$89,5,0)</f>
        <v>141.29459999999986</v>
      </c>
      <c r="FG81" s="14">
        <f t="shared" si="101"/>
        <v>36.593421110553088</v>
      </c>
      <c r="FH81" s="22">
        <f t="shared" si="76"/>
        <v>309.82163676754641</v>
      </c>
      <c r="FI81" s="62">
        <f t="shared" si="77"/>
        <v>603.15497010087972</v>
      </c>
      <c r="FJ81" s="62">
        <f ca="1">AVERAGE(OFFSET($FI$3,0,0,'Données projet'!$E$16+1,1))-AVERAGE(OFFSET($H$3,0,0,'Données projet'!$E$16+1,1))</f>
        <v>245.47494516762282</v>
      </c>
      <c r="FK81" s="62">
        <f t="shared" si="102"/>
        <v>145.54897745089966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6</v>
      </c>
      <c r="FZ81" s="13">
        <f>IF('Données projet'!$A$244&gt;35,FZ80+FY81-GH80,IF(A81&lt;'Données projet'!$A$244,$FW$205^A81,IF(A81='Données projet'!$A$244,'Données projet'!$B$244,FZ80+FY81-GH80)))</f>
        <v>269.99999999999989</v>
      </c>
      <c r="GA81" s="18">
        <f>FZ81*VLOOKUP('Données projet'!$B$17,Paramètres!$A$1:$I$89,3,0)*VLOOKUP('Données projet'!$B$17,Paramètres!$A$1:$I$89,5,0)</f>
        <v>261.14399999999989</v>
      </c>
      <c r="GB81" s="14">
        <f t="shared" si="103"/>
        <v>62.966170181808813</v>
      </c>
      <c r="GC81" s="22">
        <f t="shared" si="79"/>
        <v>564.49187973331675</v>
      </c>
      <c r="GD81" s="62">
        <f t="shared" si="80"/>
        <v>857.82521306665012</v>
      </c>
      <c r="GE81" s="62">
        <f ca="1">AVERAGE(OFFSET($GD$3,0,0,'Données projet'!$E$17+1,1))-AVERAGE(OFFSET($H$3,0,0,'Données projet'!$E$17+1,1))</f>
        <v>455.50822833641354</v>
      </c>
      <c r="GF81" s="62">
        <f t="shared" si="104"/>
        <v>261.14722581688039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4.2307692307692264</v>
      </c>
      <c r="GU81" s="13">
        <f>IF('Données projet'!$A$270&gt;35,GU80+GT81-HC80,IF(A81&lt;'Données projet'!$A$270,$GR$205^A81,IF(A81='Données projet'!$A$270,'Données projet'!$B$270,GU80+GT81-HC80)))</f>
        <v>273.58974358974365</v>
      </c>
      <c r="GV81" s="18">
        <f>GU81*VLOOKUP('Données projet'!$B$18,Paramètres!$A$1:$I$89,3,0)*VLOOKUP('Données projet'!$B$18,Paramètres!$A$1:$I$89,5,0)</f>
        <v>183.52400000000006</v>
      </c>
      <c r="GW81" s="14">
        <f t="shared" si="105"/>
        <v>46.10532434349372</v>
      </c>
      <c r="GX81" s="22">
        <f t="shared" si="82"/>
        <v>399.93773989825166</v>
      </c>
      <c r="GY81" s="62">
        <f t="shared" si="83"/>
        <v>693.27107323158498</v>
      </c>
      <c r="GZ81" s="62">
        <f ca="1">AVERAGE(OFFSET($GY$3,0,0,'Données projet'!$E$18+1,1))-AVERAGE(OFFSET($H$3,0,0,'Données projet'!$E$18+1,1))</f>
        <v>312.06797204903796</v>
      </c>
      <c r="HA81" s="62">
        <f t="shared" si="106"/>
        <v>258.20189001775151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projet'!$B$18,Paramètres!$A$1:$I$89,3,0)*0.475*44/12</f>
        <v>0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84"/>
        <v>0</v>
      </c>
    </row>
    <row r="82" spans="1:218" s="5" customFormat="1" x14ac:dyDescent="0.25">
      <c r="A82" s="11">
        <f t="shared" si="85"/>
        <v>79</v>
      </c>
      <c r="B82" s="76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9">
        <f t="shared" si="56"/>
        <v>256.66666666666669</v>
      </c>
      <c r="I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2.2737367544323206E-13</v>
      </c>
      <c r="O82" s="14">
        <f>N82*VLOOKUP('Données projet'!$B$9,Paramètres!$A$1:$I$89,3,0)*VLOOKUP('Données projet'!$B$9,Paramètres!$A$1:$I$89,5,0)</f>
        <v>1.2710188457276673E-13</v>
      </c>
      <c r="P82" s="14">
        <f t="shared" si="87"/>
        <v>1.856866851063998E-12</v>
      </c>
      <c r="Q82" s="22">
        <f t="shared" si="54"/>
        <v>3.4554122145673649E-12</v>
      </c>
      <c r="R82" s="62">
        <f t="shared" si="55"/>
        <v>293.33333333333678</v>
      </c>
      <c r="S82" s="62">
        <f ca="1">AVERAGE(OFFSET($R$3,0,0,'Données projet'!$E$9+1,1))-AVERAGE(OFFSET($H$3,0,0,'Données projet'!$E$9+1,1))</f>
        <v>323.98185264074681</v>
      </c>
      <c r="T82" s="62">
        <f t="shared" si="88"/>
        <v>301.22207291854005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1.6909034744835107</v>
      </c>
      <c r="AA82" s="23">
        <f>EXP(-LN(2)/25)*AA81+(1-EXP(-LN(2)/25))/(LN(2)/25)*Calculateur!V82*Calculateur!X82*VLOOKUP('Données projet'!$B$9,Paramètres!$A$1:$I$89,3,0)*0.475*44/12</f>
        <v>2.1197906983929391</v>
      </c>
      <c r="AB82" s="23">
        <f>EXP(-LN(2)/2)*AB81+(1-EXP(-LN(2)/2))/(LN(2)/2)*V82*Y82*VLOOKUP('Données projet'!$B$9,Paramètres!$A$1:$I$89,3,0)*0.475*44/12</f>
        <v>2.5658188696289376E-7</v>
      </c>
      <c r="AC82" s="24">
        <f t="shared" si="57"/>
        <v>3.8106944294583367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7.5584615384615343</v>
      </c>
      <c r="AI82" s="14">
        <f>IF('Données projet'!$A$62&gt;35,AI81+AH82-AQ81,IF(A82&lt;'Données projet'!$A$62,$AF$205^A82,IF(A82='Données projet'!$A$62,'Données projet'!$B$62,AI81+AH82-AQ81)))</f>
        <v>395.34923076923047</v>
      </c>
      <c r="AJ82" s="14">
        <f>AI82*VLOOKUP('Données projet'!$B$10,Paramètres!$A$1:$I$89,3,0)*VLOOKUP('Données projet'!$B$10,Paramètres!$A$1:$I$89,5,0)</f>
        <v>236.41883999999985</v>
      </c>
      <c r="AK82" s="14">
        <f t="shared" si="89"/>
        <v>57.668353588027863</v>
      </c>
      <c r="AL82" s="22">
        <f t="shared" si="58"/>
        <v>512.20186216581487</v>
      </c>
      <c r="AM82" s="62">
        <f t="shared" si="59"/>
        <v>805.53519549914813</v>
      </c>
      <c r="AN82" s="62">
        <f ca="1">AVERAGE(OFFSET($AM$3,0,0,'Données projet'!$E$10+1,1))-AVERAGE(OFFSET($H$3,0,0,'Données projet'!$E$10+1,1))</f>
        <v>289.12367833861299</v>
      </c>
      <c r="AO82" s="62">
        <f t="shared" si="90"/>
        <v>229.06617320689003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1.7477602983320005E-7</v>
      </c>
      <c r="AX82" s="23">
        <f t="shared" si="60"/>
        <v>1.7477602983320005E-7</v>
      </c>
      <c r="AY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6</v>
      </c>
      <c r="BD82" s="13">
        <f>IF('Données projet'!$A$88&gt;35,BD81+BC82-BL81,IF(A82&lt;'Données projet'!$A$88,$BA$205^A82,IF(A82='Données projet'!$A$88,'Données projet'!$B$88,BD81+BC82-BL81)))</f>
        <v>275.99999999999989</v>
      </c>
      <c r="BE82" s="14">
        <f>BD82*VLOOKUP('Données projet'!$B$11,Paramètres!$A$1:$I$89,3,0)*VLOOKUP('Données projet'!$B$11,Paramètres!$A$1:$I$89,5,0)</f>
        <v>249.7247999999999</v>
      </c>
      <c r="BF82" s="14">
        <f t="shared" si="91"/>
        <v>60.527007137298092</v>
      </c>
      <c r="BG82" s="22">
        <f t="shared" si="61"/>
        <v>540.35523076412733</v>
      </c>
      <c r="BH82" s="62">
        <f t="shared" si="62"/>
        <v>833.68856409746058</v>
      </c>
      <c r="BI82" s="62">
        <f ca="1">AVERAGE(OFFSET($BH$3,0,0,'Données projet'!$E$11+1,1))-AVERAGE(OFFSET($H$3,0,0,'Données projet'!$E$11+1,1))</f>
        <v>428.8489304403459</v>
      </c>
      <c r="BJ82" s="62">
        <f t="shared" si="92"/>
        <v>247.01165577562966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</v>
      </c>
      <c r="BY82" s="13">
        <f>IF('Données projet'!$A$114&gt;35,BY81+BX82-CG81,IF(A82&lt;'Données projet'!$A$114,$BV$205^A82,IF(A82='Données projet'!$A$114,'Données projet'!$B$114,BY81+BX82-CG81)))</f>
        <v>281.99999999999983</v>
      </c>
      <c r="BZ82" s="14">
        <f>BY82*VLOOKUP('Données projet'!$B$12,Paramètres!$A$1:$I$89,3,0)*VLOOKUP('Données projet'!$B$12,Paramètres!$A$1:$I$89,5,0)</f>
        <v>206.76239999999987</v>
      </c>
      <c r="CA82" s="14">
        <f t="shared" si="93"/>
        <v>51.227450148013851</v>
      </c>
      <c r="CB82" s="22">
        <f t="shared" si="64"/>
        <v>449.33232234112387</v>
      </c>
      <c r="CC82" s="62">
        <f t="shared" si="65"/>
        <v>742.66565567445718</v>
      </c>
      <c r="CD82" s="62">
        <f ca="1">AVERAGE(OFFSET($CC$3,0,0,'Données projet'!$E$12+1,1))-AVERAGE(OFFSET($H$3,0,0,'Données projet'!$E$12+1,1))</f>
        <v>290.85271051443431</v>
      </c>
      <c r="CE82" s="62">
        <f t="shared" si="94"/>
        <v>318.66958823451142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1.1368683772161603E-13</v>
      </c>
      <c r="CU82" s="18">
        <f>CT82*VLOOKUP('Données projet'!$B$13,Paramètres!$A$1:$I$89,3,0)*VLOOKUP('Données projet'!$B$13,Paramètres!$A$1:$I$89,5,0)</f>
        <v>8.8675733422860506E-14</v>
      </c>
      <c r="CV82" s="14">
        <f t="shared" si="95"/>
        <v>1.3509285393066301E-12</v>
      </c>
      <c r="CW82" s="22">
        <f t="shared" si="67"/>
        <v>2.5073107750038623E-12</v>
      </c>
      <c r="CX82" s="62">
        <f t="shared" si="68"/>
        <v>293.33333333333582</v>
      </c>
      <c r="CY82" s="62">
        <f ca="1">AVERAGE(OFFSET($CX$3,0,0,'Données projet'!$E$13+1,1))-AVERAGE(OFFSET($H$3,0,0,'Données projet'!$E$13+1,1))</f>
        <v>292.57482726862594</v>
      </c>
      <c r="CZ82" s="62">
        <f t="shared" si="96"/>
        <v>283.48738729114024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</v>
      </c>
      <c r="DO82" s="13">
        <f>IF('Données projet'!$A$166&gt;35,DO81+DN82-DW81,IF(A82&lt;'Données projet'!$A$166,$DL$205^A82,IF(A82='Données projet'!$A$166,'Données projet'!$B$166,DO81+DN82-DW81)))</f>
        <v>281.99999999999983</v>
      </c>
      <c r="DP82" s="18">
        <f>DO82*VLOOKUP('Données projet'!$B$14,Paramètres!$A$1:$I$89,3,0)*VLOOKUP('Données projet'!$B$14,Paramètres!$A$1:$I$89,5,0)</f>
        <v>224.35919999999987</v>
      </c>
      <c r="DQ82" s="14">
        <f t="shared" si="97"/>
        <v>55.061251669487255</v>
      </c>
      <c r="DR82" s="22">
        <f t="shared" si="70"/>
        <v>486.65728665769001</v>
      </c>
      <c r="DS82" s="62">
        <f t="shared" si="71"/>
        <v>779.99061999102332</v>
      </c>
      <c r="DT82" s="62">
        <f ca="1">AVERAGE(OFFSET($DS$3,0,0,'Données projet'!$E$14+1,1))-AVERAGE(OFFSET($H$3,0,0,'Données projet'!$E$14+1,1))</f>
        <v>312.53381881960331</v>
      </c>
      <c r="DU82" s="62">
        <f t="shared" si="98"/>
        <v>342.06887933351783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3.974358974358978</v>
      </c>
      <c r="EJ82" s="13">
        <f>IF('Données projet'!$A$192&gt;35,EJ81+EI82-ER81,IF(A82&lt;'Données projet'!$A$192,$EG$205^A82,IF(A82='Données projet'!$A$192,'Données projet'!$B$192,EJ81+EI82-ER81)))</f>
        <v>223.58974358974353</v>
      </c>
      <c r="EK82" s="18">
        <f>EJ82*VLOOKUP('Données projet'!$B$15,Paramètres!$A$1:$I$89,3,0)*VLOOKUP('Données projet'!$B$15,Paramètres!$A$1:$I$89,5,0)</f>
        <v>212.76799999999994</v>
      </c>
      <c r="EL82" s="14">
        <f t="shared" si="99"/>
        <v>52.540001579827234</v>
      </c>
      <c r="EM82" s="22">
        <f t="shared" si="73"/>
        <v>462.0781027515323</v>
      </c>
      <c r="EN82" s="62">
        <f t="shared" si="74"/>
        <v>755.41143608486561</v>
      </c>
      <c r="EO82" s="62">
        <f ca="1">AVERAGE(OFFSET($EN$3,0,0,'Données projet'!$E$15+1,1))-AVERAGE(OFFSET($H$3,0,0,'Données projet'!$E$15+1,1))</f>
        <v>363.37916970915211</v>
      </c>
      <c r="EP82" s="62">
        <f t="shared" si="100"/>
        <v>281.52963027844595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8.9320512820512761</v>
      </c>
      <c r="FE82" s="13">
        <f>IF('Données projet'!$A$218&gt;35,FE81+FD82-FM81,IF(A82&lt;'Données projet'!$A$218,$FB$205^A82,IF(A82='Données projet'!$A$218,'Données projet'!$B$218,FE81+FD82-FM81)))</f>
        <v>310.8435897435894</v>
      </c>
      <c r="FF82" s="18">
        <f>FE82*VLOOKUP('Données projet'!$B$16,Paramètres!$A$1:$I$89,3,0)*VLOOKUP('Données projet'!$B$16,Paramètres!$A$1:$I$89,5,0)</f>
        <v>145.47479999999985</v>
      </c>
      <c r="FG82" s="14">
        <f t="shared" si="101"/>
        <v>37.548391497194409</v>
      </c>
      <c r="FH82" s="22">
        <f t="shared" si="76"/>
        <v>318.76539185761334</v>
      </c>
      <c r="FI82" s="62">
        <f t="shared" si="77"/>
        <v>612.09872519094665</v>
      </c>
      <c r="FJ82" s="62">
        <f ca="1">AVERAGE(OFFSET($FI$3,0,0,'Données projet'!$E$16+1,1))-AVERAGE(OFFSET($H$3,0,0,'Données projet'!$E$16+1,1))</f>
        <v>245.47494516762282</v>
      </c>
      <c r="FK82" s="62">
        <f t="shared" si="102"/>
        <v>145.54897745089966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6</v>
      </c>
      <c r="FZ82" s="13">
        <f>IF('Données projet'!$A$244&gt;35,FZ81+FY82-GH81,IF(A82&lt;'Données projet'!$A$244,$FW$205^A82,IF(A82='Données projet'!$A$244,'Données projet'!$B$244,FZ81+FY82-GH81)))</f>
        <v>275.99999999999989</v>
      </c>
      <c r="GA82" s="18">
        <f>FZ82*VLOOKUP('Données projet'!$B$17,Paramètres!$A$1:$I$89,3,0)*VLOOKUP('Données projet'!$B$17,Paramètres!$A$1:$I$89,5,0)</f>
        <v>266.9471999999999</v>
      </c>
      <c r="GB82" s="14">
        <f t="shared" si="103"/>
        <v>64.200959938746379</v>
      </c>
      <c r="GC82" s="22">
        <f t="shared" si="79"/>
        <v>576.74971189331643</v>
      </c>
      <c r="GD82" s="62">
        <f t="shared" si="80"/>
        <v>870.0830452266498</v>
      </c>
      <c r="GE82" s="62">
        <f ca="1">AVERAGE(OFFSET($GD$3,0,0,'Données projet'!$E$17+1,1))-AVERAGE(OFFSET($H$3,0,0,'Données projet'!$E$17+1,1))</f>
        <v>455.50822833641354</v>
      </c>
      <c r="GF82" s="62">
        <f t="shared" si="104"/>
        <v>261.14722581688039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4.2307692307692264</v>
      </c>
      <c r="GU82" s="13">
        <f>IF('Données projet'!$A$270&gt;35,GU81+GT82-HC81,IF(A82&lt;'Données projet'!$A$270,$GR$205^A82,IF(A82='Données projet'!$A$270,'Données projet'!$B$270,GU81+GT82-HC81)))</f>
        <v>277.82051282051287</v>
      </c>
      <c r="GV82" s="18">
        <f>GU82*VLOOKUP('Données projet'!$B$18,Paramètres!$A$1:$I$89,3,0)*VLOOKUP('Données projet'!$B$18,Paramètres!$A$1:$I$89,5,0)</f>
        <v>186.36200000000002</v>
      </c>
      <c r="GW82" s="14">
        <f t="shared" si="105"/>
        <v>46.734739947740024</v>
      </c>
      <c r="GX82" s="22">
        <f t="shared" si="82"/>
        <v>405.97682207564725</v>
      </c>
      <c r="GY82" s="62">
        <f t="shared" si="83"/>
        <v>699.31015540898056</v>
      </c>
      <c r="GZ82" s="62">
        <f ca="1">AVERAGE(OFFSET($GY$3,0,0,'Données projet'!$E$18+1,1))-AVERAGE(OFFSET($H$3,0,0,'Données projet'!$E$18+1,1))</f>
        <v>312.06797204903796</v>
      </c>
      <c r="HA82" s="62">
        <f t="shared" si="106"/>
        <v>258.20189001775151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projet'!$B$18,Paramètres!$A$1:$I$89,3,0)*0.475*44/12</f>
        <v>0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84"/>
        <v>0</v>
      </c>
    </row>
    <row r="83" spans="1:218" s="5" customFormat="1" x14ac:dyDescent="0.25">
      <c r="A83" s="11">
        <f t="shared" si="85"/>
        <v>80</v>
      </c>
      <c r="B83" s="76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9">
        <f t="shared" si="56"/>
        <v>256.66666666666669</v>
      </c>
      <c r="I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2.2737367544323206E-13</v>
      </c>
      <c r="O83" s="14">
        <f>N83*VLOOKUP('Données projet'!$B$9,Paramètres!$A$1:$I$89,3,0)*VLOOKUP('Données projet'!$B$9,Paramètres!$A$1:$I$89,5,0)</f>
        <v>1.2710188457276673E-13</v>
      </c>
      <c r="P83" s="14">
        <f t="shared" si="87"/>
        <v>1.856866851063998E-12</v>
      </c>
      <c r="Q83" s="22">
        <f t="shared" si="54"/>
        <v>3.4554122145673649E-12</v>
      </c>
      <c r="R83" s="62">
        <f t="shared" si="55"/>
        <v>293.33333333333678</v>
      </c>
      <c r="S83" s="62">
        <f ca="1">AVERAGE(OFFSET($R$3,0,0,'Données projet'!$E$9+1,1))-AVERAGE(OFFSET($H$3,0,0,'Données projet'!$E$9+1,1))</f>
        <v>323.98185264074681</v>
      </c>
      <c r="T83" s="62">
        <f t="shared" si="88"/>
        <v>301.22207291854005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1.6577458886981713</v>
      </c>
      <c r="AA83" s="23">
        <f>EXP(-LN(2)/25)*AA82+(1-EXP(-LN(2)/25))/(LN(2)/25)*Calculateur!V83*Calculateur!X83*VLOOKUP('Données projet'!$B$9,Paramètres!$A$1:$I$89,3,0)*0.475*44/12</f>
        <v>2.061824910270436</v>
      </c>
      <c r="AB83" s="23">
        <f>EXP(-LN(2)/2)*AB82+(1-EXP(-LN(2)/2))/(LN(2)/2)*V83*Y83*VLOOKUP('Données projet'!$B$9,Paramètres!$A$1:$I$89,3,0)*0.475*44/12</f>
        <v>1.814307922011024E-7</v>
      </c>
      <c r="AC83" s="24">
        <f t="shared" si="57"/>
        <v>3.7195709803993995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402.90769230769229</v>
      </c>
      <c r="AG83" s="13">
        <f>VLOOKUP(A83,'Données projet'!$A$61:$I$81,9,0)</f>
        <v>7.5584615384615343</v>
      </c>
      <c r="AH83" s="13">
        <f t="array" ref="AH83">INDEX(AG:AG,MIN(IF(ISNUMBER(AG83:AG279),ROW(AG83:AG279),"")))</f>
        <v>7.5584615384615343</v>
      </c>
      <c r="AI83" s="14">
        <f>IF('Données projet'!$A$62&gt;35,AI82+AH83-AQ82,IF(A83&lt;'Données projet'!$A$62,$AF$205^A83,IF(A83='Données projet'!$A$62,'Données projet'!$B$62,AI82+AH83-AQ82)))</f>
        <v>402.907692307692</v>
      </c>
      <c r="AJ83" s="14">
        <f>AI83*VLOOKUP('Données projet'!$B$10,Paramètres!$A$1:$I$89,3,0)*VLOOKUP('Données projet'!$B$10,Paramètres!$A$1:$I$89,5,0)</f>
        <v>240.93879999999982</v>
      </c>
      <c r="AK83" s="14">
        <f t="shared" si="89"/>
        <v>58.64147195802866</v>
      </c>
      <c r="AL83" s="22">
        <f t="shared" si="58"/>
        <v>521.76897366023286</v>
      </c>
      <c r="AM83" s="62">
        <f t="shared" si="59"/>
        <v>815.10230699356612</v>
      </c>
      <c r="AN83" s="62">
        <f ca="1">AVERAGE(OFFSET($AM$3,0,0,'Données projet'!$E$10+1,1))-AVERAGE(OFFSET($H$3,0,0,'Données projet'!$E$10+1,1))</f>
        <v>289.12367833861299</v>
      </c>
      <c r="AO83" s="62">
        <f t="shared" si="90"/>
        <v>229.06617320689003</v>
      </c>
      <c r="AP83" s="16">
        <f>IF(ISNA(VLOOKUP(A83,'Données projet'!$A$61:$I$81,3,0)),0,VLOOKUP(A83,'Données projet'!$A$61:$I$81,3,0))</f>
        <v>8</v>
      </c>
      <c r="AQ83" s="16">
        <f>IF(ISNA(VLOOKUP(A83,'Données projet'!$A$61:$I$81,4,0)),0,VLOOKUP(A83,'Données projet'!$A$61:$I$81,4,0))</f>
        <v>402.90769230769229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1.2358531588391809E-7</v>
      </c>
      <c r="AX83" s="23">
        <f t="shared" si="60"/>
        <v>1.2358531588391809E-7</v>
      </c>
      <c r="AY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282</v>
      </c>
      <c r="BB83" s="13">
        <f>VLOOKUP(A83,'Données projet'!$A$87:$I$107,9,0)</f>
        <v>6</v>
      </c>
      <c r="BC83" s="13">
        <f t="array" ref="BC83">INDEX(BB:BB,MIN(IF(ISNUMBER(BB83:BB279),ROW(BB83:BB279),"")))</f>
        <v>6</v>
      </c>
      <c r="BD83" s="13">
        <f>IF('Données projet'!$A$88&gt;35,BD82+BC83-BL82,IF(A83&lt;'Données projet'!$A$88,$BA$205^A83,IF(A83='Données projet'!$A$88,'Données projet'!$B$88,BD82+BC83-BL82)))</f>
        <v>281.99999999999989</v>
      </c>
      <c r="BE83" s="14">
        <f>BD83*VLOOKUP('Données projet'!$B$11,Paramètres!$A$1:$I$89,3,0)*VLOOKUP('Données projet'!$B$11,Paramètres!$A$1:$I$89,5,0)</f>
        <v>255.15359999999987</v>
      </c>
      <c r="BF83" s="14">
        <f t="shared" si="91"/>
        <v>61.688192762754376</v>
      </c>
      <c r="BG83" s="22">
        <f t="shared" si="61"/>
        <v>551.83278906179692</v>
      </c>
      <c r="BH83" s="62">
        <f t="shared" si="62"/>
        <v>845.16612239513029</v>
      </c>
      <c r="BI83" s="62">
        <f ca="1">AVERAGE(OFFSET($BH$3,0,0,'Données projet'!$E$11+1,1))-AVERAGE(OFFSET($H$3,0,0,'Données projet'!$E$11+1,1))</f>
        <v>428.8489304403459</v>
      </c>
      <c r="BJ83" s="62">
        <f t="shared" si="92"/>
        <v>247.01165577562966</v>
      </c>
      <c r="BK83" s="16">
        <f>IF(ISNA(VLOOKUP(A83,'Données projet'!$A$87:$I$107,3,0)),0,VLOOKUP(A83,'Données projet'!$A$87:$I$107,3,0))</f>
        <v>6</v>
      </c>
      <c r="BL83" s="23">
        <f>IF(ISNA(VLOOKUP(A83,'Données projet'!$A$87:$I$107,4,0)),0,VLOOKUP(A83,'Données projet'!$A$87:$I$107,4,0))</f>
        <v>42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285</v>
      </c>
      <c r="BW83" s="13">
        <f>VLOOKUP(A83,'Données projet'!$A$113:$I$133,9,0)</f>
        <v>3</v>
      </c>
      <c r="BX83" s="13">
        <f t="array" ref="BX83">INDEX(BW:BW,MIN(IF(ISNUMBER(BW83:BW279),ROW(BW83:BW279),"")))</f>
        <v>3</v>
      </c>
      <c r="BY83" s="13">
        <f>IF('Données projet'!$A$114&gt;35,BY82+BX83-CG82,IF(A83&lt;'Données projet'!$A$114,$BV$205^A83,IF(A83='Données projet'!$A$114,'Données projet'!$B$114,BY82+BX83-CG82)))</f>
        <v>284.99999999999983</v>
      </c>
      <c r="BZ83" s="14">
        <f>BY83*VLOOKUP('Données projet'!$B$12,Paramètres!$A$1:$I$89,3,0)*VLOOKUP('Données projet'!$B$12,Paramètres!$A$1:$I$89,5,0)</f>
        <v>208.96199999999985</v>
      </c>
      <c r="CA83" s="14">
        <f t="shared" si="93"/>
        <v>51.708691209356381</v>
      </c>
      <c r="CB83" s="22">
        <f t="shared" si="64"/>
        <v>454.00145385629543</v>
      </c>
      <c r="CC83" s="62">
        <f t="shared" si="65"/>
        <v>747.33478718962874</v>
      </c>
      <c r="CD83" s="62">
        <f ca="1">AVERAGE(OFFSET($CC$3,0,0,'Données projet'!$E$12+1,1))-AVERAGE(OFFSET($H$3,0,0,'Données projet'!$E$12+1,1))</f>
        <v>290.85271051443431</v>
      </c>
      <c r="CE83" s="62">
        <f t="shared" si="94"/>
        <v>318.66958823451142</v>
      </c>
      <c r="CF83" s="16">
        <f>IF(ISNA(VLOOKUP(A83,'Données projet'!$A$113:$I$133,3,0)),0,VLOOKUP(A83,'Données projet'!$A$113:$I$133,3,0))</f>
        <v>7</v>
      </c>
      <c r="CG83" s="16">
        <f>IF(ISNA(VLOOKUP(A83,'Données projet'!$A$113:$I$133,4,0)),0,VLOOKUP(A83,'Données projet'!$A$113:$I$133,4,0))</f>
        <v>285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1.1368683772161603E-13</v>
      </c>
      <c r="CU83" s="18">
        <f>CT83*VLOOKUP('Données projet'!$B$13,Paramètres!$A$1:$I$89,3,0)*VLOOKUP('Données projet'!$B$13,Paramètres!$A$1:$I$89,5,0)</f>
        <v>8.8675733422860506E-14</v>
      </c>
      <c r="CV83" s="14">
        <f t="shared" si="95"/>
        <v>1.3509285393066301E-12</v>
      </c>
      <c r="CW83" s="22">
        <f t="shared" si="67"/>
        <v>2.5073107750038623E-12</v>
      </c>
      <c r="CX83" s="62">
        <f t="shared" si="68"/>
        <v>293.33333333333582</v>
      </c>
      <c r="CY83" s="62">
        <f ca="1">AVERAGE(OFFSET($CX$3,0,0,'Données projet'!$E$13+1,1))-AVERAGE(OFFSET($H$3,0,0,'Données projet'!$E$13+1,1))</f>
        <v>292.57482726862594</v>
      </c>
      <c r="CZ83" s="62">
        <f t="shared" si="96"/>
        <v>283.48738729114024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285</v>
      </c>
      <c r="DM83" s="13">
        <f>VLOOKUP(A83,'Données projet'!$A$165:$I$185,9,0)</f>
        <v>3</v>
      </c>
      <c r="DN83" s="13">
        <f t="array" ref="DN83">INDEX(DM:DM,MIN(IF(ISNUMBER(DM83:DM279),ROW(DM83:DM279),"")))</f>
        <v>3</v>
      </c>
      <c r="DO83" s="13">
        <f>IF('Données projet'!$A$166&gt;35,DO82+DN83-DW82,IF(A83&lt;'Données projet'!$A$166,$DL$205^A83,IF(A83='Données projet'!$A$166,'Données projet'!$B$166,DO82+DN83-DW82)))</f>
        <v>284.99999999999983</v>
      </c>
      <c r="DP83" s="18">
        <f>DO83*VLOOKUP('Données projet'!$B$14,Paramètres!$A$1:$I$89,3,0)*VLOOKUP('Données projet'!$B$14,Paramètres!$A$1:$I$89,5,0)</f>
        <v>226.74599999999987</v>
      </c>
      <c r="DQ83" s="14">
        <f t="shared" si="97"/>
        <v>55.578508240245917</v>
      </c>
      <c r="DR83" s="22">
        <f t="shared" si="70"/>
        <v>491.71518518509475</v>
      </c>
      <c r="DS83" s="62">
        <f t="shared" si="71"/>
        <v>785.04851851842807</v>
      </c>
      <c r="DT83" s="62">
        <f ca="1">AVERAGE(OFFSET($DS$3,0,0,'Données projet'!$E$14+1,1))-AVERAGE(OFFSET($H$3,0,0,'Données projet'!$E$14+1,1))</f>
        <v>312.53381881960331</v>
      </c>
      <c r="DU83" s="62">
        <f t="shared" si="98"/>
        <v>342.06887933351783</v>
      </c>
      <c r="DV83" s="16">
        <f>IF(ISNA(VLOOKUP(A83,'Données projet'!$A$165:$I$185,3,0)),0,VLOOKUP(A83,'Données projet'!$A$165:$I$185,3,0))</f>
        <v>7</v>
      </c>
      <c r="DW83" s="16">
        <f>IF(ISNA(VLOOKUP(A83,'Données projet'!$A$165:$I$185,4,0)),0,VLOOKUP(A83,'Données projet'!$A$165:$I$185,4,0))</f>
        <v>285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227.56410256410257</v>
      </c>
      <c r="EH83" s="13">
        <f>VLOOKUP(A83,'Données projet'!$A$191:$I$211,9,0)</f>
        <v>3.974358974358978</v>
      </c>
      <c r="EI83" s="13">
        <f t="array" ref="EI83">INDEX(EH:EH,MIN(IF(ISNUMBER(EH83:EH279),ROW(EH83:EH279),"")))</f>
        <v>3.974358974358978</v>
      </c>
      <c r="EJ83" s="13">
        <f>IF('Données projet'!$A$192&gt;35,EJ82+EI83-ER82,IF(A83&lt;'Données projet'!$A$192,$EG$205^A83,IF(A83='Données projet'!$A$192,'Données projet'!$B$192,EJ82+EI83-ER82)))</f>
        <v>227.56410256410251</v>
      </c>
      <c r="EK83" s="18">
        <f>EJ83*VLOOKUP('Données projet'!$B$15,Paramètres!$A$1:$I$89,3,0)*VLOOKUP('Données projet'!$B$15,Paramètres!$A$1:$I$89,5,0)</f>
        <v>216.54999999999998</v>
      </c>
      <c r="EL83" s="14">
        <f t="shared" si="99"/>
        <v>53.364356873390378</v>
      </c>
      <c r="EM83" s="22">
        <f t="shared" si="73"/>
        <v>470.1008382211549</v>
      </c>
      <c r="EN83" s="62">
        <f t="shared" si="74"/>
        <v>763.43417155448822</v>
      </c>
      <c r="EO83" s="62">
        <f ca="1">AVERAGE(OFFSET($EN$3,0,0,'Données projet'!$E$15+1,1))-AVERAGE(OFFSET($H$3,0,0,'Données projet'!$E$15+1,1))</f>
        <v>363.37916970915211</v>
      </c>
      <c r="EP83" s="62">
        <f t="shared" si="100"/>
        <v>281.52963027844595</v>
      </c>
      <c r="EQ83" s="16">
        <f>IF(ISNA(VLOOKUP(A83,'Données projet'!$A$191:$I$211,3,0)),0,VLOOKUP(A83,'Données projet'!$A$191:$I$211,3,0))</f>
        <v>7</v>
      </c>
      <c r="ER83" s="16">
        <f>IF(ISNA(VLOOKUP(A83,'Données projet'!$A$191:$I$211,4,0)),0,VLOOKUP(A83,'Données projet'!$A$191:$I$211,4,0))</f>
        <v>27.564102564102562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8.9320512820512761</v>
      </c>
      <c r="FE83" s="13">
        <f>IF('Données projet'!$A$218&gt;35,FE82+FD83-FM82,IF(A83&lt;'Données projet'!$A$218,$FB$205^A83,IF(A83='Données projet'!$A$218,'Données projet'!$B$218,FE82+FD83-FM82)))</f>
        <v>319.77564102564065</v>
      </c>
      <c r="FF83" s="18">
        <f>FE83*VLOOKUP('Données projet'!$B$16,Paramètres!$A$1:$I$89,3,0)*VLOOKUP('Données projet'!$B$16,Paramètres!$A$1:$I$89,5,0)</f>
        <v>149.65499999999983</v>
      </c>
      <c r="FG83" s="14">
        <f t="shared" si="101"/>
        <v>38.500172628917376</v>
      </c>
      <c r="FH83" s="22">
        <f t="shared" si="76"/>
        <v>327.70359232869743</v>
      </c>
      <c r="FI83" s="62">
        <f t="shared" si="77"/>
        <v>621.03692566203074</v>
      </c>
      <c r="FJ83" s="62">
        <f ca="1">AVERAGE(OFFSET($FI$3,0,0,'Données projet'!$E$16+1,1))-AVERAGE(OFFSET($H$3,0,0,'Données projet'!$E$16+1,1))</f>
        <v>245.47494516762282</v>
      </c>
      <c r="FK83" s="62">
        <f t="shared" si="102"/>
        <v>145.54897745089966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>
        <f>VLOOKUP(A83,'Données projet'!$A$243:$I$263,2,0)</f>
        <v>282</v>
      </c>
      <c r="FX83" s="13">
        <f>VLOOKUP(A83,'Données projet'!$A$243:$I$263,9,0)</f>
        <v>6</v>
      </c>
      <c r="FY83" s="13">
        <f t="array" ref="FY83">INDEX(FX:FX,MIN(IF(ISNUMBER(FX83:FX279),ROW(FX83:FX279),"")))</f>
        <v>6</v>
      </c>
      <c r="FZ83" s="13">
        <f>IF('Données projet'!$A$244&gt;35,FZ82+FY83-GH82,IF(A83&lt;'Données projet'!$A$244,$FW$205^A83,IF(A83='Données projet'!$A$244,'Données projet'!$B$244,FZ82+FY83-GH82)))</f>
        <v>281.99999999999989</v>
      </c>
      <c r="GA83" s="18">
        <f>FZ83*VLOOKUP('Données projet'!$B$17,Paramètres!$A$1:$I$89,3,0)*VLOOKUP('Données projet'!$B$17,Paramètres!$A$1:$I$89,5,0)</f>
        <v>272.7503999999999</v>
      </c>
      <c r="GB83" s="14">
        <f t="shared" si="103"/>
        <v>65.432628830820633</v>
      </c>
      <c r="GC83" s="22">
        <f t="shared" si="79"/>
        <v>589.00210854701243</v>
      </c>
      <c r="GD83" s="62">
        <f t="shared" si="80"/>
        <v>882.3354418803458</v>
      </c>
      <c r="GE83" s="62">
        <f ca="1">AVERAGE(OFFSET($GD$3,0,0,'Données projet'!$E$17+1,1))-AVERAGE(OFFSET($H$3,0,0,'Données projet'!$E$17+1,1))</f>
        <v>455.50822833641354</v>
      </c>
      <c r="GF83" s="62">
        <f t="shared" si="104"/>
        <v>261.14722581688039</v>
      </c>
      <c r="GG83" s="16">
        <f>IF(ISNA(VLOOKUP(A83,'Données projet'!$A$243:$I$263,3,0)),0,VLOOKUP(A83,'Données projet'!$A$243:$I$263,3,0))</f>
        <v>6</v>
      </c>
      <c r="GH83" s="16">
        <f>IF(ISNA(VLOOKUP(A83,'Données projet'!$A$243:$I$263,4,0)),0,VLOOKUP(A83,'Données projet'!$A$243:$I$263,4,0))</f>
        <v>42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>
        <f>VLOOKUP(A83,'Données projet'!$A$269:$I$289,2,0)</f>
        <v>282.05128205128204</v>
      </c>
      <c r="GS83" s="13">
        <f>VLOOKUP(A83,'Données projet'!$A$269:$I$289,9,0)</f>
        <v>4.2307692307692264</v>
      </c>
      <c r="GT83" s="13">
        <f t="array" ref="GT83">INDEX(GS:GS,MIN(IF(ISNUMBER(GS83:GS279),ROW(GS83:GS279),"")))</f>
        <v>4.2307692307692264</v>
      </c>
      <c r="GU83" s="13">
        <f>IF('Données projet'!$A$270&gt;35,GU82+GT83-HC82,IF(A83&lt;'Données projet'!$A$270,$GR$205^A83,IF(A83='Données projet'!$A$270,'Données projet'!$B$270,GU82+GT83-HC82)))</f>
        <v>282.0512820512821</v>
      </c>
      <c r="GV83" s="18">
        <f>GU83*VLOOKUP('Données projet'!$B$18,Paramètres!$A$1:$I$89,3,0)*VLOOKUP('Données projet'!$B$18,Paramètres!$A$1:$I$89,5,0)</f>
        <v>189.20000000000005</v>
      </c>
      <c r="GW83" s="14">
        <f t="shared" si="105"/>
        <v>47.363040799609742</v>
      </c>
      <c r="GX83" s="22">
        <f t="shared" si="82"/>
        <v>412.01396272598703</v>
      </c>
      <c r="GY83" s="62">
        <f t="shared" si="83"/>
        <v>705.34729605932034</v>
      </c>
      <c r="GZ83" s="62">
        <f ca="1">AVERAGE(OFFSET($GY$3,0,0,'Données projet'!$E$18+1,1))-AVERAGE(OFFSET($H$3,0,0,'Données projet'!$E$18+1,1))</f>
        <v>312.06797204903796</v>
      </c>
      <c r="HA83" s="62">
        <f t="shared" si="106"/>
        <v>258.20189001775151</v>
      </c>
      <c r="HB83" s="16">
        <f>IF(ISNA(VLOOKUP(A83,'Données projet'!$A$269:$I$289,3,0)),0,VLOOKUP(A83,'Données projet'!$A$269:$I$289,3,0))</f>
        <v>7</v>
      </c>
      <c r="HC83" s="16">
        <f>IF(ISNA(VLOOKUP(A83,'Données projet'!$A$269:$I$289,4,0)),0,VLOOKUP(A83,'Données projet'!$A$269:$I$289,4,0))</f>
        <v>26.282051282051281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projet'!$B$18,Paramètres!$A$1:$I$89,3,0)*0.475*44/12</f>
        <v>0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84"/>
        <v>0</v>
      </c>
    </row>
    <row r="84" spans="1:218" s="5" customFormat="1" x14ac:dyDescent="0.25">
      <c r="A84" s="11">
        <f t="shared" si="85"/>
        <v>81</v>
      </c>
      <c r="B84" s="76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9">
        <f t="shared" si="56"/>
        <v>256.66666666666669</v>
      </c>
      <c r="I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2.2737367544323206E-13</v>
      </c>
      <c r="O84" s="14">
        <f>N84*VLOOKUP('Données projet'!$B$9,Paramètres!$A$1:$I$89,3,0)*VLOOKUP('Données projet'!$B$9,Paramètres!$A$1:$I$89,5,0)</f>
        <v>1.2710188457276673E-13</v>
      </c>
      <c r="P84" s="14">
        <f t="shared" si="87"/>
        <v>1.856866851063998E-12</v>
      </c>
      <c r="Q84" s="22">
        <f t="shared" si="54"/>
        <v>3.4554122145673649E-12</v>
      </c>
      <c r="R84" s="62">
        <f t="shared" si="55"/>
        <v>293.33333333333678</v>
      </c>
      <c r="S84" s="62">
        <f ca="1">AVERAGE(OFFSET($R$3,0,0,'Données projet'!$E$9+1,1))-AVERAGE(OFFSET($H$3,0,0,'Données projet'!$E$9+1,1))</f>
        <v>323.98185264074681</v>
      </c>
      <c r="T84" s="62">
        <f t="shared" si="88"/>
        <v>301.22207291854005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1.625238502945952</v>
      </c>
      <c r="AA84" s="23">
        <f>EXP(-LN(2)/25)*AA83+(1-EXP(-LN(2)/25))/(LN(2)/25)*Calculateur!V84*Calculateur!X84*VLOOKUP('Données projet'!$B$9,Paramètres!$A$1:$I$89,3,0)*0.475*44/12</f>
        <v>2.0054441996724313</v>
      </c>
      <c r="AB84" s="23">
        <f>EXP(-LN(2)/2)*AB83+(1-EXP(-LN(2)/2))/(LN(2)/2)*V84*Y84*VLOOKUP('Données projet'!$B$9,Paramètres!$A$1:$I$89,3,0)*0.475*44/12</f>
        <v>1.2829094348144688E-7</v>
      </c>
      <c r="AC84" s="24">
        <f t="shared" si="57"/>
        <v>3.6306828309093269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-2.8421709430404007E-13</v>
      </c>
      <c r="AJ84" s="14">
        <f>AI84*VLOOKUP('Données projet'!$B$10,Paramètres!$A$1:$I$89,3,0)*VLOOKUP('Données projet'!$B$10,Paramètres!$A$1:$I$89,5,0)</f>
        <v>-1.69961822393816E-13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289.12367833861299</v>
      </c>
      <c r="AO84" s="62">
        <f t="shared" si="90"/>
        <v>229.06617320689003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8.7388014916600027E-8</v>
      </c>
      <c r="AX84" s="23">
        <f t="shared" si="60"/>
        <v>8.7388014916600027E-8</v>
      </c>
      <c r="AY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5.6</v>
      </c>
      <c r="BD84" s="13">
        <f>IF('Données projet'!$A$88&gt;35,BD83+BC84-BL83,IF(A84&lt;'Données projet'!$A$88,$BA$205^A84,IF(A84='Données projet'!$A$88,'Données projet'!$B$88,BD83+BC84-BL83)))</f>
        <v>245.59999999999991</v>
      </c>
      <c r="BE84" s="14">
        <f>BD84*VLOOKUP('Données projet'!$B$11,Paramètres!$A$1:$I$89,3,0)*VLOOKUP('Données projet'!$B$11,Paramètres!$A$1:$I$89,5,0)</f>
        <v>222.21887999999993</v>
      </c>
      <c r="BF84" s="14">
        <f t="shared" si="91"/>
        <v>54.596866296848852</v>
      </c>
      <c r="BG84" s="22">
        <f t="shared" si="61"/>
        <v>482.12075813367829</v>
      </c>
      <c r="BH84" s="62">
        <f t="shared" si="62"/>
        <v>775.45409146701161</v>
      </c>
      <c r="BI84" s="62">
        <f ca="1">AVERAGE(OFFSET($BH$3,0,0,'Données projet'!$E$11+1,1))-AVERAGE(OFFSET($H$3,0,0,'Données projet'!$E$11+1,1))</f>
        <v>428.8489304403459</v>
      </c>
      <c r="BJ84" s="62">
        <f t="shared" si="92"/>
        <v>247.01165577562966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-1.7053025658242404E-13</v>
      </c>
      <c r="BZ84" s="14">
        <f>BY84*VLOOKUP('Données projet'!$B$12,Paramètres!$A$1:$I$89,3,0)*VLOOKUP('Données projet'!$B$12,Paramètres!$A$1:$I$89,5,0)</f>
        <v>-1.250327841262333E-13</v>
      </c>
      <c r="CA84" s="14" t="e">
        <f t="shared" si="93"/>
        <v>#NUM!</v>
      </c>
      <c r="CB84" s="22" t="e">
        <f t="shared" si="64"/>
        <v>#NUM!</v>
      </c>
      <c r="CC84" s="62" t="e">
        <f t="shared" si="65"/>
        <v>#NUM!</v>
      </c>
      <c r="CD84" s="62">
        <f ca="1">AVERAGE(OFFSET($CC$3,0,0,'Données projet'!$E$12+1,1))-AVERAGE(OFFSET($H$3,0,0,'Données projet'!$E$12+1,1))</f>
        <v>290.85271051443431</v>
      </c>
      <c r="CE84" s="62">
        <f t="shared" si="94"/>
        <v>318.66958823451142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1.1368683772161603E-13</v>
      </c>
      <c r="CU84" s="18">
        <f>CT84*VLOOKUP('Données projet'!$B$13,Paramètres!$A$1:$I$89,3,0)*VLOOKUP('Données projet'!$B$13,Paramètres!$A$1:$I$89,5,0)</f>
        <v>8.8675733422860506E-14</v>
      </c>
      <c r="CV84" s="14">
        <f t="shared" si="95"/>
        <v>1.3509285393066301E-12</v>
      </c>
      <c r="CW84" s="22">
        <f t="shared" si="67"/>
        <v>2.5073107750038623E-12</v>
      </c>
      <c r="CX84" s="62">
        <f t="shared" si="68"/>
        <v>293.33333333333582</v>
      </c>
      <c r="CY84" s="62">
        <f ca="1">AVERAGE(OFFSET($CX$3,0,0,'Données projet'!$E$13+1,1))-AVERAGE(OFFSET($H$3,0,0,'Données projet'!$E$13+1,1))</f>
        <v>292.57482726862594</v>
      </c>
      <c r="CZ84" s="62">
        <f t="shared" si="96"/>
        <v>283.48738729114024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-1.7053025658242404E-13</v>
      </c>
      <c r="DP84" s="18">
        <f>DO84*VLOOKUP('Données projet'!$B$14,Paramètres!$A$1:$I$89,3,0)*VLOOKUP('Données projet'!$B$14,Paramètres!$A$1:$I$89,5,0)</f>
        <v>-1.3567387213697657E-13</v>
      </c>
      <c r="DQ84" s="14" t="e">
        <f t="shared" si="97"/>
        <v>#NUM!</v>
      </c>
      <c r="DR84" s="22" t="e">
        <f t="shared" si="70"/>
        <v>#NUM!</v>
      </c>
      <c r="DS84" s="62" t="e">
        <f t="shared" si="71"/>
        <v>#NUM!</v>
      </c>
      <c r="DT84" s="62">
        <f ca="1">AVERAGE(OFFSET($DS$3,0,0,'Données projet'!$E$14+1,1))-AVERAGE(OFFSET($H$3,0,0,'Données projet'!$E$14+1,1))</f>
        <v>312.53381881960331</v>
      </c>
      <c r="DU84" s="62">
        <f t="shared" si="98"/>
        <v>342.06887933351783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3.8461538461538454</v>
      </c>
      <c r="EJ84" s="13">
        <f>IF('Données projet'!$A$192&gt;35,EJ83+EI84-ER83,IF(A84&lt;'Données projet'!$A$192,$EG$205^A84,IF(A84='Données projet'!$A$192,'Données projet'!$B$192,EJ83+EI84-ER83)))</f>
        <v>203.84615384615378</v>
      </c>
      <c r="EK84" s="18">
        <f>EJ84*VLOOKUP('Données projet'!$B$15,Paramètres!$A$1:$I$89,3,0)*VLOOKUP('Données projet'!$B$15,Paramètres!$A$1:$I$89,5,0)</f>
        <v>193.97999999999996</v>
      </c>
      <c r="EL84" s="14">
        <f t="shared" si="99"/>
        <v>48.418809868414776</v>
      </c>
      <c r="EM84" s="22">
        <f t="shared" si="73"/>
        <v>422.17792718748893</v>
      </c>
      <c r="EN84" s="62">
        <f t="shared" si="74"/>
        <v>715.51126052082225</v>
      </c>
      <c r="EO84" s="62">
        <f ca="1">AVERAGE(OFFSET($EN$3,0,0,'Données projet'!$E$15+1,1))-AVERAGE(OFFSET($H$3,0,0,'Données projet'!$E$15+1,1))</f>
        <v>363.37916970915211</v>
      </c>
      <c r="EP84" s="62">
        <f t="shared" si="100"/>
        <v>281.52963027844595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>
        <f>VLOOKUP(A84,'Données projet'!$A$217:$I$237,2,0)</f>
        <v>328.7076923076923</v>
      </c>
      <c r="FC84" s="13">
        <f>VLOOKUP(A84,'Données projet'!$A$217:$I$237,9,0)</f>
        <v>8.9320512820512761</v>
      </c>
      <c r="FD84" s="13">
        <f t="array" ref="FD84">INDEX(FC:FC,MIN(IF(ISNUMBER(FC84:FC280),ROW(FC84:FC280),"")))</f>
        <v>8.9320512820512761</v>
      </c>
      <c r="FE84" s="13">
        <f>IF('Données projet'!$A$218&gt;35,FE83+FD84-FM83,IF(A84&lt;'Données projet'!$A$218,$FB$205^A84,IF(A84='Données projet'!$A$218,'Données projet'!$B$218,FE83+FD84-FM83)))</f>
        <v>328.7076923076919</v>
      </c>
      <c r="FF84" s="18">
        <f>FE84*VLOOKUP('Données projet'!$B$16,Paramètres!$A$1:$I$89,3,0)*VLOOKUP('Données projet'!$B$16,Paramètres!$A$1:$I$89,5,0)</f>
        <v>153.83519999999982</v>
      </c>
      <c r="FG84" s="14">
        <f t="shared" si="101"/>
        <v>39.44886382269889</v>
      </c>
      <c r="FH84" s="22">
        <f t="shared" si="76"/>
        <v>336.63641115786692</v>
      </c>
      <c r="FI84" s="62">
        <f t="shared" si="77"/>
        <v>629.96974449120023</v>
      </c>
      <c r="FJ84" s="62">
        <f ca="1">AVERAGE(OFFSET($FI$3,0,0,'Données projet'!$E$16+1,1))-AVERAGE(OFFSET($H$3,0,0,'Données projet'!$E$16+1,1))</f>
        <v>245.47494516762282</v>
      </c>
      <c r="FK84" s="62">
        <f t="shared" si="102"/>
        <v>145.54897745089966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5.6</v>
      </c>
      <c r="FZ84" s="13">
        <f>IF('Données projet'!$A$244&gt;35,FZ83+FY84-GH83,IF(A84&lt;'Données projet'!$A$244,$FW$205^A84,IF(A84='Données projet'!$A$244,'Données projet'!$B$244,FZ83+FY84-GH83)))</f>
        <v>245.59999999999991</v>
      </c>
      <c r="GA84" s="18">
        <f>FZ84*VLOOKUP('Données projet'!$B$17,Paramètres!$A$1:$I$89,3,0)*VLOOKUP('Données projet'!$B$17,Paramètres!$A$1:$I$89,5,0)</f>
        <v>237.54431999999991</v>
      </c>
      <c r="GB84" s="14">
        <f t="shared" si="103"/>
        <v>57.910863128487989</v>
      </c>
      <c r="GC84" s="22">
        <f t="shared" si="79"/>
        <v>514.58444394878302</v>
      </c>
      <c r="GD84" s="62">
        <f t="shared" si="80"/>
        <v>807.91777728211628</v>
      </c>
      <c r="GE84" s="62">
        <f ca="1">AVERAGE(OFFSET($GD$3,0,0,'Données projet'!$E$17+1,1))-AVERAGE(OFFSET($H$3,0,0,'Données projet'!$E$17+1,1))</f>
        <v>455.50822833641354</v>
      </c>
      <c r="GF84" s="62">
        <f t="shared" si="104"/>
        <v>261.14722581688039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4.1025641025640995</v>
      </c>
      <c r="GU84" s="13">
        <f>IF('Données projet'!$A$270&gt;35,GU83+GT84-HC83,IF(A84&lt;'Données projet'!$A$270,$GR$205^A84,IF(A84='Données projet'!$A$270,'Données projet'!$B$270,GU83+GT84-HC83)))</f>
        <v>259.87179487179492</v>
      </c>
      <c r="GV84" s="18">
        <f>GU84*VLOOKUP('Données projet'!$B$18,Paramètres!$A$1:$I$89,3,0)*VLOOKUP('Données projet'!$B$18,Paramètres!$A$1:$I$89,5,0)</f>
        <v>174.32200000000003</v>
      </c>
      <c r="GW84" s="14">
        <f t="shared" si="105"/>
        <v>44.056588905148665</v>
      </c>
      <c r="GX84" s="22">
        <f t="shared" si="82"/>
        <v>380.34270900980056</v>
      </c>
      <c r="GY84" s="62">
        <f t="shared" si="83"/>
        <v>673.67604234313387</v>
      </c>
      <c r="GZ84" s="62">
        <f ca="1">AVERAGE(OFFSET($GY$3,0,0,'Données projet'!$E$18+1,1))-AVERAGE(OFFSET($H$3,0,0,'Données projet'!$E$18+1,1))</f>
        <v>312.06797204903796</v>
      </c>
      <c r="HA84" s="62">
        <f t="shared" si="106"/>
        <v>258.20189001775151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projet'!$B$18,Paramètres!$A$1:$I$89,3,0)*0.475*44/12</f>
        <v>0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84"/>
        <v>0</v>
      </c>
    </row>
    <row r="85" spans="1:218" s="5" customFormat="1" x14ac:dyDescent="0.25">
      <c r="A85" s="11">
        <f t="shared" si="85"/>
        <v>82</v>
      </c>
      <c r="B85" s="76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9">
        <f t="shared" si="56"/>
        <v>256.66666666666669</v>
      </c>
      <c r="I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2.2737367544323206E-13</v>
      </c>
      <c r="O85" s="14">
        <f>N85*VLOOKUP('Données projet'!$B$9,Paramètres!$A$1:$I$89,3,0)*VLOOKUP('Données projet'!$B$9,Paramètres!$A$1:$I$89,5,0)</f>
        <v>1.2710188457276673E-13</v>
      </c>
      <c r="P85" s="14">
        <f t="shared" si="87"/>
        <v>1.856866851063998E-12</v>
      </c>
      <c r="Q85" s="22">
        <f t="shared" si="54"/>
        <v>3.4554122145673649E-12</v>
      </c>
      <c r="R85" s="62">
        <f t="shared" si="55"/>
        <v>293.33333333333678</v>
      </c>
      <c r="S85" s="62">
        <f ca="1">AVERAGE(OFFSET($R$3,0,0,'Données projet'!$E$9+1,1))-AVERAGE(OFFSET($H$3,0,0,'Données projet'!$E$9+1,1))</f>
        <v>323.98185264074681</v>
      </c>
      <c r="T85" s="62">
        <f t="shared" si="88"/>
        <v>301.22207291854005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1.5933685672007862</v>
      </c>
      <c r="AA85" s="23">
        <f>EXP(-LN(2)/25)*AA84+(1-EXP(-LN(2)/25))/(LN(2)/25)*Calculateur!V85*Calculateur!X85*VLOOKUP('Données projet'!$B$9,Paramètres!$A$1:$I$89,3,0)*0.475*44/12</f>
        <v>1.9506052225706616</v>
      </c>
      <c r="AB85" s="23">
        <f>EXP(-LN(2)/2)*AB84+(1-EXP(-LN(2)/2))/(LN(2)/2)*V85*Y85*VLOOKUP('Données projet'!$B$9,Paramètres!$A$1:$I$89,3,0)*0.475*44/12</f>
        <v>9.0715396100551198E-8</v>
      </c>
      <c r="AC85" s="24">
        <f t="shared" si="57"/>
        <v>3.5439738804868437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-2.8421709430404007E-13</v>
      </c>
      <c r="AJ85" s="14">
        <f>AI85*VLOOKUP('Données projet'!$B$10,Paramètres!$A$1:$I$89,3,0)*VLOOKUP('Données projet'!$B$10,Paramètres!$A$1:$I$89,5,0)</f>
        <v>-1.69961822393816E-13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289.12367833861299</v>
      </c>
      <c r="AO85" s="62">
        <f t="shared" si="90"/>
        <v>229.06617320689003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6.1792657941959046E-8</v>
      </c>
      <c r="AX85" s="23">
        <f t="shared" si="60"/>
        <v>6.1792657941959046E-8</v>
      </c>
      <c r="AY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5.6</v>
      </c>
      <c r="BD85" s="13">
        <f>IF('Données projet'!$A$88&gt;35,BD84+BC85-BL84,IF(A85&lt;'Données projet'!$A$88,$BA$205^A85,IF(A85='Données projet'!$A$88,'Données projet'!$B$88,BD84+BC85-BL84)))</f>
        <v>251.1999999999999</v>
      </c>
      <c r="BE85" s="14">
        <f>BD85*VLOOKUP('Données projet'!$B$11,Paramètres!$A$1:$I$89,3,0)*VLOOKUP('Données projet'!$B$11,Paramètres!$A$1:$I$89,5,0)</f>
        <v>227.28575999999993</v>
      </c>
      <c r="BF85" s="14">
        <f t="shared" si="91"/>
        <v>55.695394520076327</v>
      </c>
      <c r="BG85" s="22">
        <f t="shared" si="61"/>
        <v>492.85884412246605</v>
      </c>
      <c r="BH85" s="62">
        <f t="shared" si="62"/>
        <v>786.19217745579931</v>
      </c>
      <c r="BI85" s="62">
        <f ca="1">AVERAGE(OFFSET($BH$3,0,0,'Données projet'!$E$11+1,1))-AVERAGE(OFFSET($H$3,0,0,'Données projet'!$E$11+1,1))</f>
        <v>428.8489304403459</v>
      </c>
      <c r="BJ85" s="62">
        <f t="shared" si="92"/>
        <v>247.01165577562966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-1.7053025658242404E-13</v>
      </c>
      <c r="BZ85" s="14">
        <f>BY85*VLOOKUP('Données projet'!$B$12,Paramètres!$A$1:$I$89,3,0)*VLOOKUP('Données projet'!$B$12,Paramètres!$A$1:$I$89,5,0)</f>
        <v>-1.250327841262333E-13</v>
      </c>
      <c r="CA85" s="14" t="e">
        <f t="shared" si="93"/>
        <v>#NUM!</v>
      </c>
      <c r="CB85" s="22" t="e">
        <f t="shared" si="64"/>
        <v>#NUM!</v>
      </c>
      <c r="CC85" s="62" t="e">
        <f t="shared" si="65"/>
        <v>#NUM!</v>
      </c>
      <c r="CD85" s="62">
        <f ca="1">AVERAGE(OFFSET($CC$3,0,0,'Données projet'!$E$12+1,1))-AVERAGE(OFFSET($H$3,0,0,'Données projet'!$E$12+1,1))</f>
        <v>290.85271051443431</v>
      </c>
      <c r="CE85" s="62">
        <f t="shared" si="94"/>
        <v>318.66958823451142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1.1368683772161603E-13</v>
      </c>
      <c r="CU85" s="18">
        <f>CT85*VLOOKUP('Données projet'!$B$13,Paramètres!$A$1:$I$89,3,0)*VLOOKUP('Données projet'!$B$13,Paramètres!$A$1:$I$89,5,0)</f>
        <v>8.8675733422860506E-14</v>
      </c>
      <c r="CV85" s="14">
        <f t="shared" si="95"/>
        <v>1.3509285393066301E-12</v>
      </c>
      <c r="CW85" s="22">
        <f t="shared" si="67"/>
        <v>2.5073107750038623E-12</v>
      </c>
      <c r="CX85" s="62">
        <f t="shared" si="68"/>
        <v>293.33333333333582</v>
      </c>
      <c r="CY85" s="62">
        <f ca="1">AVERAGE(OFFSET($CX$3,0,0,'Données projet'!$E$13+1,1))-AVERAGE(OFFSET($H$3,0,0,'Données projet'!$E$13+1,1))</f>
        <v>292.57482726862594</v>
      </c>
      <c r="CZ85" s="62">
        <f t="shared" si="96"/>
        <v>283.48738729114024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-1.7053025658242404E-13</v>
      </c>
      <c r="DP85" s="18">
        <f>DO85*VLOOKUP('Données projet'!$B$14,Paramètres!$A$1:$I$89,3,0)*VLOOKUP('Données projet'!$B$14,Paramètres!$A$1:$I$89,5,0)</f>
        <v>-1.3567387213697657E-13</v>
      </c>
      <c r="DQ85" s="14" t="e">
        <f t="shared" si="97"/>
        <v>#NUM!</v>
      </c>
      <c r="DR85" s="22" t="e">
        <f t="shared" si="70"/>
        <v>#NUM!</v>
      </c>
      <c r="DS85" s="62" t="e">
        <f t="shared" si="71"/>
        <v>#NUM!</v>
      </c>
      <c r="DT85" s="62">
        <f ca="1">AVERAGE(OFFSET($DS$3,0,0,'Données projet'!$E$14+1,1))-AVERAGE(OFFSET($H$3,0,0,'Données projet'!$E$14+1,1))</f>
        <v>312.53381881960331</v>
      </c>
      <c r="DU85" s="62">
        <f t="shared" si="98"/>
        <v>342.06887933351783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3.8461538461538454</v>
      </c>
      <c r="EJ85" s="13">
        <f>IF('Données projet'!$A$192&gt;35,EJ84+EI85-ER84,IF(A85&lt;'Données projet'!$A$192,$EG$205^A85,IF(A85='Données projet'!$A$192,'Données projet'!$B$192,EJ84+EI85-ER84)))</f>
        <v>207.69230769230762</v>
      </c>
      <c r="EK85" s="18">
        <f>EJ85*VLOOKUP('Données projet'!$B$15,Paramètres!$A$1:$I$89,3,0)*VLOOKUP('Données projet'!$B$15,Paramètres!$A$1:$I$89,5,0)</f>
        <v>197.63999999999993</v>
      </c>
      <c r="EL85" s="14">
        <f t="shared" si="99"/>
        <v>49.22515338895078</v>
      </c>
      <c r="EM85" s="22">
        <f t="shared" si="73"/>
        <v>429.95680881908919</v>
      </c>
      <c r="EN85" s="62">
        <f t="shared" si="74"/>
        <v>723.2901421524225</v>
      </c>
      <c r="EO85" s="62">
        <f ca="1">AVERAGE(OFFSET($EN$3,0,0,'Données projet'!$E$15+1,1))-AVERAGE(OFFSET($H$3,0,0,'Données projet'!$E$15+1,1))</f>
        <v>363.37916970915211</v>
      </c>
      <c r="EP85" s="62">
        <f t="shared" si="100"/>
        <v>281.52963027844595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9.0717948717948698</v>
      </c>
      <c r="FE85" s="13">
        <f>IF('Données projet'!$A$218&gt;35,FE84+FD85-FM84,IF(A85&lt;'Données projet'!$A$218,$FB$205^A85,IF(A85='Données projet'!$A$218,'Données projet'!$B$218,FE84+FD85-FM84)))</f>
        <v>337.77948717948675</v>
      </c>
      <c r="FF85" s="18">
        <f>FE85*VLOOKUP('Données projet'!$B$16,Paramètres!$A$1:$I$89,3,0)*VLOOKUP('Données projet'!$B$16,Paramètres!$A$1:$I$89,5,0)</f>
        <v>158.08079999999978</v>
      </c>
      <c r="FG85" s="14">
        <f t="shared" si="101"/>
        <v>40.409330933945405</v>
      </c>
      <c r="FH85" s="22">
        <f t="shared" si="76"/>
        <v>345.70364470995446</v>
      </c>
      <c r="FI85" s="62">
        <f t="shared" si="77"/>
        <v>639.03697804328772</v>
      </c>
      <c r="FJ85" s="62">
        <f ca="1">AVERAGE(OFFSET($FI$3,0,0,'Données projet'!$E$16+1,1))-AVERAGE(OFFSET($H$3,0,0,'Données projet'!$E$16+1,1))</f>
        <v>245.47494516762282</v>
      </c>
      <c r="FK85" s="62">
        <f t="shared" si="102"/>
        <v>145.54897745089966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5.6</v>
      </c>
      <c r="FZ85" s="13">
        <f>IF('Données projet'!$A$244&gt;35,FZ84+FY85-GH84,IF(A85&lt;'Données projet'!$A$244,$FW$205^A85,IF(A85='Données projet'!$A$244,'Données projet'!$B$244,FZ84+FY85-GH84)))</f>
        <v>251.1999999999999</v>
      </c>
      <c r="GA85" s="18">
        <f>FZ85*VLOOKUP('Données projet'!$B$17,Paramètres!$A$1:$I$89,3,0)*VLOOKUP('Données projet'!$B$17,Paramètres!$A$1:$I$89,5,0)</f>
        <v>242.96063999999993</v>
      </c>
      <c r="GB85" s="14">
        <f t="shared" si="103"/>
        <v>59.076071351835715</v>
      </c>
      <c r="GC85" s="22">
        <f t="shared" si="79"/>
        <v>526.04727227111368</v>
      </c>
      <c r="GD85" s="62">
        <f t="shared" si="80"/>
        <v>819.38060560444706</v>
      </c>
      <c r="GE85" s="62">
        <f ca="1">AVERAGE(OFFSET($GD$3,0,0,'Données projet'!$E$17+1,1))-AVERAGE(OFFSET($H$3,0,0,'Données projet'!$E$17+1,1))</f>
        <v>455.50822833641354</v>
      </c>
      <c r="GF85" s="62">
        <f t="shared" si="104"/>
        <v>261.14722581688039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4.1025641025640995</v>
      </c>
      <c r="GU85" s="13">
        <f>IF('Données projet'!$A$270&gt;35,GU84+GT85-HC84,IF(A85&lt;'Données projet'!$A$270,$GR$205^A85,IF(A85='Données projet'!$A$270,'Données projet'!$B$270,GU84+GT85-HC84)))</f>
        <v>263.97435897435901</v>
      </c>
      <c r="GV85" s="18">
        <f>GU85*VLOOKUP('Données projet'!$B$18,Paramètres!$A$1:$I$89,3,0)*VLOOKUP('Données projet'!$B$18,Paramètres!$A$1:$I$89,5,0)</f>
        <v>177.07400000000001</v>
      </c>
      <c r="GW85" s="14">
        <f t="shared" si="105"/>
        <v>44.670585441115527</v>
      </c>
      <c r="GX85" s="22">
        <f t="shared" si="82"/>
        <v>386.2051529766095</v>
      </c>
      <c r="GY85" s="62">
        <f t="shared" si="83"/>
        <v>679.53848630994275</v>
      </c>
      <c r="GZ85" s="62">
        <f ca="1">AVERAGE(OFFSET($GY$3,0,0,'Données projet'!$E$18+1,1))-AVERAGE(OFFSET($H$3,0,0,'Données projet'!$E$18+1,1))</f>
        <v>312.06797204903796</v>
      </c>
      <c r="HA85" s="62">
        <f t="shared" si="106"/>
        <v>258.20189001775151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projet'!$B$18,Paramètres!$A$1:$I$89,3,0)*0.475*44/12</f>
        <v>0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84"/>
        <v>0</v>
      </c>
    </row>
    <row r="86" spans="1:218" s="5" customFormat="1" x14ac:dyDescent="0.25">
      <c r="A86" s="11">
        <f t="shared" si="85"/>
        <v>83</v>
      </c>
      <c r="B86" s="76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9">
        <f t="shared" si="56"/>
        <v>256.66666666666669</v>
      </c>
      <c r="I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2.2737367544323206E-13</v>
      </c>
      <c r="O86" s="14">
        <f>N86*VLOOKUP('Données projet'!$B$9,Paramètres!$A$1:$I$89,3,0)*VLOOKUP('Données projet'!$B$9,Paramètres!$A$1:$I$89,5,0)</f>
        <v>1.2710188457276673E-13</v>
      </c>
      <c r="P86" s="14">
        <f t="shared" si="87"/>
        <v>1.856866851063998E-12</v>
      </c>
      <c r="Q86" s="22">
        <f t="shared" si="54"/>
        <v>3.4554122145673649E-12</v>
      </c>
      <c r="R86" s="62">
        <f t="shared" si="55"/>
        <v>293.33333333333678</v>
      </c>
      <c r="S86" s="62">
        <f ca="1">AVERAGE(OFFSET($R$3,0,0,'Données projet'!$E$9+1,1))-AVERAGE(OFFSET($H$3,0,0,'Données projet'!$E$9+1,1))</f>
        <v>323.98185264074681</v>
      </c>
      <c r="T86" s="62">
        <f t="shared" si="88"/>
        <v>301.22207291854005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1.5621235814568417</v>
      </c>
      <c r="AA86" s="23">
        <f>EXP(-LN(2)/25)*AA85+(1-EXP(-LN(2)/25))/(LN(2)/25)*Calculateur!V86*Calculateur!X86*VLOOKUP('Données projet'!$B$9,Paramètres!$A$1:$I$89,3,0)*0.475*44/12</f>
        <v>1.8972658201815964</v>
      </c>
      <c r="AB86" s="23">
        <f>EXP(-LN(2)/2)*AB85+(1-EXP(-LN(2)/2))/(LN(2)/2)*V86*Y86*VLOOKUP('Données projet'!$B$9,Paramètres!$A$1:$I$89,3,0)*0.475*44/12</f>
        <v>6.4145471740723441E-8</v>
      </c>
      <c r="AC86" s="24">
        <f t="shared" si="57"/>
        <v>3.4593894657839095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-2.8421709430404007E-13</v>
      </c>
      <c r="AJ86" s="14">
        <f>AI86*VLOOKUP('Données projet'!$B$10,Paramètres!$A$1:$I$89,3,0)*VLOOKUP('Données projet'!$B$10,Paramètres!$A$1:$I$89,5,0)</f>
        <v>-1.69961822393816E-13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289.12367833861299</v>
      </c>
      <c r="AO86" s="62">
        <f t="shared" si="90"/>
        <v>229.06617320689003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4.3694007458300014E-8</v>
      </c>
      <c r="AX86" s="23">
        <f t="shared" si="60"/>
        <v>4.3694007458300014E-8</v>
      </c>
      <c r="AY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5.6</v>
      </c>
      <c r="BD86" s="13">
        <f>IF('Données projet'!$A$88&gt;35,BD85+BC86-BL85,IF(A86&lt;'Données projet'!$A$88,$BA$205^A86,IF(A86='Données projet'!$A$88,'Données projet'!$B$88,BD85+BC86-BL85)))</f>
        <v>256.7999999999999</v>
      </c>
      <c r="BE86" s="14">
        <f>BD86*VLOOKUP('Données projet'!$B$11,Paramètres!$A$1:$I$89,3,0)*VLOOKUP('Données projet'!$B$11,Paramètres!$A$1:$I$89,5,0)</f>
        <v>232.35263999999989</v>
      </c>
      <c r="BF86" s="14">
        <f t="shared" si="91"/>
        <v>56.791075613550255</v>
      </c>
      <c r="BG86" s="22">
        <f t="shared" si="61"/>
        <v>503.59197136026643</v>
      </c>
      <c r="BH86" s="62">
        <f t="shared" si="62"/>
        <v>796.92530469359974</v>
      </c>
      <c r="BI86" s="62">
        <f ca="1">AVERAGE(OFFSET($BH$3,0,0,'Données projet'!$E$11+1,1))-AVERAGE(OFFSET($H$3,0,0,'Données projet'!$E$11+1,1))</f>
        <v>428.8489304403459</v>
      </c>
      <c r="BJ86" s="62">
        <f t="shared" si="92"/>
        <v>247.01165577562966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-1.7053025658242404E-13</v>
      </c>
      <c r="BZ86" s="14">
        <f>BY86*VLOOKUP('Données projet'!$B$12,Paramètres!$A$1:$I$89,3,0)*VLOOKUP('Données projet'!$B$12,Paramètres!$A$1:$I$89,5,0)</f>
        <v>-1.250327841262333E-13</v>
      </c>
      <c r="CA86" s="14" t="e">
        <f t="shared" si="93"/>
        <v>#NUM!</v>
      </c>
      <c r="CB86" s="22" t="e">
        <f t="shared" si="64"/>
        <v>#NUM!</v>
      </c>
      <c r="CC86" s="62" t="e">
        <f t="shared" si="65"/>
        <v>#NUM!</v>
      </c>
      <c r="CD86" s="62">
        <f ca="1">AVERAGE(OFFSET($CC$3,0,0,'Données projet'!$E$12+1,1))-AVERAGE(OFFSET($H$3,0,0,'Données projet'!$E$12+1,1))</f>
        <v>290.85271051443431</v>
      </c>
      <c r="CE86" s="62">
        <f t="shared" si="94"/>
        <v>318.66958823451142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1.1368683772161603E-13</v>
      </c>
      <c r="CU86" s="18">
        <f>CT86*VLOOKUP('Données projet'!$B$13,Paramètres!$A$1:$I$89,3,0)*VLOOKUP('Données projet'!$B$13,Paramètres!$A$1:$I$89,5,0)</f>
        <v>8.8675733422860506E-14</v>
      </c>
      <c r="CV86" s="14">
        <f t="shared" si="95"/>
        <v>1.3509285393066301E-12</v>
      </c>
      <c r="CW86" s="22">
        <f t="shared" si="67"/>
        <v>2.5073107750038623E-12</v>
      </c>
      <c r="CX86" s="62">
        <f t="shared" si="68"/>
        <v>293.33333333333582</v>
      </c>
      <c r="CY86" s="62">
        <f ca="1">AVERAGE(OFFSET($CX$3,0,0,'Données projet'!$E$13+1,1))-AVERAGE(OFFSET($H$3,0,0,'Données projet'!$E$13+1,1))</f>
        <v>292.57482726862594</v>
      </c>
      <c r="CZ86" s="62">
        <f t="shared" si="96"/>
        <v>283.48738729114024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-1.7053025658242404E-13</v>
      </c>
      <c r="DP86" s="18">
        <f>DO86*VLOOKUP('Données projet'!$B$14,Paramètres!$A$1:$I$89,3,0)*VLOOKUP('Données projet'!$B$14,Paramètres!$A$1:$I$89,5,0)</f>
        <v>-1.3567387213697657E-13</v>
      </c>
      <c r="DQ86" s="14" t="e">
        <f t="shared" si="97"/>
        <v>#NUM!</v>
      </c>
      <c r="DR86" s="22" t="e">
        <f t="shared" si="70"/>
        <v>#NUM!</v>
      </c>
      <c r="DS86" s="62" t="e">
        <f t="shared" si="71"/>
        <v>#NUM!</v>
      </c>
      <c r="DT86" s="62">
        <f ca="1">AVERAGE(OFFSET($DS$3,0,0,'Données projet'!$E$14+1,1))-AVERAGE(OFFSET($H$3,0,0,'Données projet'!$E$14+1,1))</f>
        <v>312.53381881960331</v>
      </c>
      <c r="DU86" s="62">
        <f t="shared" si="98"/>
        <v>342.06887933351783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3.8461538461538454</v>
      </c>
      <c r="EJ86" s="13">
        <f>IF('Données projet'!$A$192&gt;35,EJ85+EI86-ER85,IF(A86&lt;'Données projet'!$A$192,$EG$205^A86,IF(A86='Données projet'!$A$192,'Données projet'!$B$192,EJ85+EI86-ER85)))</f>
        <v>211.53846153846146</v>
      </c>
      <c r="EK86" s="18">
        <f>EJ86*VLOOKUP('Données projet'!$B$15,Paramètres!$A$1:$I$89,3,0)*VLOOKUP('Données projet'!$B$15,Paramètres!$A$1:$I$89,5,0)</f>
        <v>201.29999999999993</v>
      </c>
      <c r="EL86" s="14">
        <f t="shared" si="99"/>
        <v>50.029760558277118</v>
      </c>
      <c r="EM86" s="22">
        <f t="shared" si="73"/>
        <v>437.73266630566582</v>
      </c>
      <c r="EN86" s="62">
        <f t="shared" si="74"/>
        <v>731.06599963899907</v>
      </c>
      <c r="EO86" s="62">
        <f ca="1">AVERAGE(OFFSET($EN$3,0,0,'Données projet'!$E$15+1,1))-AVERAGE(OFFSET($H$3,0,0,'Données projet'!$E$15+1,1))</f>
        <v>363.37916970915211</v>
      </c>
      <c r="EP86" s="62">
        <f t="shared" si="100"/>
        <v>281.52963027844595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9.0717948717948698</v>
      </c>
      <c r="FE86" s="13">
        <f>IF('Données projet'!$A$218&gt;35,FE85+FD86-FM85,IF(A86&lt;'Données projet'!$A$218,$FB$205^A86,IF(A86='Données projet'!$A$218,'Données projet'!$B$218,FE85+FD86-FM85)))</f>
        <v>346.8512820512816</v>
      </c>
      <c r="FF86" s="18">
        <f>FE86*VLOOKUP('Données projet'!$B$16,Paramètres!$A$1:$I$89,3,0)*VLOOKUP('Données projet'!$B$16,Paramètres!$A$1:$I$89,5,0)</f>
        <v>162.32639999999978</v>
      </c>
      <c r="FG86" s="14">
        <f t="shared" si="101"/>
        <v>41.366799766899412</v>
      </c>
      <c r="FH86" s="22">
        <f t="shared" si="76"/>
        <v>354.76565626068276</v>
      </c>
      <c r="FI86" s="62">
        <f t="shared" si="77"/>
        <v>648.09898959401607</v>
      </c>
      <c r="FJ86" s="62">
        <f ca="1">AVERAGE(OFFSET($FI$3,0,0,'Données projet'!$E$16+1,1))-AVERAGE(OFFSET($H$3,0,0,'Données projet'!$E$16+1,1))</f>
        <v>245.47494516762282</v>
      </c>
      <c r="FK86" s="62">
        <f t="shared" si="102"/>
        <v>145.54897745089966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5.6</v>
      </c>
      <c r="FZ86" s="13">
        <f>IF('Données projet'!$A$244&gt;35,FZ85+FY86-GH85,IF(A86&lt;'Données projet'!$A$244,$FW$205^A86,IF(A86='Données projet'!$A$244,'Données projet'!$B$244,FZ85+FY86-GH85)))</f>
        <v>256.7999999999999</v>
      </c>
      <c r="GA86" s="18">
        <f>FZ86*VLOOKUP('Données projet'!$B$17,Paramètres!$A$1:$I$89,3,0)*VLOOKUP('Données projet'!$B$17,Paramètres!$A$1:$I$89,5,0)</f>
        <v>248.37695999999988</v>
      </c>
      <c r="GB86" s="14">
        <f t="shared" si="103"/>
        <v>60.238259626372319</v>
      </c>
      <c r="GC86" s="22">
        <f t="shared" si="79"/>
        <v>537.50484084926495</v>
      </c>
      <c r="GD86" s="62">
        <f t="shared" si="80"/>
        <v>830.83817418259832</v>
      </c>
      <c r="GE86" s="62">
        <f ca="1">AVERAGE(OFFSET($GD$3,0,0,'Données projet'!$E$17+1,1))-AVERAGE(OFFSET($H$3,0,0,'Données projet'!$E$17+1,1))</f>
        <v>455.50822833641354</v>
      </c>
      <c r="GF86" s="62">
        <f t="shared" si="104"/>
        <v>261.14722581688039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4.1025641025640995</v>
      </c>
      <c r="GU86" s="13">
        <f>IF('Données projet'!$A$270&gt;35,GU85+GT86-HC85,IF(A86&lt;'Données projet'!$A$270,$GR$205^A86,IF(A86='Données projet'!$A$270,'Données projet'!$B$270,GU85+GT86-HC85)))</f>
        <v>268.07692307692309</v>
      </c>
      <c r="GV86" s="18">
        <f>GU86*VLOOKUP('Données projet'!$B$18,Paramètres!$A$1:$I$89,3,0)*VLOOKUP('Données projet'!$B$18,Paramètres!$A$1:$I$89,5,0)</f>
        <v>179.82600000000002</v>
      </c>
      <c r="GW86" s="14">
        <f t="shared" si="105"/>
        <v>45.283472193614408</v>
      </c>
      <c r="GX86" s="22">
        <f t="shared" si="82"/>
        <v>392.06566407054515</v>
      </c>
      <c r="GY86" s="62">
        <f t="shared" si="83"/>
        <v>685.39899740387841</v>
      </c>
      <c r="GZ86" s="62">
        <f ca="1">AVERAGE(OFFSET($GY$3,0,0,'Données projet'!$E$18+1,1))-AVERAGE(OFFSET($H$3,0,0,'Données projet'!$E$18+1,1))</f>
        <v>312.06797204903796</v>
      </c>
      <c r="HA86" s="62">
        <f t="shared" si="106"/>
        <v>258.20189001775151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projet'!$B$18,Paramètres!$A$1:$I$89,3,0)*0.475*44/12</f>
        <v>0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84"/>
        <v>0</v>
      </c>
    </row>
    <row r="87" spans="1:218" s="5" customFormat="1" x14ac:dyDescent="0.25">
      <c r="A87" s="11">
        <f t="shared" si="85"/>
        <v>84</v>
      </c>
      <c r="B87" s="76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9">
        <f t="shared" si="56"/>
        <v>256.66666666666669</v>
      </c>
      <c r="I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2.2737367544323206E-13</v>
      </c>
      <c r="O87" s="14">
        <f>N87*VLOOKUP('Données projet'!$B$9,Paramètres!$A$1:$I$89,3,0)*VLOOKUP('Données projet'!$B$9,Paramètres!$A$1:$I$89,5,0)</f>
        <v>1.2710188457276673E-13</v>
      </c>
      <c r="P87" s="14">
        <f t="shared" si="87"/>
        <v>1.856866851063998E-12</v>
      </c>
      <c r="Q87" s="22">
        <f t="shared" si="54"/>
        <v>3.4554122145673649E-12</v>
      </c>
      <c r="R87" s="62">
        <f t="shared" si="55"/>
        <v>293.33333333333678</v>
      </c>
      <c r="S87" s="62">
        <f ca="1">AVERAGE(OFFSET($R$3,0,0,'Données projet'!$E$9+1,1))-AVERAGE(OFFSET($H$3,0,0,'Données projet'!$E$9+1,1))</f>
        <v>323.98185264074681</v>
      </c>
      <c r="T87" s="62">
        <f t="shared" si="88"/>
        <v>301.22207291854005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1.5314912908257765</v>
      </c>
      <c r="AA87" s="23">
        <f>EXP(-LN(2)/25)*AA86+(1-EXP(-LN(2)/25))/(LN(2)/25)*Calculateur!V87*Calculateur!X87*VLOOKUP('Données projet'!$B$9,Paramètres!$A$1:$I$89,3,0)*0.475*44/12</f>
        <v>1.8453849865558574</v>
      </c>
      <c r="AB87" s="23">
        <f>EXP(-LN(2)/2)*AB86+(1-EXP(-LN(2)/2))/(LN(2)/2)*V87*Y87*VLOOKUP('Données projet'!$B$9,Paramètres!$A$1:$I$89,3,0)*0.475*44/12</f>
        <v>4.5357698050275599E-8</v>
      </c>
      <c r="AC87" s="24">
        <f t="shared" si="57"/>
        <v>3.3768763227393319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-2.8421709430404007E-13</v>
      </c>
      <c r="AJ87" s="14">
        <f>AI87*VLOOKUP('Données projet'!$B$10,Paramètres!$A$1:$I$89,3,0)*VLOOKUP('Données projet'!$B$10,Paramètres!$A$1:$I$89,5,0)</f>
        <v>-1.69961822393816E-13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289.12367833861299</v>
      </c>
      <c r="AO87" s="62">
        <f t="shared" si="90"/>
        <v>229.06617320689003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3.0896328970979523E-8</v>
      </c>
      <c r="AX87" s="23">
        <f t="shared" si="60"/>
        <v>3.0896328970979523E-8</v>
      </c>
      <c r="AY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5.6</v>
      </c>
      <c r="BD87" s="13">
        <f>IF('Données projet'!$A$88&gt;35,BD86+BC87-BL86,IF(A87&lt;'Données projet'!$A$88,$BA$205^A87,IF(A87='Données projet'!$A$88,'Données projet'!$B$88,BD86+BC87-BL86)))</f>
        <v>262.39999999999992</v>
      </c>
      <c r="BE87" s="14">
        <f>BD87*VLOOKUP('Données projet'!$B$11,Paramètres!$A$1:$I$89,3,0)*VLOOKUP('Données projet'!$B$11,Paramètres!$A$1:$I$89,5,0)</f>
        <v>237.41951999999992</v>
      </c>
      <c r="BF87" s="14">
        <f t="shared" si="91"/>
        <v>57.883978814320919</v>
      </c>
      <c r="BG87" s="22">
        <f t="shared" si="61"/>
        <v>514.32026043494204</v>
      </c>
      <c r="BH87" s="62">
        <f t="shared" si="62"/>
        <v>807.65359376827541</v>
      </c>
      <c r="BI87" s="62">
        <f ca="1">AVERAGE(OFFSET($BH$3,0,0,'Données projet'!$E$11+1,1))-AVERAGE(OFFSET($H$3,0,0,'Données projet'!$E$11+1,1))</f>
        <v>428.8489304403459</v>
      </c>
      <c r="BJ87" s="62">
        <f t="shared" si="92"/>
        <v>247.01165577562966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-1.7053025658242404E-13</v>
      </c>
      <c r="BZ87" s="14">
        <f>BY87*VLOOKUP('Données projet'!$B$12,Paramètres!$A$1:$I$89,3,0)*VLOOKUP('Données projet'!$B$12,Paramètres!$A$1:$I$89,5,0)</f>
        <v>-1.250327841262333E-13</v>
      </c>
      <c r="CA87" s="14" t="e">
        <f t="shared" si="93"/>
        <v>#NUM!</v>
      </c>
      <c r="CB87" s="22" t="e">
        <f t="shared" si="64"/>
        <v>#NUM!</v>
      </c>
      <c r="CC87" s="62" t="e">
        <f t="shared" si="65"/>
        <v>#NUM!</v>
      </c>
      <c r="CD87" s="62">
        <f ca="1">AVERAGE(OFFSET($CC$3,0,0,'Données projet'!$E$12+1,1))-AVERAGE(OFFSET($H$3,0,0,'Données projet'!$E$12+1,1))</f>
        <v>290.85271051443431</v>
      </c>
      <c r="CE87" s="62">
        <f t="shared" si="94"/>
        <v>318.66958823451142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1.1368683772161603E-13</v>
      </c>
      <c r="CU87" s="18">
        <f>CT87*VLOOKUP('Données projet'!$B$13,Paramètres!$A$1:$I$89,3,0)*VLOOKUP('Données projet'!$B$13,Paramètres!$A$1:$I$89,5,0)</f>
        <v>8.8675733422860506E-14</v>
      </c>
      <c r="CV87" s="14">
        <f t="shared" si="95"/>
        <v>1.3509285393066301E-12</v>
      </c>
      <c r="CW87" s="22">
        <f t="shared" si="67"/>
        <v>2.5073107750038623E-12</v>
      </c>
      <c r="CX87" s="62">
        <f t="shared" si="68"/>
        <v>293.33333333333582</v>
      </c>
      <c r="CY87" s="62">
        <f ca="1">AVERAGE(OFFSET($CX$3,0,0,'Données projet'!$E$13+1,1))-AVERAGE(OFFSET($H$3,0,0,'Données projet'!$E$13+1,1))</f>
        <v>292.57482726862594</v>
      </c>
      <c r="CZ87" s="62">
        <f t="shared" si="96"/>
        <v>283.48738729114024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-1.7053025658242404E-13</v>
      </c>
      <c r="DP87" s="18">
        <f>DO87*VLOOKUP('Données projet'!$B$14,Paramètres!$A$1:$I$89,3,0)*VLOOKUP('Données projet'!$B$14,Paramètres!$A$1:$I$89,5,0)</f>
        <v>-1.3567387213697657E-13</v>
      </c>
      <c r="DQ87" s="14" t="e">
        <f t="shared" si="97"/>
        <v>#NUM!</v>
      </c>
      <c r="DR87" s="22" t="e">
        <f t="shared" si="70"/>
        <v>#NUM!</v>
      </c>
      <c r="DS87" s="62" t="e">
        <f t="shared" si="71"/>
        <v>#NUM!</v>
      </c>
      <c r="DT87" s="62">
        <f ca="1">AVERAGE(OFFSET($DS$3,0,0,'Données projet'!$E$14+1,1))-AVERAGE(OFFSET($H$3,0,0,'Données projet'!$E$14+1,1))</f>
        <v>312.53381881960331</v>
      </c>
      <c r="DU87" s="62">
        <f t="shared" si="98"/>
        <v>342.06887933351783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3.8461538461538454</v>
      </c>
      <c r="EJ87" s="13">
        <f>IF('Données projet'!$A$192&gt;35,EJ86+EI87-ER86,IF(A87&lt;'Données projet'!$A$192,$EG$205^A87,IF(A87='Données projet'!$A$192,'Données projet'!$B$192,EJ86+EI87-ER86)))</f>
        <v>215.3846153846153</v>
      </c>
      <c r="EK87" s="18">
        <f>EJ87*VLOOKUP('Données projet'!$B$15,Paramètres!$A$1:$I$89,3,0)*VLOOKUP('Données projet'!$B$15,Paramètres!$A$1:$I$89,5,0)</f>
        <v>204.95999999999992</v>
      </c>
      <c r="EL87" s="14">
        <f t="shared" si="99"/>
        <v>50.832666587809335</v>
      </c>
      <c r="EM87" s="22">
        <f t="shared" si="73"/>
        <v>445.50556097376779</v>
      </c>
      <c r="EN87" s="62">
        <f t="shared" si="74"/>
        <v>738.8388943071011</v>
      </c>
      <c r="EO87" s="62">
        <f ca="1">AVERAGE(OFFSET($EN$3,0,0,'Données projet'!$E$15+1,1))-AVERAGE(OFFSET($H$3,0,0,'Données projet'!$E$15+1,1))</f>
        <v>363.37916970915211</v>
      </c>
      <c r="EP87" s="62">
        <f t="shared" si="100"/>
        <v>281.52963027844595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9.0717948717948698</v>
      </c>
      <c r="FE87" s="13">
        <f>IF('Données projet'!$A$218&gt;35,FE86+FD87-FM86,IF(A87&lt;'Données projet'!$A$218,$FB$205^A87,IF(A87='Données projet'!$A$218,'Données projet'!$B$218,FE86+FD87-FM86)))</f>
        <v>355.92307692307645</v>
      </c>
      <c r="FF87" s="18">
        <f>FE87*VLOOKUP('Données projet'!$B$16,Paramètres!$A$1:$I$89,3,0)*VLOOKUP('Données projet'!$B$16,Paramètres!$A$1:$I$89,5,0)</f>
        <v>166.57199999999978</v>
      </c>
      <c r="FG87" s="14">
        <f t="shared" si="101"/>
        <v>42.321357755693079</v>
      </c>
      <c r="FH87" s="22">
        <f t="shared" si="76"/>
        <v>363.82259809116505</v>
      </c>
      <c r="FI87" s="62">
        <f t="shared" si="77"/>
        <v>657.15593142449836</v>
      </c>
      <c r="FJ87" s="62">
        <f ca="1">AVERAGE(OFFSET($FI$3,0,0,'Données projet'!$E$16+1,1))-AVERAGE(OFFSET($H$3,0,0,'Données projet'!$E$16+1,1))</f>
        <v>245.47494516762282</v>
      </c>
      <c r="FK87" s="62">
        <f t="shared" si="102"/>
        <v>145.54897745089966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5.6</v>
      </c>
      <c r="FZ87" s="13">
        <f>IF('Données projet'!$A$244&gt;35,FZ86+FY87-GH86,IF(A87&lt;'Données projet'!$A$244,$FW$205^A87,IF(A87='Données projet'!$A$244,'Données projet'!$B$244,FZ86+FY87-GH86)))</f>
        <v>262.39999999999992</v>
      </c>
      <c r="GA87" s="18">
        <f>FZ87*VLOOKUP('Données projet'!$B$17,Paramètres!$A$1:$I$89,3,0)*VLOOKUP('Données projet'!$B$17,Paramètres!$A$1:$I$89,5,0)</f>
        <v>253.79327999999995</v>
      </c>
      <c r="GB87" s="14">
        <f t="shared" si="103"/>
        <v>61.39750139179521</v>
      </c>
      <c r="GC87" s="22">
        <f t="shared" si="79"/>
        <v>548.95727759070985</v>
      </c>
      <c r="GD87" s="62">
        <f t="shared" si="80"/>
        <v>842.29061092404322</v>
      </c>
      <c r="GE87" s="62">
        <f ca="1">AVERAGE(OFFSET($GD$3,0,0,'Données projet'!$E$17+1,1))-AVERAGE(OFFSET($H$3,0,0,'Données projet'!$E$17+1,1))</f>
        <v>455.50822833641354</v>
      </c>
      <c r="GF87" s="62">
        <f t="shared" si="104"/>
        <v>261.14722581688039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4.1025641025640995</v>
      </c>
      <c r="GU87" s="13">
        <f>IF('Données projet'!$A$270&gt;35,GU86+GT87-HC86,IF(A87&lt;'Données projet'!$A$270,$GR$205^A87,IF(A87='Données projet'!$A$270,'Données projet'!$B$270,GU86+GT87-HC86)))</f>
        <v>272.17948717948718</v>
      </c>
      <c r="GV87" s="18">
        <f>GU87*VLOOKUP('Données projet'!$B$18,Paramètres!$A$1:$I$89,3,0)*VLOOKUP('Données projet'!$B$18,Paramètres!$A$1:$I$89,5,0)</f>
        <v>182.578</v>
      </c>
      <c r="GW87" s="14">
        <f t="shared" si="105"/>
        <v>45.895268107941853</v>
      </c>
      <c r="GX87" s="22">
        <f t="shared" si="82"/>
        <v>397.9242752879988</v>
      </c>
      <c r="GY87" s="62">
        <f t="shared" si="83"/>
        <v>691.25760862133211</v>
      </c>
      <c r="GZ87" s="62">
        <f ca="1">AVERAGE(OFFSET($GY$3,0,0,'Données projet'!$E$18+1,1))-AVERAGE(OFFSET($H$3,0,0,'Données projet'!$E$18+1,1))</f>
        <v>312.06797204903796</v>
      </c>
      <c r="HA87" s="62">
        <f t="shared" si="106"/>
        <v>258.20189001775151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projet'!$B$18,Paramètres!$A$1:$I$89,3,0)*0.475*44/12</f>
        <v>0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84"/>
        <v>0</v>
      </c>
    </row>
    <row r="88" spans="1:218" s="5" customFormat="1" x14ac:dyDescent="0.25">
      <c r="A88" s="11">
        <f t="shared" si="85"/>
        <v>85</v>
      </c>
      <c r="B88" s="76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9">
        <f t="shared" si="56"/>
        <v>256.66666666666669</v>
      </c>
      <c r="I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2.2737367544323206E-13</v>
      </c>
      <c r="O88" s="14">
        <f>N88*VLOOKUP('Données projet'!$B$9,Paramètres!$A$1:$I$89,3,0)*VLOOKUP('Données projet'!$B$9,Paramètres!$A$1:$I$89,5,0)</f>
        <v>1.2710188457276673E-13</v>
      </c>
      <c r="P88" s="14">
        <f t="shared" si="87"/>
        <v>1.856866851063998E-12</v>
      </c>
      <c r="Q88" s="22">
        <f t="shared" si="54"/>
        <v>3.4554122145673649E-12</v>
      </c>
      <c r="R88" s="62">
        <f t="shared" si="55"/>
        <v>293.33333333333678</v>
      </c>
      <c r="S88" s="62">
        <f ca="1">AVERAGE(OFFSET($R$3,0,0,'Données projet'!$E$9+1,1))-AVERAGE(OFFSET($H$3,0,0,'Données projet'!$E$9+1,1))</f>
        <v>323.98185264074681</v>
      </c>
      <c r="T88" s="62">
        <f t="shared" si="88"/>
        <v>301.22207291854005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1.5014596807301339</v>
      </c>
      <c r="AA88" s="23">
        <f>EXP(-LN(2)/25)*AA87+(1-EXP(-LN(2)/25))/(LN(2)/25)*Calculateur!V88*Calculateur!X88*VLOOKUP('Données projet'!$B$9,Paramètres!$A$1:$I$89,3,0)*0.475*44/12</f>
        <v>1.7949228370539088</v>
      </c>
      <c r="AB88" s="23">
        <f>EXP(-LN(2)/2)*AB87+(1-EXP(-LN(2)/2))/(LN(2)/2)*V88*Y88*VLOOKUP('Données projet'!$B$9,Paramètres!$A$1:$I$89,3,0)*0.475*44/12</f>
        <v>3.2072735870361721E-8</v>
      </c>
      <c r="AC88" s="24">
        <f t="shared" si="57"/>
        <v>3.2963825498567787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-2.8421709430404007E-13</v>
      </c>
      <c r="AJ88" s="14">
        <f>AI88*VLOOKUP('Données projet'!$B$10,Paramètres!$A$1:$I$89,3,0)*VLOOKUP('Données projet'!$B$10,Paramètres!$A$1:$I$89,5,0)</f>
        <v>-1.69961822393816E-13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289.12367833861299</v>
      </c>
      <c r="AO88" s="62">
        <f t="shared" si="90"/>
        <v>229.06617320689003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2.1847003729150007E-8</v>
      </c>
      <c r="AX88" s="23">
        <f t="shared" si="60"/>
        <v>2.1847003729150007E-8</v>
      </c>
      <c r="AY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5.6</v>
      </c>
      <c r="BD88" s="13">
        <f>IF('Données projet'!$A$88&gt;35,BD87+BC88-BL87,IF(A88&lt;'Données projet'!$A$88,$BA$205^A88,IF(A88='Données projet'!$A$88,'Données projet'!$B$88,BD87+BC88-BL87)))</f>
        <v>267.99999999999994</v>
      </c>
      <c r="BE88" s="14">
        <f>BD88*VLOOKUP('Données projet'!$B$11,Paramètres!$A$1:$I$89,3,0)*VLOOKUP('Données projet'!$B$11,Paramètres!$A$1:$I$89,5,0)</f>
        <v>242.48639999999995</v>
      </c>
      <c r="BF88" s="14">
        <f t="shared" si="91"/>
        <v>58.974170235372419</v>
      </c>
      <c r="BG88" s="22">
        <f t="shared" si="61"/>
        <v>525.04382649327351</v>
      </c>
      <c r="BH88" s="62">
        <f t="shared" si="62"/>
        <v>818.37715982660688</v>
      </c>
      <c r="BI88" s="62">
        <f ca="1">AVERAGE(OFFSET($BH$3,0,0,'Données projet'!$E$11+1,1))-AVERAGE(OFFSET($H$3,0,0,'Données projet'!$E$11+1,1))</f>
        <v>428.8489304403459</v>
      </c>
      <c r="BJ88" s="62">
        <f t="shared" si="92"/>
        <v>247.01165577562966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-1.7053025658242404E-13</v>
      </c>
      <c r="BZ88" s="14">
        <f>BY88*VLOOKUP('Données projet'!$B$12,Paramètres!$A$1:$I$89,3,0)*VLOOKUP('Données projet'!$B$12,Paramètres!$A$1:$I$89,5,0)</f>
        <v>-1.250327841262333E-13</v>
      </c>
      <c r="CA88" s="14" t="e">
        <f t="shared" si="93"/>
        <v>#NUM!</v>
      </c>
      <c r="CB88" s="22" t="e">
        <f t="shared" si="64"/>
        <v>#NUM!</v>
      </c>
      <c r="CC88" s="62" t="e">
        <f t="shared" si="65"/>
        <v>#NUM!</v>
      </c>
      <c r="CD88" s="62">
        <f ca="1">AVERAGE(OFFSET($CC$3,0,0,'Données projet'!$E$12+1,1))-AVERAGE(OFFSET($H$3,0,0,'Données projet'!$E$12+1,1))</f>
        <v>290.85271051443431</v>
      </c>
      <c r="CE88" s="62">
        <f t="shared" si="94"/>
        <v>318.66958823451142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1.1368683772161603E-13</v>
      </c>
      <c r="CU88" s="18">
        <f>CT88*VLOOKUP('Données projet'!$B$13,Paramètres!$A$1:$I$89,3,0)*VLOOKUP('Données projet'!$B$13,Paramètres!$A$1:$I$89,5,0)</f>
        <v>8.8675733422860506E-14</v>
      </c>
      <c r="CV88" s="14">
        <f t="shared" si="95"/>
        <v>1.3509285393066301E-12</v>
      </c>
      <c r="CW88" s="22">
        <f t="shared" si="67"/>
        <v>2.5073107750038623E-12</v>
      </c>
      <c r="CX88" s="62">
        <f t="shared" si="68"/>
        <v>293.33333333333582</v>
      </c>
      <c r="CY88" s="62">
        <f ca="1">AVERAGE(OFFSET($CX$3,0,0,'Données projet'!$E$13+1,1))-AVERAGE(OFFSET($H$3,0,0,'Données projet'!$E$13+1,1))</f>
        <v>292.57482726862594</v>
      </c>
      <c r="CZ88" s="62">
        <f t="shared" si="96"/>
        <v>283.48738729114024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-1.7053025658242404E-13</v>
      </c>
      <c r="DP88" s="18">
        <f>DO88*VLOOKUP('Données projet'!$B$14,Paramètres!$A$1:$I$89,3,0)*VLOOKUP('Données projet'!$B$14,Paramètres!$A$1:$I$89,5,0)</f>
        <v>-1.3567387213697657E-13</v>
      </c>
      <c r="DQ88" s="14" t="e">
        <f t="shared" si="97"/>
        <v>#NUM!</v>
      </c>
      <c r="DR88" s="22" t="e">
        <f t="shared" si="70"/>
        <v>#NUM!</v>
      </c>
      <c r="DS88" s="62" t="e">
        <f t="shared" si="71"/>
        <v>#NUM!</v>
      </c>
      <c r="DT88" s="62">
        <f ca="1">AVERAGE(OFFSET($DS$3,0,0,'Données projet'!$E$14+1,1))-AVERAGE(OFFSET($H$3,0,0,'Données projet'!$E$14+1,1))</f>
        <v>312.53381881960331</v>
      </c>
      <c r="DU88" s="62">
        <f t="shared" si="98"/>
        <v>342.06887933351783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219.23076923076923</v>
      </c>
      <c r="EH88" s="13">
        <f>VLOOKUP(A88,'Données projet'!$A$191:$I$211,9,0)</f>
        <v>3.8461538461538454</v>
      </c>
      <c r="EI88" s="13">
        <f t="array" ref="EI88">INDEX(EH:EH,MIN(IF(ISNUMBER(EH88:EH284),ROW(EH88:EH284),"")))</f>
        <v>3.8461538461538454</v>
      </c>
      <c r="EJ88" s="13">
        <f>IF('Données projet'!$A$192&gt;35,EJ87+EI88-ER87,IF(A88&lt;'Données projet'!$A$192,$EG$205^A88,IF(A88='Données projet'!$A$192,'Données projet'!$B$192,EJ87+EI88-ER87)))</f>
        <v>219.23076923076914</v>
      </c>
      <c r="EK88" s="18">
        <f>EJ88*VLOOKUP('Données projet'!$B$15,Paramètres!$A$1:$I$89,3,0)*VLOOKUP('Données projet'!$B$15,Paramètres!$A$1:$I$89,5,0)</f>
        <v>208.61999999999992</v>
      </c>
      <c r="EL88" s="14">
        <f t="shared" si="99"/>
        <v>51.63390535939368</v>
      </c>
      <c r="EM88" s="22">
        <f t="shared" si="73"/>
        <v>453.27555183427711</v>
      </c>
      <c r="EN88" s="62">
        <f t="shared" si="74"/>
        <v>746.60888516761042</v>
      </c>
      <c r="EO88" s="62">
        <f ca="1">AVERAGE(OFFSET($EN$3,0,0,'Données projet'!$E$15+1,1))-AVERAGE(OFFSET($H$3,0,0,'Données projet'!$E$15+1,1))</f>
        <v>363.37916970915211</v>
      </c>
      <c r="EP88" s="62">
        <f t="shared" si="100"/>
        <v>281.52963027844595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9.0717948717948698</v>
      </c>
      <c r="FE88" s="13">
        <f>IF('Données projet'!$A$218&gt;35,FE87+FD88-FM87,IF(A88&lt;'Données projet'!$A$218,$FB$205^A88,IF(A88='Données projet'!$A$218,'Données projet'!$B$218,FE87+FD88-FM87)))</f>
        <v>364.9948717948713</v>
      </c>
      <c r="FF88" s="18">
        <f>FE88*VLOOKUP('Données projet'!$B$16,Paramètres!$A$1:$I$89,3,0)*VLOOKUP('Données projet'!$B$16,Paramètres!$A$1:$I$89,5,0)</f>
        <v>170.81759999999977</v>
      </c>
      <c r="FG88" s="14">
        <f t="shared" si="101"/>
        <v>43.273087623453243</v>
      </c>
      <c r="FH88" s="22">
        <f t="shared" si="76"/>
        <v>372.87461427751396</v>
      </c>
      <c r="FI88" s="62">
        <f t="shared" si="77"/>
        <v>666.20794761084721</v>
      </c>
      <c r="FJ88" s="62">
        <f ca="1">AVERAGE(OFFSET($FI$3,0,0,'Données projet'!$E$16+1,1))-AVERAGE(OFFSET($H$3,0,0,'Données projet'!$E$16+1,1))</f>
        <v>245.47494516762282</v>
      </c>
      <c r="FK88" s="62">
        <f t="shared" si="102"/>
        <v>145.54897745089966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5.6</v>
      </c>
      <c r="FZ88" s="13">
        <f>IF('Données projet'!$A$244&gt;35,FZ87+FY88-GH87,IF(A88&lt;'Données projet'!$A$244,$FW$205^A88,IF(A88='Données projet'!$A$244,'Données projet'!$B$244,FZ87+FY88-GH87)))</f>
        <v>267.99999999999994</v>
      </c>
      <c r="GA88" s="18">
        <f>FZ88*VLOOKUP('Données projet'!$B$17,Paramètres!$A$1:$I$89,3,0)*VLOOKUP('Données projet'!$B$17,Paramètres!$A$1:$I$89,5,0)</f>
        <v>259.20959999999997</v>
      </c>
      <c r="GB88" s="14">
        <f t="shared" si="103"/>
        <v>62.553866774106702</v>
      </c>
      <c r="GC88" s="22">
        <f t="shared" si="79"/>
        <v>560.40470463156907</v>
      </c>
      <c r="GD88" s="62">
        <f t="shared" si="80"/>
        <v>853.73803796490233</v>
      </c>
      <c r="GE88" s="62">
        <f ca="1">AVERAGE(OFFSET($GD$3,0,0,'Données projet'!$E$17+1,1))-AVERAGE(OFFSET($H$3,0,0,'Données projet'!$E$17+1,1))</f>
        <v>455.50822833641354</v>
      </c>
      <c r="GF88" s="62">
        <f t="shared" si="104"/>
        <v>261.14722581688039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>
        <f>VLOOKUP(A88,'Données projet'!$A$269:$I$289,2,0)</f>
        <v>276.28205128205127</v>
      </c>
      <c r="GS88" s="13">
        <f>VLOOKUP(A88,'Données projet'!$A$269:$I$289,9,0)</f>
        <v>4.1025641025640995</v>
      </c>
      <c r="GT88" s="13">
        <f t="array" ref="GT88">INDEX(GS:GS,MIN(IF(ISNUMBER(GS88:GS284),ROW(GS88:GS284),"")))</f>
        <v>4.1025641025640995</v>
      </c>
      <c r="GU88" s="13">
        <f>IF('Données projet'!$A$270&gt;35,GU87+GT88-HC87,IF(A88&lt;'Données projet'!$A$270,$GR$205^A88,IF(A88='Données projet'!$A$270,'Données projet'!$B$270,GU87+GT88-HC87)))</f>
        <v>276.28205128205127</v>
      </c>
      <c r="GV88" s="18">
        <f>GU88*VLOOKUP('Données projet'!$B$18,Paramètres!$A$1:$I$89,3,0)*VLOOKUP('Données projet'!$B$18,Paramètres!$A$1:$I$89,5,0)</f>
        <v>185.32999999999998</v>
      </c>
      <c r="GW88" s="14">
        <f t="shared" si="105"/>
        <v>46.505991525491268</v>
      </c>
      <c r="GX88" s="22">
        <f t="shared" si="82"/>
        <v>403.78101857356387</v>
      </c>
      <c r="GY88" s="62">
        <f t="shared" si="83"/>
        <v>697.11435190689713</v>
      </c>
      <c r="GZ88" s="62">
        <f ca="1">AVERAGE(OFFSET($GY$3,0,0,'Données projet'!$E$18+1,1))-AVERAGE(OFFSET($H$3,0,0,'Données projet'!$E$18+1,1))</f>
        <v>312.06797204903796</v>
      </c>
      <c r="HA88" s="62">
        <f t="shared" si="106"/>
        <v>258.20189001775151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projet'!$B$18,Paramètres!$A$1:$I$89,3,0)*0.475*44/12</f>
        <v>0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84"/>
        <v>0</v>
      </c>
    </row>
    <row r="89" spans="1:218" s="5" customFormat="1" x14ac:dyDescent="0.25">
      <c r="A89" s="11">
        <f t="shared" si="85"/>
        <v>86</v>
      </c>
      <c r="B89" s="76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9">
        <f t="shared" si="56"/>
        <v>256.66666666666669</v>
      </c>
      <c r="I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2.2737367544323206E-13</v>
      </c>
      <c r="O89" s="14">
        <f>N89*VLOOKUP('Données projet'!$B$9,Paramètres!$A$1:$I$89,3,0)*VLOOKUP('Données projet'!$B$9,Paramètres!$A$1:$I$89,5,0)</f>
        <v>1.2710188457276673E-13</v>
      </c>
      <c r="P89" s="14">
        <f t="shared" si="87"/>
        <v>1.856866851063998E-12</v>
      </c>
      <c r="Q89" s="22">
        <f t="shared" si="54"/>
        <v>3.4554122145673649E-12</v>
      </c>
      <c r="R89" s="62">
        <f t="shared" si="55"/>
        <v>293.33333333333678</v>
      </c>
      <c r="S89" s="62">
        <f ca="1">AVERAGE(OFFSET($R$3,0,0,'Données projet'!$E$9+1,1))-AVERAGE(OFFSET($H$3,0,0,'Données projet'!$E$9+1,1))</f>
        <v>323.98185264074681</v>
      </c>
      <c r="T89" s="62">
        <f t="shared" si="88"/>
        <v>301.22207291854005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1.4720169721909935</v>
      </c>
      <c r="AA89" s="23">
        <f>EXP(-LN(2)/25)*AA88+(1-EXP(-LN(2)/25))/(LN(2)/25)*Calculateur!V89*Calculateur!X89*VLOOKUP('Données projet'!$B$9,Paramètres!$A$1:$I$89,3,0)*0.475*44/12</f>
        <v>1.74584057768378</v>
      </c>
      <c r="AB89" s="23">
        <f>EXP(-LN(2)/2)*AB88+(1-EXP(-LN(2)/2))/(LN(2)/2)*V89*Y89*VLOOKUP('Données projet'!$B$9,Paramètres!$A$1:$I$89,3,0)*0.475*44/12</f>
        <v>2.2678849025137799E-8</v>
      </c>
      <c r="AC89" s="24">
        <f t="shared" si="57"/>
        <v>3.2178575725536227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-2.8421709430404007E-13</v>
      </c>
      <c r="AJ89" s="14">
        <f>AI89*VLOOKUP('Données projet'!$B$10,Paramètres!$A$1:$I$89,3,0)*VLOOKUP('Données projet'!$B$10,Paramètres!$A$1:$I$89,5,0)</f>
        <v>-1.69961822393816E-13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289.12367833861299</v>
      </c>
      <c r="AO89" s="62">
        <f t="shared" si="90"/>
        <v>229.06617320689003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1.5448164485489761E-8</v>
      </c>
      <c r="AX89" s="23">
        <f t="shared" si="60"/>
        <v>1.5448164485489761E-8</v>
      </c>
      <c r="AY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5.6</v>
      </c>
      <c r="BD89" s="13">
        <f>IF('Données projet'!$A$88&gt;35,BD88+BC89-BL88,IF(A89&lt;'Données projet'!$A$88,$BA$205^A89,IF(A89='Données projet'!$A$88,'Données projet'!$B$88,BD88+BC89-BL88)))</f>
        <v>273.59999999999997</v>
      </c>
      <c r="BE89" s="14">
        <f>BD89*VLOOKUP('Données projet'!$B$11,Paramètres!$A$1:$I$89,3,0)*VLOOKUP('Données projet'!$B$11,Paramètres!$A$1:$I$89,5,0)</f>
        <v>247.55327999999994</v>
      </c>
      <c r="BF89" s="14">
        <f t="shared" si="91"/>
        <v>60.061713068870255</v>
      </c>
      <c r="BG89" s="22">
        <f t="shared" si="61"/>
        <v>535.76277959494894</v>
      </c>
      <c r="BH89" s="62">
        <f t="shared" si="62"/>
        <v>829.09611292828231</v>
      </c>
      <c r="BI89" s="62">
        <f ca="1">AVERAGE(OFFSET($BH$3,0,0,'Données projet'!$E$11+1,1))-AVERAGE(OFFSET($H$3,0,0,'Données projet'!$E$11+1,1))</f>
        <v>428.8489304403459</v>
      </c>
      <c r="BJ89" s="62">
        <f t="shared" si="92"/>
        <v>247.01165577562966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-1.7053025658242404E-13</v>
      </c>
      <c r="BZ89" s="14">
        <f>BY89*VLOOKUP('Données projet'!$B$12,Paramètres!$A$1:$I$89,3,0)*VLOOKUP('Données projet'!$B$12,Paramètres!$A$1:$I$89,5,0)</f>
        <v>-1.250327841262333E-13</v>
      </c>
      <c r="CA89" s="14" t="e">
        <f t="shared" si="93"/>
        <v>#NUM!</v>
      </c>
      <c r="CB89" s="22" t="e">
        <f t="shared" si="64"/>
        <v>#NUM!</v>
      </c>
      <c r="CC89" s="62" t="e">
        <f t="shared" si="65"/>
        <v>#NUM!</v>
      </c>
      <c r="CD89" s="62">
        <f ca="1">AVERAGE(OFFSET($CC$3,0,0,'Données projet'!$E$12+1,1))-AVERAGE(OFFSET($H$3,0,0,'Données projet'!$E$12+1,1))</f>
        <v>290.85271051443431</v>
      </c>
      <c r="CE89" s="62">
        <f t="shared" si="94"/>
        <v>318.66958823451142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1.1368683772161603E-13</v>
      </c>
      <c r="CU89" s="18">
        <f>CT89*VLOOKUP('Données projet'!$B$13,Paramètres!$A$1:$I$89,3,0)*VLOOKUP('Données projet'!$B$13,Paramètres!$A$1:$I$89,5,0)</f>
        <v>8.8675733422860506E-14</v>
      </c>
      <c r="CV89" s="14">
        <f t="shared" si="95"/>
        <v>1.3509285393066301E-12</v>
      </c>
      <c r="CW89" s="22">
        <f t="shared" si="67"/>
        <v>2.5073107750038623E-12</v>
      </c>
      <c r="CX89" s="62">
        <f t="shared" si="68"/>
        <v>293.33333333333582</v>
      </c>
      <c r="CY89" s="62">
        <f ca="1">AVERAGE(OFFSET($CX$3,0,0,'Données projet'!$E$13+1,1))-AVERAGE(OFFSET($H$3,0,0,'Données projet'!$E$13+1,1))</f>
        <v>292.57482726862594</v>
      </c>
      <c r="CZ89" s="62">
        <f t="shared" si="96"/>
        <v>283.48738729114024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-1.7053025658242404E-13</v>
      </c>
      <c r="DP89" s="18">
        <f>DO89*VLOOKUP('Données projet'!$B$14,Paramètres!$A$1:$I$89,3,0)*VLOOKUP('Données projet'!$B$14,Paramètres!$A$1:$I$89,5,0)</f>
        <v>-1.3567387213697657E-13</v>
      </c>
      <c r="DQ89" s="14" t="e">
        <f t="shared" si="97"/>
        <v>#NUM!</v>
      </c>
      <c r="DR89" s="22" t="e">
        <f t="shared" si="70"/>
        <v>#NUM!</v>
      </c>
      <c r="DS89" s="62" t="e">
        <f t="shared" si="71"/>
        <v>#NUM!</v>
      </c>
      <c r="DT89" s="62">
        <f ca="1">AVERAGE(OFFSET($DS$3,0,0,'Données projet'!$E$14+1,1))-AVERAGE(OFFSET($H$3,0,0,'Données projet'!$E$14+1,1))</f>
        <v>312.53381881960331</v>
      </c>
      <c r="DU89" s="62">
        <f t="shared" si="98"/>
        <v>342.06887933351783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3.5897435897435912</v>
      </c>
      <c r="EJ89" s="13">
        <f>IF('Données projet'!$A$192&gt;35,EJ88+EI89-ER88,IF(A89&lt;'Données projet'!$A$192,$EG$205^A89,IF(A89='Données projet'!$A$192,'Données projet'!$B$192,EJ88+EI89-ER88)))</f>
        <v>222.82051282051273</v>
      </c>
      <c r="EK89" s="18">
        <f>EJ89*VLOOKUP('Données projet'!$B$15,Paramètres!$A$1:$I$89,3,0)*VLOOKUP('Données projet'!$B$15,Paramètres!$A$1:$I$89,5,0)</f>
        <v>212.03599999999992</v>
      </c>
      <c r="EL89" s="14">
        <f t="shared" si="99"/>
        <v>52.380252774201118</v>
      </c>
      <c r="EM89" s="22">
        <f t="shared" si="73"/>
        <v>460.52497358173349</v>
      </c>
      <c r="EN89" s="62">
        <f t="shared" si="74"/>
        <v>753.85830691506681</v>
      </c>
      <c r="EO89" s="62">
        <f ca="1">AVERAGE(OFFSET($EN$3,0,0,'Données projet'!$E$15+1,1))-AVERAGE(OFFSET($H$3,0,0,'Données projet'!$E$15+1,1))</f>
        <v>363.37916970915211</v>
      </c>
      <c r="EP89" s="62">
        <f t="shared" si="100"/>
        <v>281.52963027844595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9.0717948717948698</v>
      </c>
      <c r="FE89" s="13">
        <f>IF('Données projet'!$A$218&gt;35,FE88+FD89-FM88,IF(A89&lt;'Données projet'!$A$218,$FB$205^A89,IF(A89='Données projet'!$A$218,'Données projet'!$B$218,FE88+FD89-FM88)))</f>
        <v>374.06666666666615</v>
      </c>
      <c r="FF89" s="18">
        <f>FE89*VLOOKUP('Données projet'!$B$16,Paramètres!$A$1:$I$89,3,0)*VLOOKUP('Données projet'!$B$16,Paramètres!$A$1:$I$89,5,0)</f>
        <v>175.06319999999977</v>
      </c>
      <c r="FG89" s="14">
        <f t="shared" si="101"/>
        <v>44.222067746824685</v>
      </c>
      <c r="FH89" s="22">
        <f t="shared" si="76"/>
        <v>381.92184132571924</v>
      </c>
      <c r="FI89" s="62">
        <f t="shared" si="77"/>
        <v>675.2551746590525</v>
      </c>
      <c r="FJ89" s="62">
        <f ca="1">AVERAGE(OFFSET($FI$3,0,0,'Données projet'!$E$16+1,1))-AVERAGE(OFFSET($H$3,0,0,'Données projet'!$E$16+1,1))</f>
        <v>245.47494516762282</v>
      </c>
      <c r="FK89" s="62">
        <f t="shared" si="102"/>
        <v>145.54897745089966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5.6</v>
      </c>
      <c r="FZ89" s="13">
        <f>IF('Données projet'!$A$244&gt;35,FZ88+FY89-GH88,IF(A89&lt;'Données projet'!$A$244,$FW$205^A89,IF(A89='Données projet'!$A$244,'Données projet'!$B$244,FZ88+FY89-GH88)))</f>
        <v>273.59999999999997</v>
      </c>
      <c r="GA89" s="18">
        <f>FZ89*VLOOKUP('Données projet'!$B$17,Paramètres!$A$1:$I$89,3,0)*VLOOKUP('Données projet'!$B$17,Paramètres!$A$1:$I$89,5,0)</f>
        <v>264.62591999999995</v>
      </c>
      <c r="GB89" s="14">
        <f t="shared" si="103"/>
        <v>63.707422801198604</v>
      </c>
      <c r="GC89" s="22">
        <f t="shared" si="79"/>
        <v>571.84723871208746</v>
      </c>
      <c r="GD89" s="62">
        <f t="shared" si="80"/>
        <v>865.18057204542083</v>
      </c>
      <c r="GE89" s="62">
        <f ca="1">AVERAGE(OFFSET($GD$3,0,0,'Données projet'!$E$17+1,1))-AVERAGE(OFFSET($H$3,0,0,'Données projet'!$E$17+1,1))</f>
        <v>455.50822833641354</v>
      </c>
      <c r="GF89" s="62">
        <f t="shared" si="104"/>
        <v>261.14722581688039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3.8461538461538454</v>
      </c>
      <c r="GU89" s="13">
        <f>IF('Données projet'!$A$270&gt;35,GU88+GT89-HC88,IF(A89&lt;'Données projet'!$A$270,$GR$205^A89,IF(A89='Données projet'!$A$270,'Données projet'!$B$270,GU88+GT89-HC88)))</f>
        <v>280.12820512820514</v>
      </c>
      <c r="GV89" s="18">
        <f>GU89*VLOOKUP('Données projet'!$B$18,Paramètres!$A$1:$I$89,3,0)*VLOOKUP('Données projet'!$B$18,Paramètres!$A$1:$I$89,5,0)</f>
        <v>187.91</v>
      </c>
      <c r="GW89" s="14">
        <f t="shared" si="105"/>
        <v>47.077586490700433</v>
      </c>
      <c r="GX89" s="22">
        <f t="shared" si="82"/>
        <v>409.27004647130326</v>
      </c>
      <c r="GY89" s="62">
        <f t="shared" si="83"/>
        <v>702.60337980463657</v>
      </c>
      <c r="GZ89" s="62">
        <f ca="1">AVERAGE(OFFSET($GY$3,0,0,'Données projet'!$E$18+1,1))-AVERAGE(OFFSET($H$3,0,0,'Données projet'!$E$18+1,1))</f>
        <v>312.06797204903796</v>
      </c>
      <c r="HA89" s="62">
        <f t="shared" si="106"/>
        <v>258.20189001775151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projet'!$B$18,Paramètres!$A$1:$I$89,3,0)*0.475*44/12</f>
        <v>0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84"/>
        <v>0</v>
      </c>
    </row>
    <row r="90" spans="1:218" s="5" customFormat="1" x14ac:dyDescent="0.25">
      <c r="A90" s="11">
        <f t="shared" si="85"/>
        <v>87</v>
      </c>
      <c r="B90" s="76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9">
        <f t="shared" si="56"/>
        <v>256.66666666666669</v>
      </c>
      <c r="I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2.2737367544323206E-13</v>
      </c>
      <c r="O90" s="14">
        <f>N90*VLOOKUP('Données projet'!$B$9,Paramètres!$A$1:$I$89,3,0)*VLOOKUP('Données projet'!$B$9,Paramètres!$A$1:$I$89,5,0)</f>
        <v>1.2710188457276673E-13</v>
      </c>
      <c r="P90" s="14">
        <f t="shared" si="87"/>
        <v>1.856866851063998E-12</v>
      </c>
      <c r="Q90" s="22">
        <f t="shared" si="54"/>
        <v>3.4554122145673649E-12</v>
      </c>
      <c r="R90" s="62">
        <f t="shared" si="55"/>
        <v>293.33333333333678</v>
      </c>
      <c r="S90" s="62">
        <f ca="1">AVERAGE(OFFSET($R$3,0,0,'Données projet'!$E$9+1,1))-AVERAGE(OFFSET($H$3,0,0,'Données projet'!$E$9+1,1))</f>
        <v>323.98185264074681</v>
      </c>
      <c r="T90" s="62">
        <f t="shared" si="88"/>
        <v>301.22207291854005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1.4431516172080265</v>
      </c>
      <c r="AA90" s="23">
        <f>EXP(-LN(2)/25)*AA89+(1-EXP(-LN(2)/25))/(LN(2)/25)*Calculateur!V90*Calculateur!X90*VLOOKUP('Données projet'!$B$9,Paramètres!$A$1:$I$89,3,0)*0.475*44/12</f>
        <v>1.6981004752772513</v>
      </c>
      <c r="AB90" s="23">
        <f>EXP(-LN(2)/2)*AB89+(1-EXP(-LN(2)/2))/(LN(2)/2)*V90*Y90*VLOOKUP('Données projet'!$B$9,Paramètres!$A$1:$I$89,3,0)*0.475*44/12</f>
        <v>1.603636793518086E-8</v>
      </c>
      <c r="AC90" s="24">
        <f t="shared" si="57"/>
        <v>3.1412521085216456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-2.8421709430404007E-13</v>
      </c>
      <c r="AJ90" s="14">
        <f>AI90*VLOOKUP('Données projet'!$B$10,Paramètres!$A$1:$I$89,3,0)*VLOOKUP('Données projet'!$B$10,Paramètres!$A$1:$I$89,5,0)</f>
        <v>-1.69961822393816E-13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289.12367833861299</v>
      </c>
      <c r="AO90" s="62">
        <f t="shared" si="90"/>
        <v>229.06617320689003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1.0923501864575003E-8</v>
      </c>
      <c r="AX90" s="23">
        <f t="shared" si="60"/>
        <v>1.0923501864575003E-8</v>
      </c>
      <c r="AY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5.6</v>
      </c>
      <c r="BD90" s="13">
        <f>IF('Données projet'!$A$88&gt;35,BD89+BC90-BL89,IF(A90&lt;'Données projet'!$A$88,$BA$205^A90,IF(A90='Données projet'!$A$88,'Données projet'!$B$88,BD89+BC90-BL89)))</f>
        <v>279.2</v>
      </c>
      <c r="BE90" s="14">
        <f>BD90*VLOOKUP('Données projet'!$B$11,Paramètres!$A$1:$I$89,3,0)*VLOOKUP('Données projet'!$B$11,Paramètres!$A$1:$I$89,5,0)</f>
        <v>252.62015999999997</v>
      </c>
      <c r="BF90" s="14">
        <f t="shared" si="91"/>
        <v>61.14666777229877</v>
      </c>
      <c r="BG90" s="22">
        <f t="shared" si="61"/>
        <v>546.47722503675357</v>
      </c>
      <c r="BH90" s="62">
        <f t="shared" si="62"/>
        <v>839.81055837008694</v>
      </c>
      <c r="BI90" s="62">
        <f ca="1">AVERAGE(OFFSET($BH$3,0,0,'Données projet'!$E$11+1,1))-AVERAGE(OFFSET($H$3,0,0,'Données projet'!$E$11+1,1))</f>
        <v>428.8489304403459</v>
      </c>
      <c r="BJ90" s="62">
        <f t="shared" si="92"/>
        <v>247.01165577562966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-1.7053025658242404E-13</v>
      </c>
      <c r="BZ90" s="14">
        <f>BY90*VLOOKUP('Données projet'!$B$12,Paramètres!$A$1:$I$89,3,0)*VLOOKUP('Données projet'!$B$12,Paramètres!$A$1:$I$89,5,0)</f>
        <v>-1.250327841262333E-13</v>
      </c>
      <c r="CA90" s="14" t="e">
        <f t="shared" si="93"/>
        <v>#NUM!</v>
      </c>
      <c r="CB90" s="22" t="e">
        <f t="shared" si="64"/>
        <v>#NUM!</v>
      </c>
      <c r="CC90" s="62" t="e">
        <f t="shared" si="65"/>
        <v>#NUM!</v>
      </c>
      <c r="CD90" s="62">
        <f ca="1">AVERAGE(OFFSET($CC$3,0,0,'Données projet'!$E$12+1,1))-AVERAGE(OFFSET($H$3,0,0,'Données projet'!$E$12+1,1))</f>
        <v>290.85271051443431</v>
      </c>
      <c r="CE90" s="62">
        <f t="shared" si="94"/>
        <v>318.66958823451142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1.1368683772161603E-13</v>
      </c>
      <c r="CU90" s="18">
        <f>CT90*VLOOKUP('Données projet'!$B$13,Paramètres!$A$1:$I$89,3,0)*VLOOKUP('Données projet'!$B$13,Paramètres!$A$1:$I$89,5,0)</f>
        <v>8.8675733422860506E-14</v>
      </c>
      <c r="CV90" s="14">
        <f t="shared" si="95"/>
        <v>1.3509285393066301E-12</v>
      </c>
      <c r="CW90" s="22">
        <f t="shared" si="67"/>
        <v>2.5073107750038623E-12</v>
      </c>
      <c r="CX90" s="62">
        <f t="shared" si="68"/>
        <v>293.33333333333582</v>
      </c>
      <c r="CY90" s="62">
        <f ca="1">AVERAGE(OFFSET($CX$3,0,0,'Données projet'!$E$13+1,1))-AVERAGE(OFFSET($H$3,0,0,'Données projet'!$E$13+1,1))</f>
        <v>292.57482726862594</v>
      </c>
      <c r="CZ90" s="62">
        <f t="shared" si="96"/>
        <v>283.48738729114024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-1.7053025658242404E-13</v>
      </c>
      <c r="DP90" s="18">
        <f>DO90*VLOOKUP('Données projet'!$B$14,Paramètres!$A$1:$I$89,3,0)*VLOOKUP('Données projet'!$B$14,Paramètres!$A$1:$I$89,5,0)</f>
        <v>-1.3567387213697657E-13</v>
      </c>
      <c r="DQ90" s="14" t="e">
        <f t="shared" si="97"/>
        <v>#NUM!</v>
      </c>
      <c r="DR90" s="22" t="e">
        <f t="shared" si="70"/>
        <v>#NUM!</v>
      </c>
      <c r="DS90" s="62" t="e">
        <f t="shared" si="71"/>
        <v>#NUM!</v>
      </c>
      <c r="DT90" s="62">
        <f ca="1">AVERAGE(OFFSET($DS$3,0,0,'Données projet'!$E$14+1,1))-AVERAGE(OFFSET($H$3,0,0,'Données projet'!$E$14+1,1))</f>
        <v>312.53381881960331</v>
      </c>
      <c r="DU90" s="62">
        <f t="shared" si="98"/>
        <v>342.06887933351783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3.5897435897435912</v>
      </c>
      <c r="EJ90" s="13">
        <f>IF('Données projet'!$A$192&gt;35,EJ89+EI90-ER89,IF(A90&lt;'Données projet'!$A$192,$EG$205^A90,IF(A90='Données projet'!$A$192,'Données projet'!$B$192,EJ89+EI90-ER89)))</f>
        <v>226.41025641025632</v>
      </c>
      <c r="EK90" s="18">
        <f>EJ90*VLOOKUP('Données projet'!$B$15,Paramètres!$A$1:$I$89,3,0)*VLOOKUP('Données projet'!$B$15,Paramètres!$A$1:$I$89,5,0)</f>
        <v>215.45199999999988</v>
      </c>
      <c r="EL90" s="14">
        <f t="shared" si="99"/>
        <v>53.125201841889961</v>
      </c>
      <c r="EM90" s="22">
        <f t="shared" si="73"/>
        <v>467.77195987462483</v>
      </c>
      <c r="EN90" s="62">
        <f t="shared" si="74"/>
        <v>761.10529320795808</v>
      </c>
      <c r="EO90" s="62">
        <f ca="1">AVERAGE(OFFSET($EN$3,0,0,'Données projet'!$E$15+1,1))-AVERAGE(OFFSET($H$3,0,0,'Données projet'!$E$15+1,1))</f>
        <v>363.37916970915211</v>
      </c>
      <c r="EP90" s="62">
        <f t="shared" si="100"/>
        <v>281.52963027844595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>
        <f>VLOOKUP(A90,'Données projet'!$A$217:$I$237,2,0)</f>
        <v>383.13846153846151</v>
      </c>
      <c r="FC90" s="13">
        <f>VLOOKUP(A90,'Données projet'!$A$217:$I$237,9,0)</f>
        <v>9.0717948717948698</v>
      </c>
      <c r="FD90" s="13">
        <f t="array" ref="FD90">INDEX(FC:FC,MIN(IF(ISNUMBER(FC90:FC286),ROW(FC90:FC286),"")))</f>
        <v>9.0717948717948698</v>
      </c>
      <c r="FE90" s="13">
        <f>IF('Données projet'!$A$218&gt;35,FE89+FD90-FM89,IF(A90&lt;'Données projet'!$A$218,$FB$205^A90,IF(A90='Données projet'!$A$218,'Données projet'!$B$218,FE89+FD90-FM89)))</f>
        <v>383.138461538461</v>
      </c>
      <c r="FF90" s="18">
        <f>FE90*VLOOKUP('Données projet'!$B$16,Paramètres!$A$1:$I$89,3,0)*VLOOKUP('Données projet'!$B$16,Paramètres!$A$1:$I$89,5,0)</f>
        <v>179.30879999999974</v>
      </c>
      <c r="FG90" s="14">
        <f t="shared" si="101"/>
        <v>45.168372484136519</v>
      </c>
      <c r="FH90" s="22">
        <f t="shared" si="76"/>
        <v>390.96440874320393</v>
      </c>
      <c r="FI90" s="62">
        <f t="shared" si="77"/>
        <v>684.29774207653725</v>
      </c>
      <c r="FJ90" s="62">
        <f ca="1">AVERAGE(OFFSET($FI$3,0,0,'Données projet'!$E$16+1,1))-AVERAGE(OFFSET($H$3,0,0,'Données projet'!$E$16+1,1))</f>
        <v>245.47494516762282</v>
      </c>
      <c r="FK90" s="62">
        <f t="shared" si="102"/>
        <v>145.54897745089966</v>
      </c>
      <c r="FL90" s="16">
        <f>IF(ISNA(VLOOKUP(A90,'Données projet'!$A$217:$I$237,3,0)),0,VLOOKUP(A90,'Données projet'!$A$217:$I$237,3,0))</f>
        <v>4</v>
      </c>
      <c r="FM90" s="16">
        <f>IF(ISNA(VLOOKUP(A90,'Données projet'!$A$217:$I$237,4,0)),0,VLOOKUP(A90,'Données projet'!$A$217:$I$237,4,0))</f>
        <v>82.938461538461524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5.6</v>
      </c>
      <c r="FZ90" s="13">
        <f>IF('Données projet'!$A$244&gt;35,FZ89+FY90-GH89,IF(A90&lt;'Données projet'!$A$244,$FW$205^A90,IF(A90='Données projet'!$A$244,'Données projet'!$B$244,FZ89+FY90-GH89)))</f>
        <v>279.2</v>
      </c>
      <c r="GA90" s="18">
        <f>FZ90*VLOOKUP('Données projet'!$B$17,Paramètres!$A$1:$I$89,3,0)*VLOOKUP('Données projet'!$B$17,Paramètres!$A$1:$I$89,5,0)</f>
        <v>270.04223999999999</v>
      </c>
      <c r="GB90" s="14">
        <f t="shared" si="103"/>
        <v>64.858233600288145</v>
      </c>
      <c r="GC90" s="22">
        <f t="shared" si="79"/>
        <v>583.28499152050188</v>
      </c>
      <c r="GD90" s="62">
        <f t="shared" si="80"/>
        <v>876.61832485383525</v>
      </c>
      <c r="GE90" s="62">
        <f ca="1">AVERAGE(OFFSET($GD$3,0,0,'Données projet'!$E$17+1,1))-AVERAGE(OFFSET($H$3,0,0,'Données projet'!$E$17+1,1))</f>
        <v>455.50822833641354</v>
      </c>
      <c r="GF90" s="62">
        <f t="shared" si="104"/>
        <v>261.14722581688039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3.8461538461538454</v>
      </c>
      <c r="GU90" s="13">
        <f>IF('Données projet'!$A$270&gt;35,GU89+GT90-HC89,IF(A90&lt;'Données projet'!$A$270,$GR$205^A90,IF(A90='Données projet'!$A$270,'Données projet'!$B$270,GU89+GT90-HC89)))</f>
        <v>283.97435897435901</v>
      </c>
      <c r="GV90" s="18">
        <f>GU90*VLOOKUP('Données projet'!$B$18,Paramètres!$A$1:$I$89,3,0)*VLOOKUP('Données projet'!$B$18,Paramètres!$A$1:$I$89,5,0)</f>
        <v>190.49</v>
      </c>
      <c r="GW90" s="14">
        <f t="shared" si="105"/>
        <v>47.648268649617435</v>
      </c>
      <c r="GX90" s="22">
        <f t="shared" si="82"/>
        <v>414.75748456475031</v>
      </c>
      <c r="GY90" s="62">
        <f t="shared" si="83"/>
        <v>708.09081789808363</v>
      </c>
      <c r="GZ90" s="62">
        <f ca="1">AVERAGE(OFFSET($GY$3,0,0,'Données projet'!$E$18+1,1))-AVERAGE(OFFSET($H$3,0,0,'Données projet'!$E$18+1,1))</f>
        <v>312.06797204903796</v>
      </c>
      <c r="HA90" s="62">
        <f t="shared" si="106"/>
        <v>258.20189001775151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projet'!$B$18,Paramètres!$A$1:$I$89,3,0)*0.475*44/12</f>
        <v>0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84"/>
        <v>0</v>
      </c>
    </row>
    <row r="91" spans="1:218" s="5" customFormat="1" x14ac:dyDescent="0.25">
      <c r="A91" s="11">
        <f t="shared" si="85"/>
        <v>88</v>
      </c>
      <c r="B91" s="76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9">
        <f t="shared" si="56"/>
        <v>256.66666666666669</v>
      </c>
      <c r="I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2.2737367544323206E-13</v>
      </c>
      <c r="O91" s="14">
        <f>N91*VLOOKUP('Données projet'!$B$9,Paramètres!$A$1:$I$89,3,0)*VLOOKUP('Données projet'!$B$9,Paramètres!$A$1:$I$89,5,0)</f>
        <v>1.2710188457276673E-13</v>
      </c>
      <c r="P91" s="14">
        <f t="shared" si="87"/>
        <v>1.856866851063998E-12</v>
      </c>
      <c r="Q91" s="22">
        <f t="shared" si="54"/>
        <v>3.4554122145673649E-12</v>
      </c>
      <c r="R91" s="62">
        <f t="shared" si="55"/>
        <v>293.33333333333678</v>
      </c>
      <c r="S91" s="62">
        <f ca="1">AVERAGE(OFFSET($R$3,0,0,'Données projet'!$E$9+1,1))-AVERAGE(OFFSET($H$3,0,0,'Données projet'!$E$9+1,1))</f>
        <v>323.98185264074681</v>
      </c>
      <c r="T91" s="62">
        <f t="shared" si="88"/>
        <v>301.22207291854005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1.4148522942301476</v>
      </c>
      <c r="AA91" s="23">
        <f>EXP(-LN(2)/25)*AA90+(1-EXP(-LN(2)/25))/(LN(2)/25)*Calculateur!V91*Calculateur!X91*VLOOKUP('Données projet'!$B$9,Paramètres!$A$1:$I$89,3,0)*0.475*44/12</f>
        <v>1.651665828481572</v>
      </c>
      <c r="AB91" s="23">
        <f>EXP(-LN(2)/2)*AB90+(1-EXP(-LN(2)/2))/(LN(2)/2)*V91*Y91*VLOOKUP('Données projet'!$B$9,Paramètres!$A$1:$I$89,3,0)*0.475*44/12</f>
        <v>1.13394245125689E-8</v>
      </c>
      <c r="AC91" s="24">
        <f t="shared" si="57"/>
        <v>3.0665181340511438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-2.8421709430404007E-13</v>
      </c>
      <c r="AJ91" s="14">
        <f>AI91*VLOOKUP('Données projet'!$B$10,Paramètres!$A$1:$I$89,3,0)*VLOOKUP('Données projet'!$B$10,Paramètres!$A$1:$I$89,5,0)</f>
        <v>-1.69961822393816E-13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289.12367833861299</v>
      </c>
      <c r="AO91" s="62">
        <f t="shared" si="90"/>
        <v>229.06617320689003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7.7240822427448807E-9</v>
      </c>
      <c r="AX91" s="23">
        <f t="shared" si="60"/>
        <v>7.7240822427448807E-9</v>
      </c>
      <c r="AY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5.6</v>
      </c>
      <c r="BD91" s="13">
        <f>IF('Données projet'!$A$88&gt;35,BD90+BC91-BL90,IF(A91&lt;'Données projet'!$A$88,$BA$205^A91,IF(A91='Données projet'!$A$88,'Données projet'!$B$88,BD90+BC91-BL90)))</f>
        <v>284.8</v>
      </c>
      <c r="BE91" s="14">
        <f>BD91*VLOOKUP('Données projet'!$B$11,Paramètres!$A$1:$I$89,3,0)*VLOOKUP('Données projet'!$B$11,Paramètres!$A$1:$I$89,5,0)</f>
        <v>257.68704000000002</v>
      </c>
      <c r="BF91" s="14">
        <f t="shared" si="91"/>
        <v>62.229092239243343</v>
      </c>
      <c r="BG91" s="22">
        <f t="shared" si="61"/>
        <v>557.18726365001555</v>
      </c>
      <c r="BH91" s="62">
        <f t="shared" si="62"/>
        <v>850.52059698334892</v>
      </c>
      <c r="BI91" s="62">
        <f ca="1">AVERAGE(OFFSET($BH$3,0,0,'Données projet'!$E$11+1,1))-AVERAGE(OFFSET($H$3,0,0,'Données projet'!$E$11+1,1))</f>
        <v>428.8489304403459</v>
      </c>
      <c r="BJ91" s="62">
        <f t="shared" si="92"/>
        <v>247.01165577562966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-1.7053025658242404E-13</v>
      </c>
      <c r="BZ91" s="14">
        <f>BY91*VLOOKUP('Données projet'!$B$12,Paramètres!$A$1:$I$89,3,0)*VLOOKUP('Données projet'!$B$12,Paramètres!$A$1:$I$89,5,0)</f>
        <v>-1.250327841262333E-13</v>
      </c>
      <c r="CA91" s="14" t="e">
        <f t="shared" si="93"/>
        <v>#NUM!</v>
      </c>
      <c r="CB91" s="22" t="e">
        <f t="shared" si="64"/>
        <v>#NUM!</v>
      </c>
      <c r="CC91" s="62" t="e">
        <f t="shared" si="65"/>
        <v>#NUM!</v>
      </c>
      <c r="CD91" s="62">
        <f ca="1">AVERAGE(OFFSET($CC$3,0,0,'Données projet'!$E$12+1,1))-AVERAGE(OFFSET($H$3,0,0,'Données projet'!$E$12+1,1))</f>
        <v>290.85271051443431</v>
      </c>
      <c r="CE91" s="62">
        <f t="shared" si="94"/>
        <v>318.66958823451142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1.1368683772161603E-13</v>
      </c>
      <c r="CU91" s="18">
        <f>CT91*VLOOKUP('Données projet'!$B$13,Paramètres!$A$1:$I$89,3,0)*VLOOKUP('Données projet'!$B$13,Paramètres!$A$1:$I$89,5,0)</f>
        <v>8.8675733422860506E-14</v>
      </c>
      <c r="CV91" s="14">
        <f t="shared" si="95"/>
        <v>1.3509285393066301E-12</v>
      </c>
      <c r="CW91" s="22">
        <f t="shared" si="67"/>
        <v>2.5073107750038623E-12</v>
      </c>
      <c r="CX91" s="62">
        <f t="shared" si="68"/>
        <v>293.33333333333582</v>
      </c>
      <c r="CY91" s="62">
        <f ca="1">AVERAGE(OFFSET($CX$3,0,0,'Données projet'!$E$13+1,1))-AVERAGE(OFFSET($H$3,0,0,'Données projet'!$E$13+1,1))</f>
        <v>292.57482726862594</v>
      </c>
      <c r="CZ91" s="62">
        <f t="shared" si="96"/>
        <v>283.48738729114024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-1.7053025658242404E-13</v>
      </c>
      <c r="DP91" s="18">
        <f>DO91*VLOOKUP('Données projet'!$B$14,Paramètres!$A$1:$I$89,3,0)*VLOOKUP('Données projet'!$B$14,Paramètres!$A$1:$I$89,5,0)</f>
        <v>-1.3567387213697657E-13</v>
      </c>
      <c r="DQ91" s="14" t="e">
        <f t="shared" si="97"/>
        <v>#NUM!</v>
      </c>
      <c r="DR91" s="22" t="e">
        <f t="shared" si="70"/>
        <v>#NUM!</v>
      </c>
      <c r="DS91" s="62" t="e">
        <f t="shared" si="71"/>
        <v>#NUM!</v>
      </c>
      <c r="DT91" s="62">
        <f ca="1">AVERAGE(OFFSET($DS$3,0,0,'Données projet'!$E$14+1,1))-AVERAGE(OFFSET($H$3,0,0,'Données projet'!$E$14+1,1))</f>
        <v>312.53381881960331</v>
      </c>
      <c r="DU91" s="62">
        <f t="shared" si="98"/>
        <v>342.06887933351783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3.5897435897435912</v>
      </c>
      <c r="EJ91" s="13">
        <f>IF('Données projet'!$A$192&gt;35,EJ90+EI91-ER90,IF(A91&lt;'Données projet'!$A$192,$EG$205^A91,IF(A91='Données projet'!$A$192,'Données projet'!$B$192,EJ90+EI91-ER90)))</f>
        <v>229.99999999999991</v>
      </c>
      <c r="EK91" s="18">
        <f>EJ91*VLOOKUP('Données projet'!$B$15,Paramètres!$A$1:$I$89,3,0)*VLOOKUP('Données projet'!$B$15,Paramètres!$A$1:$I$89,5,0)</f>
        <v>218.86799999999994</v>
      </c>
      <c r="EL91" s="14">
        <f t="shared" si="99"/>
        <v>53.868777293257502</v>
      </c>
      <c r="EM91" s="22">
        <f t="shared" si="73"/>
        <v>475.01655378575668</v>
      </c>
      <c r="EN91" s="62">
        <f t="shared" si="74"/>
        <v>768.34988711909</v>
      </c>
      <c r="EO91" s="62">
        <f ca="1">AVERAGE(OFFSET($EN$3,0,0,'Données projet'!$E$15+1,1))-AVERAGE(OFFSET($H$3,0,0,'Données projet'!$E$15+1,1))</f>
        <v>363.37916970915211</v>
      </c>
      <c r="EP91" s="62">
        <f t="shared" si="100"/>
        <v>281.52963027844595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8.1205128205128201</v>
      </c>
      <c r="FE91" s="13">
        <f>IF('Données projet'!$A$218&gt;35,FE90+FD91-FM90,IF(A91&lt;'Données projet'!$A$218,$FB$205^A91,IF(A91='Données projet'!$A$218,'Données projet'!$B$218,FE90+FD91-FM90)))</f>
        <v>308.32051282051231</v>
      </c>
      <c r="FF91" s="18">
        <f>FE91*VLOOKUP('Données projet'!$B$16,Paramètres!$A$1:$I$89,3,0)*VLOOKUP('Données projet'!$B$16,Paramètres!$A$1:$I$89,5,0)</f>
        <v>144.29399999999976</v>
      </c>
      <c r="FG91" s="14">
        <f t="shared" si="101"/>
        <v>37.278964348289335</v>
      </c>
      <c r="FH91" s="22">
        <f t="shared" si="76"/>
        <v>316.23957957327008</v>
      </c>
      <c r="FI91" s="62">
        <f t="shared" si="77"/>
        <v>609.57291290660339</v>
      </c>
      <c r="FJ91" s="62">
        <f ca="1">AVERAGE(OFFSET($FI$3,0,0,'Données projet'!$E$16+1,1))-AVERAGE(OFFSET($H$3,0,0,'Données projet'!$E$16+1,1))</f>
        <v>245.47494516762282</v>
      </c>
      <c r="FK91" s="62">
        <f t="shared" si="102"/>
        <v>145.54897745089966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5.6</v>
      </c>
      <c r="FZ91" s="13">
        <f>IF('Données projet'!$A$244&gt;35,FZ90+FY91-GH90,IF(A91&lt;'Données projet'!$A$244,$FW$205^A91,IF(A91='Données projet'!$A$244,'Données projet'!$B$244,FZ90+FY91-GH90)))</f>
        <v>284.8</v>
      </c>
      <c r="GA91" s="18">
        <f>FZ91*VLOOKUP('Données projet'!$B$17,Paramètres!$A$1:$I$89,3,0)*VLOOKUP('Données projet'!$B$17,Paramètres!$A$1:$I$89,5,0)</f>
        <v>275.45855999999998</v>
      </c>
      <c r="GB91" s="14">
        <f t="shared" si="103"/>
        <v>66.006360579066197</v>
      </c>
      <c r="GC91" s="22">
        <f t="shared" si="79"/>
        <v>594.71807000854017</v>
      </c>
      <c r="GD91" s="62">
        <f t="shared" si="80"/>
        <v>888.05140334187354</v>
      </c>
      <c r="GE91" s="62">
        <f ca="1">AVERAGE(OFFSET($GD$3,0,0,'Données projet'!$E$17+1,1))-AVERAGE(OFFSET($H$3,0,0,'Données projet'!$E$17+1,1))</f>
        <v>455.50822833641354</v>
      </c>
      <c r="GF91" s="62">
        <f t="shared" si="104"/>
        <v>261.14722581688039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3.8461538461538454</v>
      </c>
      <c r="GU91" s="13">
        <f>IF('Données projet'!$A$270&gt;35,GU90+GT91-HC90,IF(A91&lt;'Données projet'!$A$270,$GR$205^A91,IF(A91='Données projet'!$A$270,'Données projet'!$B$270,GU90+GT91-HC90)))</f>
        <v>287.82051282051287</v>
      </c>
      <c r="GV91" s="18">
        <f>GU91*VLOOKUP('Données projet'!$B$18,Paramètres!$A$1:$I$89,3,0)*VLOOKUP('Données projet'!$B$18,Paramètres!$A$1:$I$89,5,0)</f>
        <v>193.07000000000005</v>
      </c>
      <c r="GW91" s="14">
        <f t="shared" si="105"/>
        <v>48.218051794342536</v>
      </c>
      <c r="GX91" s="22">
        <f t="shared" si="82"/>
        <v>420.24335687514667</v>
      </c>
      <c r="GY91" s="62">
        <f t="shared" si="83"/>
        <v>713.57669020847993</v>
      </c>
      <c r="GZ91" s="62">
        <f ca="1">AVERAGE(OFFSET($GY$3,0,0,'Données projet'!$E$18+1,1))-AVERAGE(OFFSET($H$3,0,0,'Données projet'!$E$18+1,1))</f>
        <v>312.06797204903796</v>
      </c>
      <c r="HA91" s="62">
        <f t="shared" si="106"/>
        <v>258.20189001775151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projet'!$B$18,Paramètres!$A$1:$I$89,3,0)*0.475*44/12</f>
        <v>0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84"/>
        <v>0</v>
      </c>
    </row>
    <row r="92" spans="1:218" s="5" customFormat="1" x14ac:dyDescent="0.25">
      <c r="A92" s="11">
        <f t="shared" si="85"/>
        <v>89</v>
      </c>
      <c r="B92" s="76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9">
        <f t="shared" si="56"/>
        <v>256.66666666666669</v>
      </c>
      <c r="I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2.2737367544323206E-13</v>
      </c>
      <c r="O92" s="14">
        <f>N92*VLOOKUP('Données projet'!$B$9,Paramètres!$A$1:$I$89,3,0)*VLOOKUP('Données projet'!$B$9,Paramètres!$A$1:$I$89,5,0)</f>
        <v>1.2710188457276673E-13</v>
      </c>
      <c r="P92" s="14">
        <f t="shared" si="87"/>
        <v>1.856866851063998E-12</v>
      </c>
      <c r="Q92" s="22">
        <f t="shared" si="54"/>
        <v>3.4554122145673649E-12</v>
      </c>
      <c r="R92" s="62">
        <f t="shared" si="55"/>
        <v>293.33333333333678</v>
      </c>
      <c r="S92" s="62">
        <f ca="1">AVERAGE(OFFSET($R$3,0,0,'Données projet'!$E$9+1,1))-AVERAGE(OFFSET($H$3,0,0,'Données projet'!$E$9+1,1))</f>
        <v>323.98185264074681</v>
      </c>
      <c r="T92" s="62">
        <f t="shared" si="88"/>
        <v>301.22207291854005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1.3871079037149823</v>
      </c>
      <c r="AA92" s="23">
        <f>EXP(-LN(2)/25)*AA91+(1-EXP(-LN(2)/25))/(LN(2)/25)*Calculateur!V92*Calculateur!X92*VLOOKUP('Données projet'!$B$9,Paramètres!$A$1:$I$89,3,0)*0.475*44/12</f>
        <v>1.6065009395444123</v>
      </c>
      <c r="AB92" s="23">
        <f>EXP(-LN(2)/2)*AB91+(1-EXP(-LN(2)/2))/(LN(2)/2)*V92*Y92*VLOOKUP('Données projet'!$B$9,Paramètres!$A$1:$I$89,3,0)*0.475*44/12</f>
        <v>8.0181839675904301E-9</v>
      </c>
      <c r="AC92" s="24">
        <f t="shared" si="57"/>
        <v>2.9936088512775787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-2.8421709430404007E-13</v>
      </c>
      <c r="AJ92" s="14">
        <f>AI92*VLOOKUP('Données projet'!$B$10,Paramètres!$A$1:$I$89,3,0)*VLOOKUP('Données projet'!$B$10,Paramètres!$A$1:$I$89,5,0)</f>
        <v>-1.69961822393816E-13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289.12367833861299</v>
      </c>
      <c r="AO92" s="62">
        <f t="shared" si="90"/>
        <v>229.06617320689003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5.4617509322875017E-9</v>
      </c>
      <c r="AX92" s="23">
        <f t="shared" si="60"/>
        <v>5.4617509322875017E-9</v>
      </c>
      <c r="AY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5.6</v>
      </c>
      <c r="BD92" s="13">
        <f>IF('Données projet'!$A$88&gt;35,BD91+BC92-BL91,IF(A92&lt;'Données projet'!$A$88,$BA$205^A92,IF(A92='Données projet'!$A$88,'Données projet'!$B$88,BD91+BC92-BL91)))</f>
        <v>290.40000000000003</v>
      </c>
      <c r="BE92" s="14">
        <f>BD92*VLOOKUP('Données projet'!$B$11,Paramètres!$A$1:$I$89,3,0)*VLOOKUP('Données projet'!$B$11,Paramètres!$A$1:$I$89,5,0)</f>
        <v>262.75392000000005</v>
      </c>
      <c r="BF92" s="14">
        <f t="shared" si="91"/>
        <v>63.309041956360382</v>
      </c>
      <c r="BG92" s="22">
        <f t="shared" si="61"/>
        <v>567.89299207399438</v>
      </c>
      <c r="BH92" s="62">
        <f t="shared" si="62"/>
        <v>861.22632540732775</v>
      </c>
      <c r="BI92" s="62">
        <f ca="1">AVERAGE(OFFSET($BH$3,0,0,'Données projet'!$E$11+1,1))-AVERAGE(OFFSET($H$3,0,0,'Données projet'!$E$11+1,1))</f>
        <v>428.8489304403459</v>
      </c>
      <c r="BJ92" s="62">
        <f t="shared" si="92"/>
        <v>247.01165577562966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-1.7053025658242404E-13</v>
      </c>
      <c r="BZ92" s="14">
        <f>BY92*VLOOKUP('Données projet'!$B$12,Paramètres!$A$1:$I$89,3,0)*VLOOKUP('Données projet'!$B$12,Paramètres!$A$1:$I$89,5,0)</f>
        <v>-1.250327841262333E-13</v>
      </c>
      <c r="CA92" s="14" t="e">
        <f t="shared" si="93"/>
        <v>#NUM!</v>
      </c>
      <c r="CB92" s="22" t="e">
        <f t="shared" si="64"/>
        <v>#NUM!</v>
      </c>
      <c r="CC92" s="62" t="e">
        <f t="shared" si="65"/>
        <v>#NUM!</v>
      </c>
      <c r="CD92" s="62">
        <f ca="1">AVERAGE(OFFSET($CC$3,0,0,'Données projet'!$E$12+1,1))-AVERAGE(OFFSET($H$3,0,0,'Données projet'!$E$12+1,1))</f>
        <v>290.85271051443431</v>
      </c>
      <c r="CE92" s="62">
        <f t="shared" si="94"/>
        <v>318.66958823451142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1.1368683772161603E-13</v>
      </c>
      <c r="CU92" s="18">
        <f>CT92*VLOOKUP('Données projet'!$B$13,Paramètres!$A$1:$I$89,3,0)*VLOOKUP('Données projet'!$B$13,Paramètres!$A$1:$I$89,5,0)</f>
        <v>8.8675733422860506E-14</v>
      </c>
      <c r="CV92" s="14">
        <f t="shared" si="95"/>
        <v>1.3509285393066301E-12</v>
      </c>
      <c r="CW92" s="22">
        <f t="shared" si="67"/>
        <v>2.5073107750038623E-12</v>
      </c>
      <c r="CX92" s="62">
        <f t="shared" si="68"/>
        <v>293.33333333333582</v>
      </c>
      <c r="CY92" s="62">
        <f ca="1">AVERAGE(OFFSET($CX$3,0,0,'Données projet'!$E$13+1,1))-AVERAGE(OFFSET($H$3,0,0,'Données projet'!$E$13+1,1))</f>
        <v>292.57482726862594</v>
      </c>
      <c r="CZ92" s="62">
        <f t="shared" si="96"/>
        <v>283.48738729114024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-1.7053025658242404E-13</v>
      </c>
      <c r="DP92" s="18">
        <f>DO92*VLOOKUP('Données projet'!$B$14,Paramètres!$A$1:$I$89,3,0)*VLOOKUP('Données projet'!$B$14,Paramètres!$A$1:$I$89,5,0)</f>
        <v>-1.3567387213697657E-13</v>
      </c>
      <c r="DQ92" s="14" t="e">
        <f t="shared" si="97"/>
        <v>#NUM!</v>
      </c>
      <c r="DR92" s="22" t="e">
        <f t="shared" si="70"/>
        <v>#NUM!</v>
      </c>
      <c r="DS92" s="62" t="e">
        <f t="shared" si="71"/>
        <v>#NUM!</v>
      </c>
      <c r="DT92" s="62">
        <f ca="1">AVERAGE(OFFSET($DS$3,0,0,'Données projet'!$E$14+1,1))-AVERAGE(OFFSET($H$3,0,0,'Données projet'!$E$14+1,1))</f>
        <v>312.53381881960331</v>
      </c>
      <c r="DU92" s="62">
        <f t="shared" si="98"/>
        <v>342.06887933351783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3.5897435897435912</v>
      </c>
      <c r="EJ92" s="13">
        <f>IF('Données projet'!$A$192&gt;35,EJ91+EI92-ER91,IF(A92&lt;'Données projet'!$A$192,$EG$205^A92,IF(A92='Données projet'!$A$192,'Données projet'!$B$192,EJ91+EI92-ER91)))</f>
        <v>233.58974358974351</v>
      </c>
      <c r="EK92" s="18">
        <f>EJ92*VLOOKUP('Données projet'!$B$15,Paramètres!$A$1:$I$89,3,0)*VLOOKUP('Données projet'!$B$15,Paramètres!$A$1:$I$89,5,0)</f>
        <v>222.28399999999993</v>
      </c>
      <c r="EL92" s="14">
        <f t="shared" si="99"/>
        <v>54.611003042838703</v>
      </c>
      <c r="EM92" s="22">
        <f t="shared" si="73"/>
        <v>482.25879696627726</v>
      </c>
      <c r="EN92" s="62">
        <f t="shared" si="74"/>
        <v>775.59213029961052</v>
      </c>
      <c r="EO92" s="62">
        <f ca="1">AVERAGE(OFFSET($EN$3,0,0,'Données projet'!$E$15+1,1))-AVERAGE(OFFSET($H$3,0,0,'Données projet'!$E$15+1,1))</f>
        <v>363.37916970915211</v>
      </c>
      <c r="EP92" s="62">
        <f t="shared" si="100"/>
        <v>281.52963027844595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8.1205128205128201</v>
      </c>
      <c r="FE92" s="13">
        <f>IF('Données projet'!$A$218&gt;35,FE91+FD92-FM91,IF(A92&lt;'Données projet'!$A$218,$FB$205^A92,IF(A92='Données projet'!$A$218,'Données projet'!$B$218,FE91+FD92-FM91)))</f>
        <v>316.44102564102513</v>
      </c>
      <c r="FF92" s="18">
        <f>FE92*VLOOKUP('Données projet'!$B$16,Paramètres!$A$1:$I$89,3,0)*VLOOKUP('Données projet'!$B$16,Paramètres!$A$1:$I$89,5,0)</f>
        <v>148.09439999999975</v>
      </c>
      <c r="FG92" s="14">
        <f t="shared" si="101"/>
        <v>38.145209470220848</v>
      </c>
      <c r="FH92" s="22">
        <f t="shared" si="76"/>
        <v>324.36731982730089</v>
      </c>
      <c r="FI92" s="62">
        <f t="shared" si="77"/>
        <v>617.70065316063415</v>
      </c>
      <c r="FJ92" s="62">
        <f ca="1">AVERAGE(OFFSET($FI$3,0,0,'Données projet'!$E$16+1,1))-AVERAGE(OFFSET($H$3,0,0,'Données projet'!$E$16+1,1))</f>
        <v>245.47494516762282</v>
      </c>
      <c r="FK92" s="62">
        <f t="shared" si="102"/>
        <v>145.54897745089966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5.6</v>
      </c>
      <c r="FZ92" s="13">
        <f>IF('Données projet'!$A$244&gt;35,FZ91+FY92-GH91,IF(A92&lt;'Données projet'!$A$244,$FW$205^A92,IF(A92='Données projet'!$A$244,'Données projet'!$B$244,FZ91+FY92-GH91)))</f>
        <v>290.40000000000003</v>
      </c>
      <c r="GA92" s="18">
        <f>FZ92*VLOOKUP('Données projet'!$B$17,Paramètres!$A$1:$I$89,3,0)*VLOOKUP('Données projet'!$B$17,Paramètres!$A$1:$I$89,5,0)</f>
        <v>280.87488000000008</v>
      </c>
      <c r="GB92" s="14">
        <f t="shared" si="103"/>
        <v>67.151862592195855</v>
      </c>
      <c r="GC92" s="22">
        <f t="shared" si="79"/>
        <v>606.14657668140785</v>
      </c>
      <c r="GD92" s="62">
        <f t="shared" si="80"/>
        <v>899.47991001474111</v>
      </c>
      <c r="GE92" s="62">
        <f ca="1">AVERAGE(OFFSET($GD$3,0,0,'Données projet'!$E$17+1,1))-AVERAGE(OFFSET($H$3,0,0,'Données projet'!$E$17+1,1))</f>
        <v>455.50822833641354</v>
      </c>
      <c r="GF92" s="62">
        <f t="shared" si="104"/>
        <v>261.14722581688039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3.8461538461538454</v>
      </c>
      <c r="GU92" s="13">
        <f>IF('Données projet'!$A$270&gt;35,GU91+GT92-HC91,IF(A92&lt;'Données projet'!$A$270,$GR$205^A92,IF(A92='Données projet'!$A$270,'Données projet'!$B$270,GU91+GT92-HC91)))</f>
        <v>291.66666666666674</v>
      </c>
      <c r="GV92" s="18">
        <f>GU92*VLOOKUP('Données projet'!$B$18,Paramètres!$A$1:$I$89,3,0)*VLOOKUP('Données projet'!$B$18,Paramètres!$A$1:$I$89,5,0)</f>
        <v>195.65000000000006</v>
      </c>
      <c r="GW92" s="14">
        <f t="shared" si="105"/>
        <v>48.786949327182981</v>
      </c>
      <c r="GX92" s="22">
        <f t="shared" si="82"/>
        <v>425.72768674484382</v>
      </c>
      <c r="GY92" s="62">
        <f t="shared" si="83"/>
        <v>719.06102007817708</v>
      </c>
      <c r="GZ92" s="62">
        <f ca="1">AVERAGE(OFFSET($GY$3,0,0,'Données projet'!$E$18+1,1))-AVERAGE(OFFSET($H$3,0,0,'Données projet'!$E$18+1,1))</f>
        <v>312.06797204903796</v>
      </c>
      <c r="HA92" s="62">
        <f t="shared" si="106"/>
        <v>258.20189001775151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projet'!$B$18,Paramètres!$A$1:$I$89,3,0)*0.475*44/12</f>
        <v>0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84"/>
        <v>0</v>
      </c>
    </row>
    <row r="93" spans="1:218" s="5" customFormat="1" x14ac:dyDescent="0.25">
      <c r="A93" s="11">
        <f t="shared" si="85"/>
        <v>90</v>
      </c>
      <c r="B93" s="76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9">
        <f t="shared" si="56"/>
        <v>256.66666666666669</v>
      </c>
      <c r="I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2.2737367544323206E-13</v>
      </c>
      <c r="O93" s="14">
        <f>N93*VLOOKUP('Données projet'!$B$9,Paramètres!$A$1:$I$89,3,0)*VLOOKUP('Données projet'!$B$9,Paramètres!$A$1:$I$89,5,0)</f>
        <v>1.2710188457276673E-13</v>
      </c>
      <c r="P93" s="14">
        <f t="shared" si="87"/>
        <v>1.856866851063998E-12</v>
      </c>
      <c r="Q93" s="22">
        <f t="shared" si="54"/>
        <v>3.4554122145673649E-12</v>
      </c>
      <c r="R93" s="62">
        <f t="shared" si="55"/>
        <v>293.33333333333678</v>
      </c>
      <c r="S93" s="62">
        <f ca="1">AVERAGE(OFFSET($R$3,0,0,'Données projet'!$E$9+1,1))-AVERAGE(OFFSET($H$3,0,0,'Données projet'!$E$9+1,1))</f>
        <v>323.98185264074681</v>
      </c>
      <c r="T93" s="62">
        <f t="shared" si="88"/>
        <v>301.22207291854005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1.3599075637754121</v>
      </c>
      <c r="AA93" s="23">
        <f>EXP(-LN(2)/25)*AA92+(1-EXP(-LN(2)/25))/(LN(2)/25)*Calculateur!V93*Calculateur!X93*VLOOKUP('Données projet'!$B$9,Paramètres!$A$1:$I$89,3,0)*0.475*44/12</f>
        <v>1.5625710868703577</v>
      </c>
      <c r="AB93" s="23">
        <f>EXP(-LN(2)/2)*AB92+(1-EXP(-LN(2)/2))/(LN(2)/2)*V93*Y93*VLOOKUP('Données projet'!$B$9,Paramètres!$A$1:$I$89,3,0)*0.475*44/12</f>
        <v>5.6697122562844499E-9</v>
      </c>
      <c r="AC93" s="24">
        <f t="shared" si="57"/>
        <v>2.9224786563154823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-2.8421709430404007E-13</v>
      </c>
      <c r="AJ93" s="14">
        <f>AI93*VLOOKUP('Données projet'!$B$10,Paramètres!$A$1:$I$89,3,0)*VLOOKUP('Données projet'!$B$10,Paramètres!$A$1:$I$89,5,0)</f>
        <v>-1.69961822393816E-13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289.12367833861299</v>
      </c>
      <c r="AO93" s="62">
        <f t="shared" si="90"/>
        <v>229.06617320689003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3.8620411213724403E-9</v>
      </c>
      <c r="AX93" s="23">
        <f t="shared" si="60"/>
        <v>3.8620411213724403E-9</v>
      </c>
      <c r="AY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296</v>
      </c>
      <c r="BB93" s="13">
        <f>VLOOKUP(A93,'Données projet'!$A$87:$I$107,9,0)</f>
        <v>5.6</v>
      </c>
      <c r="BC93" s="13">
        <f t="array" ref="BC93">INDEX(BB:BB,MIN(IF(ISNUMBER(BB93:BB289),ROW(BB93:BB289),"")))</f>
        <v>5.6</v>
      </c>
      <c r="BD93" s="13">
        <f>IF('Données projet'!$A$88&gt;35,BD92+BC93-BL92,IF(A93&lt;'Données projet'!$A$88,$BA$205^A93,IF(A93='Données projet'!$A$88,'Données projet'!$B$88,BD92+BC93-BL92)))</f>
        <v>296.00000000000006</v>
      </c>
      <c r="BE93" s="14">
        <f>BD93*VLOOKUP('Données projet'!$B$11,Paramètres!$A$1:$I$89,3,0)*VLOOKUP('Données projet'!$B$11,Paramètres!$A$1:$I$89,5,0)</f>
        <v>267.82080000000008</v>
      </c>
      <c r="BF93" s="14">
        <f t="shared" si="91"/>
        <v>64.386570147897373</v>
      </c>
      <c r="BG93" s="22">
        <f t="shared" si="61"/>
        <v>578.59450300758806</v>
      </c>
      <c r="BH93" s="62">
        <f t="shared" si="62"/>
        <v>871.92783634092143</v>
      </c>
      <c r="BI93" s="62">
        <f ca="1">AVERAGE(OFFSET($BH$3,0,0,'Données projet'!$E$11+1,1))-AVERAGE(OFFSET($H$3,0,0,'Données projet'!$E$11+1,1))</f>
        <v>428.8489304403459</v>
      </c>
      <c r="BJ93" s="62">
        <f t="shared" si="92"/>
        <v>247.01165577562966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42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-1.7053025658242404E-13</v>
      </c>
      <c r="BZ93" s="14">
        <f>BY93*VLOOKUP('Données projet'!$B$12,Paramètres!$A$1:$I$89,3,0)*VLOOKUP('Données projet'!$B$12,Paramètres!$A$1:$I$89,5,0)</f>
        <v>-1.250327841262333E-13</v>
      </c>
      <c r="CA93" s="14" t="e">
        <f t="shared" si="93"/>
        <v>#NUM!</v>
      </c>
      <c r="CB93" s="22" t="e">
        <f t="shared" si="64"/>
        <v>#NUM!</v>
      </c>
      <c r="CC93" s="62" t="e">
        <f t="shared" si="65"/>
        <v>#NUM!</v>
      </c>
      <c r="CD93" s="62">
        <f ca="1">AVERAGE(OFFSET($CC$3,0,0,'Données projet'!$E$12+1,1))-AVERAGE(OFFSET($H$3,0,0,'Données projet'!$E$12+1,1))</f>
        <v>290.85271051443431</v>
      </c>
      <c r="CE93" s="62">
        <f t="shared" si="94"/>
        <v>318.66958823451142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1.1368683772161603E-13</v>
      </c>
      <c r="CU93" s="18">
        <f>CT93*VLOOKUP('Données projet'!$B$13,Paramètres!$A$1:$I$89,3,0)*VLOOKUP('Données projet'!$B$13,Paramètres!$A$1:$I$89,5,0)</f>
        <v>8.8675733422860506E-14</v>
      </c>
      <c r="CV93" s="14">
        <f t="shared" si="95"/>
        <v>1.3509285393066301E-12</v>
      </c>
      <c r="CW93" s="22">
        <f t="shared" si="67"/>
        <v>2.5073107750038623E-12</v>
      </c>
      <c r="CX93" s="62">
        <f t="shared" si="68"/>
        <v>293.33333333333582</v>
      </c>
      <c r="CY93" s="62">
        <f ca="1">AVERAGE(OFFSET($CX$3,0,0,'Données projet'!$E$13+1,1))-AVERAGE(OFFSET($H$3,0,0,'Données projet'!$E$13+1,1))</f>
        <v>292.57482726862594</v>
      </c>
      <c r="CZ93" s="62">
        <f t="shared" si="96"/>
        <v>283.48738729114024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-1.7053025658242404E-13</v>
      </c>
      <c r="DP93" s="18">
        <f>DO93*VLOOKUP('Données projet'!$B$14,Paramètres!$A$1:$I$89,3,0)*VLOOKUP('Données projet'!$B$14,Paramètres!$A$1:$I$89,5,0)</f>
        <v>-1.3567387213697657E-13</v>
      </c>
      <c r="DQ93" s="14" t="e">
        <f t="shared" si="97"/>
        <v>#NUM!</v>
      </c>
      <c r="DR93" s="22" t="e">
        <f t="shared" si="70"/>
        <v>#NUM!</v>
      </c>
      <c r="DS93" s="62" t="e">
        <f t="shared" si="71"/>
        <v>#NUM!</v>
      </c>
      <c r="DT93" s="62">
        <f ca="1">AVERAGE(OFFSET($DS$3,0,0,'Données projet'!$E$14+1,1))-AVERAGE(OFFSET($H$3,0,0,'Données projet'!$E$14+1,1))</f>
        <v>312.53381881960331</v>
      </c>
      <c r="DU93" s="62">
        <f t="shared" si="98"/>
        <v>342.06887933351783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237.17948717948718</v>
      </c>
      <c r="EH93" s="13">
        <f>VLOOKUP(A93,'Données projet'!$A$191:$I$211,9,0)</f>
        <v>3.5897435897435912</v>
      </c>
      <c r="EI93" s="13">
        <f t="array" ref="EI93">INDEX(EH:EH,MIN(IF(ISNUMBER(EH93:EH289),ROW(EH93:EH289),"")))</f>
        <v>3.5897435897435912</v>
      </c>
      <c r="EJ93" s="13">
        <f>IF('Données projet'!$A$192&gt;35,EJ92+EI93-ER92,IF(A93&lt;'Données projet'!$A$192,$EG$205^A93,IF(A93='Données projet'!$A$192,'Données projet'!$B$192,EJ92+EI93-ER92)))</f>
        <v>237.1794871794871</v>
      </c>
      <c r="EK93" s="18">
        <f>EJ93*VLOOKUP('Données projet'!$B$15,Paramètres!$A$1:$I$89,3,0)*VLOOKUP('Données projet'!$B$15,Paramètres!$A$1:$I$89,5,0)</f>
        <v>225.69999999999993</v>
      </c>
      <c r="EL93" s="14">
        <f t="shared" si="99"/>
        <v>55.351902227969966</v>
      </c>
      <c r="EM93" s="22">
        <f t="shared" si="73"/>
        <v>489.49872971371423</v>
      </c>
      <c r="EN93" s="62">
        <f t="shared" si="74"/>
        <v>782.83206304704754</v>
      </c>
      <c r="EO93" s="62">
        <f ca="1">AVERAGE(OFFSET($EN$3,0,0,'Données projet'!$E$15+1,1))-AVERAGE(OFFSET($H$3,0,0,'Données projet'!$E$15+1,1))</f>
        <v>363.37916970915211</v>
      </c>
      <c r="EP93" s="62">
        <f t="shared" si="100"/>
        <v>281.52963027844595</v>
      </c>
      <c r="EQ93" s="16">
        <f>IF(ISNA(VLOOKUP(A93,'Données projet'!$A$191:$I$211,3,0)),0,VLOOKUP(A93,'Données projet'!$A$191:$I$211,3,0))</f>
        <v>8</v>
      </c>
      <c r="ER93" s="16">
        <f>IF(ISNA(VLOOKUP(A93,'Données projet'!$A$191:$I$211,4,0)),0,VLOOKUP(A93,'Données projet'!$A$191:$I$211,4,0))</f>
        <v>25.641025641025639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8.1205128205128201</v>
      </c>
      <c r="FE93" s="13">
        <f>IF('Données projet'!$A$218&gt;35,FE92+FD93-FM92,IF(A93&lt;'Données projet'!$A$218,$FB$205^A93,IF(A93='Données projet'!$A$218,'Données projet'!$B$218,FE92+FD93-FM92)))</f>
        <v>324.56153846153796</v>
      </c>
      <c r="FF93" s="18">
        <f>FE93*VLOOKUP('Données projet'!$B$16,Paramètres!$A$1:$I$89,3,0)*VLOOKUP('Données projet'!$B$16,Paramètres!$A$1:$I$89,5,0)</f>
        <v>151.89479999999978</v>
      </c>
      <c r="FG93" s="14">
        <f t="shared" si="101"/>
        <v>39.008870628729497</v>
      </c>
      <c r="FH93" s="22">
        <f t="shared" si="76"/>
        <v>332.49055967837018</v>
      </c>
      <c r="FI93" s="62">
        <f t="shared" si="77"/>
        <v>625.82389301170349</v>
      </c>
      <c r="FJ93" s="62">
        <f ca="1">AVERAGE(OFFSET($FI$3,0,0,'Données projet'!$E$16+1,1))-AVERAGE(OFFSET($H$3,0,0,'Données projet'!$E$16+1,1))</f>
        <v>245.47494516762282</v>
      </c>
      <c r="FK93" s="62">
        <f t="shared" si="102"/>
        <v>145.54897745089966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>
        <f>VLOOKUP(A93,'Données projet'!$A$243:$I$263,2,0)</f>
        <v>296</v>
      </c>
      <c r="FX93" s="13">
        <f>VLOOKUP(A93,'Données projet'!$A$243:$I$263,9,0)</f>
        <v>5.6</v>
      </c>
      <c r="FY93" s="13">
        <f t="array" ref="FY93">INDEX(FX:FX,MIN(IF(ISNUMBER(FX93:FX289),ROW(FX93:FX289),"")))</f>
        <v>5.6</v>
      </c>
      <c r="FZ93" s="13">
        <f>IF('Données projet'!$A$244&gt;35,FZ92+FY93-GH92,IF(A93&lt;'Données projet'!$A$244,$FW$205^A93,IF(A93='Données projet'!$A$244,'Données projet'!$B$244,FZ92+FY93-GH92)))</f>
        <v>296.00000000000006</v>
      </c>
      <c r="GA93" s="18">
        <f>FZ93*VLOOKUP('Données projet'!$B$17,Paramètres!$A$1:$I$89,3,0)*VLOOKUP('Données projet'!$B$17,Paramètres!$A$1:$I$89,5,0)</f>
        <v>286.29120000000006</v>
      </c>
      <c r="GB93" s="14">
        <f t="shared" si="103"/>
        <v>68.294796094604408</v>
      </c>
      <c r="GC93" s="22">
        <f t="shared" si="79"/>
        <v>617.57060986476938</v>
      </c>
      <c r="GD93" s="62">
        <f t="shared" si="80"/>
        <v>910.90394319810275</v>
      </c>
      <c r="GE93" s="62">
        <f ca="1">AVERAGE(OFFSET($GD$3,0,0,'Données projet'!$E$17+1,1))-AVERAGE(OFFSET($H$3,0,0,'Données projet'!$E$17+1,1))</f>
        <v>455.50822833641354</v>
      </c>
      <c r="GF93" s="62">
        <f t="shared" si="104"/>
        <v>261.14722581688039</v>
      </c>
      <c r="GG93" s="16">
        <f>IF(ISNA(VLOOKUP(A93,'Données projet'!$A$243:$I$263,3,0)),0,VLOOKUP(A93,'Données projet'!$A$243:$I$263,3,0))</f>
        <v>7</v>
      </c>
      <c r="GH93" s="16">
        <f>IF(ISNA(VLOOKUP(A93,'Données projet'!$A$243:$I$263,4,0)),0,VLOOKUP(A93,'Données projet'!$A$243:$I$263,4,0))</f>
        <v>42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>
        <f>VLOOKUP(A93,'Données projet'!$A$269:$I$289,2,0)</f>
        <v>295.5128205128205</v>
      </c>
      <c r="GS93" s="13">
        <f>VLOOKUP(A93,'Données projet'!$A$269:$I$289,9,0)</f>
        <v>3.8461538461538454</v>
      </c>
      <c r="GT93" s="13">
        <f t="array" ref="GT93">INDEX(GS:GS,MIN(IF(ISNUMBER(GS93:GS289),ROW(GS93:GS289),"")))</f>
        <v>3.8461538461538454</v>
      </c>
      <c r="GU93" s="13">
        <f>IF('Données projet'!$A$270&gt;35,GU92+GT93-HC92,IF(A93&lt;'Données projet'!$A$270,$GR$205^A93,IF(A93='Données projet'!$A$270,'Données projet'!$B$270,GU92+GT93-HC92)))</f>
        <v>295.51282051282061</v>
      </c>
      <c r="GV93" s="18">
        <f>GU93*VLOOKUP('Données projet'!$B$18,Paramètres!$A$1:$I$89,3,0)*VLOOKUP('Données projet'!$B$18,Paramètres!$A$1:$I$89,5,0)</f>
        <v>198.23000000000008</v>
      </c>
      <c r="GW93" s="14">
        <f t="shared" si="105"/>
        <v>49.354974276661508</v>
      </c>
      <c r="GX93" s="22">
        <f t="shared" si="82"/>
        <v>431.21049686518558</v>
      </c>
      <c r="GY93" s="62">
        <f t="shared" si="83"/>
        <v>724.54383019851889</v>
      </c>
      <c r="GZ93" s="62">
        <f ca="1">AVERAGE(OFFSET($GY$3,0,0,'Données projet'!$E$18+1,1))-AVERAGE(OFFSET($H$3,0,0,'Données projet'!$E$18+1,1))</f>
        <v>312.06797204903796</v>
      </c>
      <c r="HA93" s="62">
        <f t="shared" si="106"/>
        <v>258.20189001775151</v>
      </c>
      <c r="HB93" s="16">
        <f>IF(ISNA(VLOOKUP(A93,'Données projet'!$A$269:$I$289,3,0)),0,VLOOKUP(A93,'Données projet'!$A$269:$I$289,3,0))</f>
        <v>8</v>
      </c>
      <c r="HC93" s="16">
        <f>IF(ISNA(VLOOKUP(A93,'Données projet'!$A$269:$I$289,4,0)),0,VLOOKUP(A93,'Données projet'!$A$269:$I$289,4,0))</f>
        <v>24.358974358974358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projet'!$B$18,Paramètres!$A$1:$I$89,3,0)*0.475*44/12</f>
        <v>0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84"/>
        <v>0</v>
      </c>
    </row>
    <row r="94" spans="1:218" s="5" customFormat="1" x14ac:dyDescent="0.25">
      <c r="A94" s="11">
        <f t="shared" si="85"/>
        <v>91</v>
      </c>
      <c r="B94" s="76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9">
        <f t="shared" si="56"/>
        <v>256.66666666666669</v>
      </c>
      <c r="I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2.2737367544323206E-13</v>
      </c>
      <c r="O94" s="14">
        <f>N94*VLOOKUP('Données projet'!$B$9,Paramètres!$A$1:$I$89,3,0)*VLOOKUP('Données projet'!$B$9,Paramètres!$A$1:$I$89,5,0)</f>
        <v>1.2710188457276673E-13</v>
      </c>
      <c r="P94" s="14">
        <f t="shared" si="87"/>
        <v>1.856866851063998E-12</v>
      </c>
      <c r="Q94" s="22">
        <f t="shared" si="54"/>
        <v>3.4554122145673649E-12</v>
      </c>
      <c r="R94" s="62">
        <f t="shared" si="55"/>
        <v>293.33333333333678</v>
      </c>
      <c r="S94" s="62">
        <f ca="1">AVERAGE(OFFSET($R$3,0,0,'Données projet'!$E$9+1,1))-AVERAGE(OFFSET($H$3,0,0,'Données projet'!$E$9+1,1))</f>
        <v>323.98185264074681</v>
      </c>
      <c r="T94" s="62">
        <f t="shared" si="88"/>
        <v>301.22207291854005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1.3332406059114876</v>
      </c>
      <c r="AA94" s="23">
        <f>EXP(-LN(2)/25)*AA93+(1-EXP(-LN(2)/25))/(LN(2)/25)*Calculateur!V94*Calculateur!X94*VLOOKUP('Données projet'!$B$9,Paramètres!$A$1:$I$89,3,0)*0.475*44/12</f>
        <v>1.5198424983278456</v>
      </c>
      <c r="AB94" s="23">
        <f>EXP(-LN(2)/2)*AB93+(1-EXP(-LN(2)/2))/(LN(2)/2)*V94*Y94*VLOOKUP('Données projet'!$B$9,Paramètres!$A$1:$I$89,3,0)*0.475*44/12</f>
        <v>4.0090919837952151E-9</v>
      </c>
      <c r="AC94" s="24">
        <f t="shared" si="57"/>
        <v>2.8530831082484256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-2.8421709430404007E-13</v>
      </c>
      <c r="AJ94" s="14">
        <f>AI94*VLOOKUP('Données projet'!$B$10,Paramètres!$A$1:$I$89,3,0)*VLOOKUP('Données projet'!$B$10,Paramètres!$A$1:$I$89,5,0)</f>
        <v>-1.69961822393816E-13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289.12367833861299</v>
      </c>
      <c r="AO94" s="62">
        <f t="shared" si="90"/>
        <v>229.06617320689003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2.7308754661437508E-9</v>
      </c>
      <c r="AX94" s="23">
        <f t="shared" si="60"/>
        <v>2.7308754661437508E-9</v>
      </c>
      <c r="AY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4.9000000000000004</v>
      </c>
      <c r="BD94" s="13">
        <f>IF('Données projet'!$A$88&gt;35,BD93+BC94-BL93,IF(A94&lt;'Données projet'!$A$88,$BA$205^A94,IF(A94='Données projet'!$A$88,'Données projet'!$B$88,BD93+BC94-BL93)))</f>
        <v>258.90000000000003</v>
      </c>
      <c r="BE94" s="14">
        <f>BD94*VLOOKUP('Données projet'!$B$11,Paramètres!$A$1:$I$89,3,0)*VLOOKUP('Données projet'!$B$11,Paramètres!$A$1:$I$89,5,0)</f>
        <v>234.25272000000001</v>
      </c>
      <c r="BF94" s="14">
        <f t="shared" si="91"/>
        <v>57.201236231171301</v>
      </c>
      <c r="BG94" s="22">
        <f t="shared" si="61"/>
        <v>507.61564043595672</v>
      </c>
      <c r="BH94" s="62">
        <f t="shared" si="62"/>
        <v>800.94897376928998</v>
      </c>
      <c r="BI94" s="62">
        <f ca="1">AVERAGE(OFFSET($BH$3,0,0,'Données projet'!$E$11+1,1))-AVERAGE(OFFSET($H$3,0,0,'Données projet'!$E$11+1,1))</f>
        <v>428.8489304403459</v>
      </c>
      <c r="BJ94" s="62">
        <f t="shared" si="92"/>
        <v>247.01165577562966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-1.7053025658242404E-13</v>
      </c>
      <c r="BZ94" s="14">
        <f>BY94*VLOOKUP('Données projet'!$B$12,Paramètres!$A$1:$I$89,3,0)*VLOOKUP('Données projet'!$B$12,Paramètres!$A$1:$I$89,5,0)</f>
        <v>-1.250327841262333E-13</v>
      </c>
      <c r="CA94" s="14" t="e">
        <f t="shared" si="93"/>
        <v>#NUM!</v>
      </c>
      <c r="CB94" s="22" t="e">
        <f t="shared" si="64"/>
        <v>#NUM!</v>
      </c>
      <c r="CC94" s="62" t="e">
        <f t="shared" si="65"/>
        <v>#NUM!</v>
      </c>
      <c r="CD94" s="62">
        <f ca="1">AVERAGE(OFFSET($CC$3,0,0,'Données projet'!$E$12+1,1))-AVERAGE(OFFSET($H$3,0,0,'Données projet'!$E$12+1,1))</f>
        <v>290.85271051443431</v>
      </c>
      <c r="CE94" s="62">
        <f t="shared" si="94"/>
        <v>318.66958823451142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1.1368683772161603E-13</v>
      </c>
      <c r="CU94" s="18">
        <f>CT94*VLOOKUP('Données projet'!$B$13,Paramètres!$A$1:$I$89,3,0)*VLOOKUP('Données projet'!$B$13,Paramètres!$A$1:$I$89,5,0)</f>
        <v>8.8675733422860506E-14</v>
      </c>
      <c r="CV94" s="14">
        <f t="shared" si="95"/>
        <v>1.3509285393066301E-12</v>
      </c>
      <c r="CW94" s="22">
        <f t="shared" si="67"/>
        <v>2.5073107750038623E-12</v>
      </c>
      <c r="CX94" s="62">
        <f t="shared" si="68"/>
        <v>293.33333333333582</v>
      </c>
      <c r="CY94" s="62">
        <f ca="1">AVERAGE(OFFSET($CX$3,0,0,'Données projet'!$E$13+1,1))-AVERAGE(OFFSET($H$3,0,0,'Données projet'!$E$13+1,1))</f>
        <v>292.57482726862594</v>
      </c>
      <c r="CZ94" s="62">
        <f t="shared" si="96"/>
        <v>283.48738729114024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-1.7053025658242404E-13</v>
      </c>
      <c r="DP94" s="18">
        <f>DO94*VLOOKUP('Données projet'!$B$14,Paramètres!$A$1:$I$89,3,0)*VLOOKUP('Données projet'!$B$14,Paramètres!$A$1:$I$89,5,0)</f>
        <v>-1.3567387213697657E-13</v>
      </c>
      <c r="DQ94" s="14" t="e">
        <f t="shared" si="97"/>
        <v>#NUM!</v>
      </c>
      <c r="DR94" s="22" t="e">
        <f t="shared" si="70"/>
        <v>#NUM!</v>
      </c>
      <c r="DS94" s="62" t="e">
        <f t="shared" si="71"/>
        <v>#NUM!</v>
      </c>
      <c r="DT94" s="62">
        <f ca="1">AVERAGE(OFFSET($DS$3,0,0,'Données projet'!$E$14+1,1))-AVERAGE(OFFSET($H$3,0,0,'Données projet'!$E$14+1,1))</f>
        <v>312.53381881960331</v>
      </c>
      <c r="DU94" s="62">
        <f t="shared" si="98"/>
        <v>342.06887933351783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3.5897435897435854</v>
      </c>
      <c r="EJ94" s="13">
        <f>IF('Données projet'!$A$192&gt;35,EJ93+EI94-ER93,IF(A94&lt;'Données projet'!$A$192,$EG$205^A94,IF(A94='Données projet'!$A$192,'Données projet'!$B$192,EJ93+EI94-ER93)))</f>
        <v>215.12820512820505</v>
      </c>
      <c r="EK94" s="18">
        <f>EJ94*VLOOKUP('Données projet'!$B$15,Paramètres!$A$1:$I$89,3,0)*VLOOKUP('Données projet'!$B$15,Paramètres!$A$1:$I$89,5,0)</f>
        <v>204.71599999999992</v>
      </c>
      <c r="EL94" s="14">
        <f t="shared" si="99"/>
        <v>50.779191757337983</v>
      </c>
      <c r="EM94" s="22">
        <f t="shared" si="73"/>
        <v>444.98745897736353</v>
      </c>
      <c r="EN94" s="62">
        <f t="shared" si="74"/>
        <v>738.32079231069679</v>
      </c>
      <c r="EO94" s="62">
        <f ca="1">AVERAGE(OFFSET($EN$3,0,0,'Données projet'!$E$15+1,1))-AVERAGE(OFFSET($H$3,0,0,'Données projet'!$E$15+1,1))</f>
        <v>363.37916970915211</v>
      </c>
      <c r="EP94" s="62">
        <f t="shared" si="100"/>
        <v>281.52963027844595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8.1205128205128201</v>
      </c>
      <c r="FE94" s="13">
        <f>IF('Données projet'!$A$218&gt;35,FE93+FD94-FM93,IF(A94&lt;'Données projet'!$A$218,$FB$205^A94,IF(A94='Données projet'!$A$218,'Données projet'!$B$218,FE93+FD94-FM93)))</f>
        <v>332.68205128205079</v>
      </c>
      <c r="FF94" s="18">
        <f>FE94*VLOOKUP('Données projet'!$B$16,Paramètres!$A$1:$I$89,3,0)*VLOOKUP('Données projet'!$B$16,Paramètres!$A$1:$I$89,5,0)</f>
        <v>155.69519999999977</v>
      </c>
      <c r="FG94" s="14">
        <f t="shared" si="101"/>
        <v>39.870019909996607</v>
      </c>
      <c r="FH94" s="22">
        <f t="shared" si="76"/>
        <v>340.60942467657702</v>
      </c>
      <c r="FI94" s="62">
        <f t="shared" si="77"/>
        <v>633.94275800991034</v>
      </c>
      <c r="FJ94" s="62">
        <f ca="1">AVERAGE(OFFSET($FI$3,0,0,'Données projet'!$E$16+1,1))-AVERAGE(OFFSET($H$3,0,0,'Données projet'!$E$16+1,1))</f>
        <v>245.47494516762282</v>
      </c>
      <c r="FK94" s="62">
        <f t="shared" si="102"/>
        <v>145.54897745089966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4.9000000000000004</v>
      </c>
      <c r="FZ94" s="13">
        <f>IF('Données projet'!$A$244&gt;35,FZ93+FY94-GH93,IF(A94&lt;'Données projet'!$A$244,$FW$205^A94,IF(A94='Données projet'!$A$244,'Données projet'!$B$244,FZ93+FY94-GH93)))</f>
        <v>258.90000000000003</v>
      </c>
      <c r="GA94" s="18">
        <f>FZ94*VLOOKUP('Données projet'!$B$17,Paramètres!$A$1:$I$89,3,0)*VLOOKUP('Données projet'!$B$17,Paramètres!$A$1:$I$89,5,0)</f>
        <v>250.40808000000004</v>
      </c>
      <c r="GB94" s="14">
        <f t="shared" si="103"/>
        <v>60.67331674592576</v>
      </c>
      <c r="GC94" s="22">
        <f t="shared" si="79"/>
        <v>541.80009933248743</v>
      </c>
      <c r="GD94" s="62">
        <f t="shared" si="80"/>
        <v>835.13343266582069</v>
      </c>
      <c r="GE94" s="62">
        <f ca="1">AVERAGE(OFFSET($GD$3,0,0,'Données projet'!$E$17+1,1))-AVERAGE(OFFSET($H$3,0,0,'Données projet'!$E$17+1,1))</f>
        <v>455.50822833641354</v>
      </c>
      <c r="GF94" s="62">
        <f t="shared" si="104"/>
        <v>261.14722581688039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3.7179487179487181</v>
      </c>
      <c r="GU94" s="13">
        <f>IF('Données projet'!$A$270&gt;35,GU93+GT94-HC93,IF(A94&lt;'Données projet'!$A$270,$GR$205^A94,IF(A94='Données projet'!$A$270,'Données projet'!$B$270,GU93+GT94-HC93)))</f>
        <v>274.87179487179498</v>
      </c>
      <c r="GV94" s="18">
        <f>GU94*VLOOKUP('Données projet'!$B$18,Paramètres!$A$1:$I$89,3,0)*VLOOKUP('Données projet'!$B$18,Paramètres!$A$1:$I$89,5,0)</f>
        <v>184.38400000000007</v>
      </c>
      <c r="GW94" s="14">
        <f t="shared" si="105"/>
        <v>46.296175202781576</v>
      </c>
      <c r="GX94" s="22">
        <f t="shared" si="82"/>
        <v>401.76797181151136</v>
      </c>
      <c r="GY94" s="62">
        <f t="shared" si="83"/>
        <v>695.10130514484467</v>
      </c>
      <c r="GZ94" s="62">
        <f ca="1">AVERAGE(OFFSET($GY$3,0,0,'Données projet'!$E$18+1,1))-AVERAGE(OFFSET($H$3,0,0,'Données projet'!$E$18+1,1))</f>
        <v>312.06797204903796</v>
      </c>
      <c r="HA94" s="62">
        <f t="shared" si="106"/>
        <v>258.20189001775151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projet'!$B$18,Paramètres!$A$1:$I$89,3,0)*0.475*44/12</f>
        <v>0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84"/>
        <v>0</v>
      </c>
    </row>
    <row r="95" spans="1:218" s="5" customFormat="1" x14ac:dyDescent="0.25">
      <c r="A95" s="11">
        <f t="shared" si="85"/>
        <v>92</v>
      </c>
      <c r="B95" s="76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9">
        <f t="shared" si="56"/>
        <v>256.66666666666669</v>
      </c>
      <c r="I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2.2737367544323206E-13</v>
      </c>
      <c r="O95" s="14">
        <f>N95*VLOOKUP('Données projet'!$B$9,Paramètres!$A$1:$I$89,3,0)*VLOOKUP('Données projet'!$B$9,Paramètres!$A$1:$I$89,5,0)</f>
        <v>1.2710188457276673E-13</v>
      </c>
      <c r="P95" s="14">
        <f t="shared" si="87"/>
        <v>1.856866851063998E-12</v>
      </c>
      <c r="Q95" s="22">
        <f t="shared" si="54"/>
        <v>3.4554122145673649E-12</v>
      </c>
      <c r="R95" s="62">
        <f t="shared" si="55"/>
        <v>293.33333333333678</v>
      </c>
      <c r="S95" s="62">
        <f ca="1">AVERAGE(OFFSET($R$3,0,0,'Données projet'!$E$9+1,1))-AVERAGE(OFFSET($H$3,0,0,'Données projet'!$E$9+1,1))</f>
        <v>323.98185264074681</v>
      </c>
      <c r="T95" s="62">
        <f t="shared" si="88"/>
        <v>301.22207291854005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1.3070965708260365</v>
      </c>
      <c r="AA95" s="23">
        <f>EXP(-LN(2)/25)*AA94+(1-EXP(-LN(2)/25))/(LN(2)/25)*Calculateur!V95*Calculateur!X95*VLOOKUP('Données projet'!$B$9,Paramètres!$A$1:$I$89,3,0)*0.475*44/12</f>
        <v>1.4782823252860273</v>
      </c>
      <c r="AB95" s="23">
        <f>EXP(-LN(2)/2)*AB94+(1-EXP(-LN(2)/2))/(LN(2)/2)*V95*Y95*VLOOKUP('Données projet'!$B$9,Paramètres!$A$1:$I$89,3,0)*0.475*44/12</f>
        <v>2.8348561281422249E-9</v>
      </c>
      <c r="AC95" s="24">
        <f t="shared" si="57"/>
        <v>2.7853788989469201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-2.8421709430404007E-13</v>
      </c>
      <c r="AJ95" s="14">
        <f>AI95*VLOOKUP('Données projet'!$B$10,Paramètres!$A$1:$I$89,3,0)*VLOOKUP('Données projet'!$B$10,Paramètres!$A$1:$I$89,5,0)</f>
        <v>-1.69961822393816E-13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289.12367833861299</v>
      </c>
      <c r="AO95" s="62">
        <f t="shared" si="90"/>
        <v>229.06617320689003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1.9310205606862202E-9</v>
      </c>
      <c r="AX95" s="23">
        <f t="shared" si="60"/>
        <v>1.9310205606862202E-9</v>
      </c>
      <c r="AY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4.9000000000000004</v>
      </c>
      <c r="BD95" s="13">
        <f>IF('Données projet'!$A$88&gt;35,BD94+BC95-BL94,IF(A95&lt;'Données projet'!$A$88,$BA$205^A95,IF(A95='Données projet'!$A$88,'Données projet'!$B$88,BD94+BC95-BL94)))</f>
        <v>263.8</v>
      </c>
      <c r="BE95" s="14">
        <f>BD95*VLOOKUP('Données projet'!$B$11,Paramètres!$A$1:$I$89,3,0)*VLOOKUP('Données projet'!$B$11,Paramètres!$A$1:$I$89,5,0)</f>
        <v>238.68624</v>
      </c>
      <c r="BF95" s="14">
        <f t="shared" si="91"/>
        <v>58.156778382060871</v>
      </c>
      <c r="BG95" s="22">
        <f t="shared" si="61"/>
        <v>517.00159034875594</v>
      </c>
      <c r="BH95" s="62">
        <f t="shared" si="62"/>
        <v>810.33492368208931</v>
      </c>
      <c r="BI95" s="62">
        <f ca="1">AVERAGE(OFFSET($BH$3,0,0,'Données projet'!$E$11+1,1))-AVERAGE(OFFSET($H$3,0,0,'Données projet'!$E$11+1,1))</f>
        <v>428.8489304403459</v>
      </c>
      <c r="BJ95" s="62">
        <f t="shared" si="92"/>
        <v>247.01165577562966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-1.7053025658242404E-13</v>
      </c>
      <c r="BZ95" s="14">
        <f>BY95*VLOOKUP('Données projet'!$B$12,Paramètres!$A$1:$I$89,3,0)*VLOOKUP('Données projet'!$B$12,Paramètres!$A$1:$I$89,5,0)</f>
        <v>-1.250327841262333E-13</v>
      </c>
      <c r="CA95" s="14" t="e">
        <f t="shared" si="93"/>
        <v>#NUM!</v>
      </c>
      <c r="CB95" s="22" t="e">
        <f t="shared" si="64"/>
        <v>#NUM!</v>
      </c>
      <c r="CC95" s="62" t="e">
        <f t="shared" si="65"/>
        <v>#NUM!</v>
      </c>
      <c r="CD95" s="62">
        <f ca="1">AVERAGE(OFFSET($CC$3,0,0,'Données projet'!$E$12+1,1))-AVERAGE(OFFSET($H$3,0,0,'Données projet'!$E$12+1,1))</f>
        <v>290.85271051443431</v>
      </c>
      <c r="CE95" s="62">
        <f t="shared" si="94"/>
        <v>318.66958823451142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1.1368683772161603E-13</v>
      </c>
      <c r="CU95" s="18">
        <f>CT95*VLOOKUP('Données projet'!$B$13,Paramètres!$A$1:$I$89,3,0)*VLOOKUP('Données projet'!$B$13,Paramètres!$A$1:$I$89,5,0)</f>
        <v>8.8675733422860506E-14</v>
      </c>
      <c r="CV95" s="14">
        <f t="shared" si="95"/>
        <v>1.3509285393066301E-12</v>
      </c>
      <c r="CW95" s="22">
        <f t="shared" si="67"/>
        <v>2.5073107750038623E-12</v>
      </c>
      <c r="CX95" s="62">
        <f t="shared" si="68"/>
        <v>293.33333333333582</v>
      </c>
      <c r="CY95" s="62">
        <f ca="1">AVERAGE(OFFSET($CX$3,0,0,'Données projet'!$E$13+1,1))-AVERAGE(OFFSET($H$3,0,0,'Données projet'!$E$13+1,1))</f>
        <v>292.57482726862594</v>
      </c>
      <c r="CZ95" s="62">
        <f t="shared" si="96"/>
        <v>283.48738729114024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-1.7053025658242404E-13</v>
      </c>
      <c r="DP95" s="18">
        <f>DO95*VLOOKUP('Données projet'!$B$14,Paramètres!$A$1:$I$89,3,0)*VLOOKUP('Données projet'!$B$14,Paramètres!$A$1:$I$89,5,0)</f>
        <v>-1.3567387213697657E-13</v>
      </c>
      <c r="DQ95" s="14" t="e">
        <f t="shared" si="97"/>
        <v>#NUM!</v>
      </c>
      <c r="DR95" s="22" t="e">
        <f t="shared" si="70"/>
        <v>#NUM!</v>
      </c>
      <c r="DS95" s="62" t="e">
        <f t="shared" si="71"/>
        <v>#NUM!</v>
      </c>
      <c r="DT95" s="62">
        <f ca="1">AVERAGE(OFFSET($DS$3,0,0,'Données projet'!$E$14+1,1))-AVERAGE(OFFSET($H$3,0,0,'Données projet'!$E$14+1,1))</f>
        <v>312.53381881960331</v>
      </c>
      <c r="DU95" s="62">
        <f t="shared" si="98"/>
        <v>342.06887933351783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3.5897435897435854</v>
      </c>
      <c r="EJ95" s="13">
        <f>IF('Données projet'!$A$192&gt;35,EJ94+EI95-ER94,IF(A95&lt;'Données projet'!$A$192,$EG$205^A95,IF(A95='Données projet'!$A$192,'Données projet'!$B$192,EJ94+EI95-ER94)))</f>
        <v>218.71794871794864</v>
      </c>
      <c r="EK95" s="18">
        <f>EJ95*VLOOKUP('Données projet'!$B$15,Paramètres!$A$1:$I$89,3,0)*VLOOKUP('Données projet'!$B$15,Paramètres!$A$1:$I$89,5,0)</f>
        <v>208.13199999999992</v>
      </c>
      <c r="EL95" s="14">
        <f t="shared" si="99"/>
        <v>51.527168668357106</v>
      </c>
      <c r="EM95" s="22">
        <f t="shared" si="73"/>
        <v>452.23971876405511</v>
      </c>
      <c r="EN95" s="62">
        <f t="shared" si="74"/>
        <v>745.57305209738843</v>
      </c>
      <c r="EO95" s="62">
        <f ca="1">AVERAGE(OFFSET($EN$3,0,0,'Données projet'!$E$15+1,1))-AVERAGE(OFFSET($H$3,0,0,'Données projet'!$E$15+1,1))</f>
        <v>363.37916970915211</v>
      </c>
      <c r="EP95" s="62">
        <f t="shared" si="100"/>
        <v>281.52963027844595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8.1205128205128201</v>
      </c>
      <c r="FE95" s="13">
        <f>IF('Données projet'!$A$218&gt;35,FE94+FD95-FM94,IF(A95&lt;'Données projet'!$A$218,$FB$205^A95,IF(A95='Données projet'!$A$218,'Données projet'!$B$218,FE94+FD95-FM94)))</f>
        <v>340.80256410256362</v>
      </c>
      <c r="FF95" s="18">
        <f>FE95*VLOOKUP('Données projet'!$B$16,Paramètres!$A$1:$I$89,3,0)*VLOOKUP('Données projet'!$B$16,Paramètres!$A$1:$I$89,5,0)</f>
        <v>159.49559999999977</v>
      </c>
      <c r="FG95" s="14">
        <f t="shared" si="101"/>
        <v>40.728725680425562</v>
      </c>
      <c r="FH95" s="22">
        <f t="shared" si="76"/>
        <v>348.72403389340735</v>
      </c>
      <c r="FI95" s="62">
        <f t="shared" si="77"/>
        <v>642.05736722674067</v>
      </c>
      <c r="FJ95" s="62">
        <f ca="1">AVERAGE(OFFSET($FI$3,0,0,'Données projet'!$E$16+1,1))-AVERAGE(OFFSET($H$3,0,0,'Données projet'!$E$16+1,1))</f>
        <v>245.47494516762282</v>
      </c>
      <c r="FK95" s="62">
        <f t="shared" si="102"/>
        <v>145.54897745089966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4.9000000000000004</v>
      </c>
      <c r="FZ95" s="13">
        <f>IF('Données projet'!$A$244&gt;35,FZ94+FY95-GH94,IF(A95&lt;'Données projet'!$A$244,$FW$205^A95,IF(A95='Données projet'!$A$244,'Données projet'!$B$244,FZ94+FY95-GH94)))</f>
        <v>263.8</v>
      </c>
      <c r="GA95" s="18">
        <f>FZ95*VLOOKUP('Données projet'!$B$17,Paramètres!$A$1:$I$89,3,0)*VLOOKUP('Données projet'!$B$17,Paramètres!$A$1:$I$89,5,0)</f>
        <v>255.14736000000002</v>
      </c>
      <c r="GB95" s="14">
        <f t="shared" si="103"/>
        <v>61.686859728645651</v>
      </c>
      <c r="GC95" s="22">
        <f t="shared" si="79"/>
        <v>551.81959936072451</v>
      </c>
      <c r="GD95" s="62">
        <f t="shared" si="80"/>
        <v>845.15293269405788</v>
      </c>
      <c r="GE95" s="62">
        <f ca="1">AVERAGE(OFFSET($GD$3,0,0,'Données projet'!$E$17+1,1))-AVERAGE(OFFSET($H$3,0,0,'Données projet'!$E$17+1,1))</f>
        <v>455.50822833641354</v>
      </c>
      <c r="GF95" s="62">
        <f t="shared" si="104"/>
        <v>261.14722581688039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3.7179487179487181</v>
      </c>
      <c r="GU95" s="13">
        <f>IF('Données projet'!$A$270&gt;35,GU94+GT95-HC94,IF(A95&lt;'Données projet'!$A$270,$GR$205^A95,IF(A95='Données projet'!$A$270,'Données projet'!$B$270,GU94+GT95-HC94)))</f>
        <v>278.5897435897437</v>
      </c>
      <c r="GV95" s="18">
        <f>GU95*VLOOKUP('Données projet'!$B$18,Paramètres!$A$1:$I$89,3,0)*VLOOKUP('Données projet'!$B$18,Paramètres!$A$1:$I$89,5,0)</f>
        <v>186.87800000000007</v>
      </c>
      <c r="GW95" s="14">
        <f t="shared" si="105"/>
        <v>46.849058827207365</v>
      </c>
      <c r="GX95" s="22">
        <f t="shared" si="82"/>
        <v>407.07462745738621</v>
      </c>
      <c r="GY95" s="62">
        <f t="shared" si="83"/>
        <v>700.40796079071947</v>
      </c>
      <c r="GZ95" s="62">
        <f ca="1">AVERAGE(OFFSET($GY$3,0,0,'Données projet'!$E$18+1,1))-AVERAGE(OFFSET($H$3,0,0,'Données projet'!$E$18+1,1))</f>
        <v>312.06797204903796</v>
      </c>
      <c r="HA95" s="62">
        <f t="shared" si="106"/>
        <v>258.20189001775151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projet'!$B$18,Paramètres!$A$1:$I$89,3,0)*0.475*44/12</f>
        <v>0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84"/>
        <v>0</v>
      </c>
    </row>
    <row r="96" spans="1:218" s="5" customFormat="1" x14ac:dyDescent="0.25">
      <c r="A96" s="11">
        <f t="shared" si="85"/>
        <v>93</v>
      </c>
      <c r="B96" s="76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9">
        <f t="shared" si="56"/>
        <v>256.66666666666669</v>
      </c>
      <c r="I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2.2737367544323206E-13</v>
      </c>
      <c r="O96" s="14">
        <f>N96*VLOOKUP('Données projet'!$B$9,Paramètres!$A$1:$I$89,3,0)*VLOOKUP('Données projet'!$B$9,Paramètres!$A$1:$I$89,5,0)</f>
        <v>1.2710188457276673E-13</v>
      </c>
      <c r="P96" s="14">
        <f t="shared" si="87"/>
        <v>1.856866851063998E-12</v>
      </c>
      <c r="Q96" s="22">
        <f t="shared" si="54"/>
        <v>3.4554122145673649E-12</v>
      </c>
      <c r="R96" s="62">
        <f t="shared" si="55"/>
        <v>293.33333333333678</v>
      </c>
      <c r="S96" s="62">
        <f ca="1">AVERAGE(OFFSET($R$3,0,0,'Données projet'!$E$9+1,1))-AVERAGE(OFFSET($H$3,0,0,'Données projet'!$E$9+1,1))</f>
        <v>323.98185264074681</v>
      </c>
      <c r="T96" s="62">
        <f t="shared" si="88"/>
        <v>301.22207291854005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1.2814652043223242</v>
      </c>
      <c r="AA96" s="23">
        <f>EXP(-LN(2)/25)*AA95+(1-EXP(-LN(2)/25))/(LN(2)/25)*Calculateur!V96*Calculateur!X96*VLOOKUP('Données projet'!$B$9,Paramètres!$A$1:$I$89,3,0)*0.475*44/12</f>
        <v>1.4378586173615922</v>
      </c>
      <c r="AB96" s="23">
        <f>EXP(-LN(2)/2)*AB95+(1-EXP(-LN(2)/2))/(LN(2)/2)*V96*Y96*VLOOKUP('Données projet'!$B$9,Paramètres!$A$1:$I$89,3,0)*0.475*44/12</f>
        <v>2.0045459918976075E-9</v>
      </c>
      <c r="AC96" s="24">
        <f t="shared" si="57"/>
        <v>2.7193238236884625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-2.8421709430404007E-13</v>
      </c>
      <c r="AJ96" s="14">
        <f>AI96*VLOOKUP('Données projet'!$B$10,Paramètres!$A$1:$I$89,3,0)*VLOOKUP('Données projet'!$B$10,Paramètres!$A$1:$I$89,5,0)</f>
        <v>-1.69961822393816E-13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289.12367833861299</v>
      </c>
      <c r="AO96" s="62">
        <f t="shared" si="90"/>
        <v>229.06617320689003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1.3654377330718754E-9</v>
      </c>
      <c r="AX96" s="23">
        <f t="shared" si="60"/>
        <v>1.3654377330718754E-9</v>
      </c>
      <c r="AY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4.9000000000000004</v>
      </c>
      <c r="BD96" s="13">
        <f>IF('Données projet'!$A$88&gt;35,BD95+BC96-BL95,IF(A96&lt;'Données projet'!$A$88,$BA$205^A96,IF(A96='Données projet'!$A$88,'Données projet'!$B$88,BD95+BC96-BL95)))</f>
        <v>268.7</v>
      </c>
      <c r="BE96" s="14">
        <f>BD96*VLOOKUP('Données projet'!$B$11,Paramètres!$A$1:$I$89,3,0)*VLOOKUP('Données projet'!$B$11,Paramètres!$A$1:$I$89,5,0)</f>
        <v>243.11975999999996</v>
      </c>
      <c r="BF96" s="14">
        <f t="shared" si="91"/>
        <v>59.110256668778533</v>
      </c>
      <c r="BG96" s="22">
        <f t="shared" si="61"/>
        <v>526.3839456981226</v>
      </c>
      <c r="BH96" s="62">
        <f t="shared" si="62"/>
        <v>819.71727903145597</v>
      </c>
      <c r="BI96" s="62">
        <f ca="1">AVERAGE(OFFSET($BH$3,0,0,'Données projet'!$E$11+1,1))-AVERAGE(OFFSET($H$3,0,0,'Données projet'!$E$11+1,1))</f>
        <v>428.8489304403459</v>
      </c>
      <c r="BJ96" s="62">
        <f t="shared" si="92"/>
        <v>247.01165577562966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-1.7053025658242404E-13</v>
      </c>
      <c r="BZ96" s="14">
        <f>BY96*VLOOKUP('Données projet'!$B$12,Paramètres!$A$1:$I$89,3,0)*VLOOKUP('Données projet'!$B$12,Paramètres!$A$1:$I$89,5,0)</f>
        <v>-1.250327841262333E-13</v>
      </c>
      <c r="CA96" s="14" t="e">
        <f t="shared" si="93"/>
        <v>#NUM!</v>
      </c>
      <c r="CB96" s="22" t="e">
        <f t="shared" si="64"/>
        <v>#NUM!</v>
      </c>
      <c r="CC96" s="62" t="e">
        <f t="shared" si="65"/>
        <v>#NUM!</v>
      </c>
      <c r="CD96" s="62">
        <f ca="1">AVERAGE(OFFSET($CC$3,0,0,'Données projet'!$E$12+1,1))-AVERAGE(OFFSET($H$3,0,0,'Données projet'!$E$12+1,1))</f>
        <v>290.85271051443431</v>
      </c>
      <c r="CE96" s="62">
        <f t="shared" si="94"/>
        <v>318.66958823451142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1.1368683772161603E-13</v>
      </c>
      <c r="CU96" s="18">
        <f>CT96*VLOOKUP('Données projet'!$B$13,Paramètres!$A$1:$I$89,3,0)*VLOOKUP('Données projet'!$B$13,Paramètres!$A$1:$I$89,5,0)</f>
        <v>8.8675733422860506E-14</v>
      </c>
      <c r="CV96" s="14">
        <f t="shared" si="95"/>
        <v>1.3509285393066301E-12</v>
      </c>
      <c r="CW96" s="22">
        <f t="shared" si="67"/>
        <v>2.5073107750038623E-12</v>
      </c>
      <c r="CX96" s="62">
        <f t="shared" si="68"/>
        <v>293.33333333333582</v>
      </c>
      <c r="CY96" s="62">
        <f ca="1">AVERAGE(OFFSET($CX$3,0,0,'Données projet'!$E$13+1,1))-AVERAGE(OFFSET($H$3,0,0,'Données projet'!$E$13+1,1))</f>
        <v>292.57482726862594</v>
      </c>
      <c r="CZ96" s="62">
        <f t="shared" si="96"/>
        <v>283.48738729114024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-1.7053025658242404E-13</v>
      </c>
      <c r="DP96" s="18">
        <f>DO96*VLOOKUP('Données projet'!$B$14,Paramètres!$A$1:$I$89,3,0)*VLOOKUP('Données projet'!$B$14,Paramètres!$A$1:$I$89,5,0)</f>
        <v>-1.3567387213697657E-13</v>
      </c>
      <c r="DQ96" s="14" t="e">
        <f t="shared" si="97"/>
        <v>#NUM!</v>
      </c>
      <c r="DR96" s="22" t="e">
        <f t="shared" si="70"/>
        <v>#NUM!</v>
      </c>
      <c r="DS96" s="62" t="e">
        <f t="shared" si="71"/>
        <v>#NUM!</v>
      </c>
      <c r="DT96" s="62">
        <f ca="1">AVERAGE(OFFSET($DS$3,0,0,'Données projet'!$E$14+1,1))-AVERAGE(OFFSET($H$3,0,0,'Données projet'!$E$14+1,1))</f>
        <v>312.53381881960331</v>
      </c>
      <c r="DU96" s="62">
        <f t="shared" si="98"/>
        <v>342.06887933351783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3.5897435897435854</v>
      </c>
      <c r="EJ96" s="13">
        <f>IF('Données projet'!$A$192&gt;35,EJ95+EI96-ER95,IF(A96&lt;'Données projet'!$A$192,$EG$205^A96,IF(A96='Données projet'!$A$192,'Données projet'!$B$192,EJ95+EI96-ER95)))</f>
        <v>222.30769230769224</v>
      </c>
      <c r="EK96" s="18">
        <f>EJ96*VLOOKUP('Données projet'!$B$15,Paramètres!$A$1:$I$89,3,0)*VLOOKUP('Données projet'!$B$15,Paramètres!$A$1:$I$89,5,0)</f>
        <v>211.54799999999992</v>
      </c>
      <c r="EL96" s="14">
        <f t="shared" si="99"/>
        <v>52.273717915363171</v>
      </c>
      <c r="EM96" s="22">
        <f t="shared" si="73"/>
        <v>459.489492035924</v>
      </c>
      <c r="EN96" s="62">
        <f t="shared" si="74"/>
        <v>752.82282536925732</v>
      </c>
      <c r="EO96" s="62">
        <f ca="1">AVERAGE(OFFSET($EN$3,0,0,'Données projet'!$E$15+1,1))-AVERAGE(OFFSET($H$3,0,0,'Données projet'!$E$15+1,1))</f>
        <v>363.37916970915211</v>
      </c>
      <c r="EP96" s="62">
        <f t="shared" si="100"/>
        <v>281.52963027844595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>
        <f>VLOOKUP(A96,'Données projet'!$A$217:$I$237,2,0)</f>
        <v>348.92307692307691</v>
      </c>
      <c r="FC96" s="13">
        <f>VLOOKUP(A96,'Données projet'!$A$217:$I$237,9,0)</f>
        <v>8.1205128205128201</v>
      </c>
      <c r="FD96" s="13">
        <f t="array" ref="FD96">INDEX(FC:FC,MIN(IF(ISNUMBER(FC96:FC292),ROW(FC96:FC292),"")))</f>
        <v>8.1205128205128201</v>
      </c>
      <c r="FE96" s="13">
        <f>IF('Données projet'!$A$218&gt;35,FE95+FD96-FM95,IF(A96&lt;'Données projet'!$A$218,$FB$205^A96,IF(A96='Données projet'!$A$218,'Données projet'!$B$218,FE95+FD96-FM95)))</f>
        <v>348.92307692307645</v>
      </c>
      <c r="FF96" s="18">
        <f>FE96*VLOOKUP('Données projet'!$B$16,Paramètres!$A$1:$I$89,3,0)*VLOOKUP('Données projet'!$B$16,Paramètres!$A$1:$I$89,5,0)</f>
        <v>163.29599999999979</v>
      </c>
      <c r="FG96" s="14">
        <f t="shared" si="101"/>
        <v>41.585052862581854</v>
      </c>
      <c r="FH96" s="22">
        <f t="shared" si="76"/>
        <v>356.8345004023297</v>
      </c>
      <c r="FI96" s="62">
        <f t="shared" si="77"/>
        <v>650.16783373566295</v>
      </c>
      <c r="FJ96" s="62">
        <f ca="1">AVERAGE(OFFSET($FI$3,0,0,'Données projet'!$E$16+1,1))-AVERAGE(OFFSET($H$3,0,0,'Données projet'!$E$16+1,1))</f>
        <v>245.47494516762282</v>
      </c>
      <c r="FK96" s="62">
        <f t="shared" si="102"/>
        <v>145.54897745089966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4.9000000000000004</v>
      </c>
      <c r="FZ96" s="13">
        <f>IF('Données projet'!$A$244&gt;35,FZ95+FY96-GH95,IF(A96&lt;'Données projet'!$A$244,$FW$205^A96,IF(A96='Données projet'!$A$244,'Données projet'!$B$244,FZ95+FY96-GH95)))</f>
        <v>268.7</v>
      </c>
      <c r="GA96" s="18">
        <f>FZ96*VLOOKUP('Données projet'!$B$17,Paramètres!$A$1:$I$89,3,0)*VLOOKUP('Données projet'!$B$17,Paramètres!$A$1:$I$89,5,0)</f>
        <v>259.88664</v>
      </c>
      <c r="GB96" s="14">
        <f t="shared" si="103"/>
        <v>62.698213571884004</v>
      </c>
      <c r="GC96" s="22">
        <f t="shared" si="79"/>
        <v>561.835286637698</v>
      </c>
      <c r="GD96" s="62">
        <f t="shared" si="80"/>
        <v>855.16861997103138</v>
      </c>
      <c r="GE96" s="62">
        <f ca="1">AVERAGE(OFFSET($GD$3,0,0,'Données projet'!$E$17+1,1))-AVERAGE(OFFSET($H$3,0,0,'Données projet'!$E$17+1,1))</f>
        <v>455.50822833641354</v>
      </c>
      <c r="GF96" s="62">
        <f t="shared" si="104"/>
        <v>261.14722581688039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3.7179487179487181</v>
      </c>
      <c r="GU96" s="13">
        <f>IF('Données projet'!$A$270&gt;35,GU95+GT96-HC95,IF(A96&lt;'Données projet'!$A$270,$GR$205^A96,IF(A96='Données projet'!$A$270,'Données projet'!$B$270,GU95+GT96-HC95)))</f>
        <v>282.30769230769243</v>
      </c>
      <c r="GV96" s="18">
        <f>GU96*VLOOKUP('Données projet'!$B$18,Paramètres!$A$1:$I$89,3,0)*VLOOKUP('Données projet'!$B$18,Paramètres!$A$1:$I$89,5,0)</f>
        <v>189.37200000000007</v>
      </c>
      <c r="GW96" s="14">
        <f t="shared" si="105"/>
        <v>47.401084226295815</v>
      </c>
      <c r="GX96" s="22">
        <f t="shared" si="82"/>
        <v>412.37978836079861</v>
      </c>
      <c r="GY96" s="62">
        <f t="shared" si="83"/>
        <v>705.71312169413193</v>
      </c>
      <c r="GZ96" s="62">
        <f ca="1">AVERAGE(OFFSET($GY$3,0,0,'Données projet'!$E$18+1,1))-AVERAGE(OFFSET($H$3,0,0,'Données projet'!$E$18+1,1))</f>
        <v>312.06797204903796</v>
      </c>
      <c r="HA96" s="62">
        <f t="shared" si="106"/>
        <v>258.20189001775151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projet'!$B$18,Paramètres!$A$1:$I$89,3,0)*0.475*44/12</f>
        <v>0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84"/>
        <v>0</v>
      </c>
    </row>
    <row r="97" spans="1:218" s="5" customFormat="1" x14ac:dyDescent="0.25">
      <c r="A97" s="11">
        <f t="shared" si="85"/>
        <v>94</v>
      </c>
      <c r="B97" s="76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9">
        <f t="shared" si="56"/>
        <v>256.66666666666669</v>
      </c>
      <c r="I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2.2737367544323206E-13</v>
      </c>
      <c r="O97" s="14">
        <f>N97*VLOOKUP('Données projet'!$B$9,Paramètres!$A$1:$I$89,3,0)*VLOOKUP('Données projet'!$B$9,Paramètres!$A$1:$I$89,5,0)</f>
        <v>1.2710188457276673E-13</v>
      </c>
      <c r="P97" s="14">
        <f t="shared" si="87"/>
        <v>1.856866851063998E-12</v>
      </c>
      <c r="Q97" s="22">
        <f t="shared" si="54"/>
        <v>3.4554122145673649E-12</v>
      </c>
      <c r="R97" s="62">
        <f t="shared" si="55"/>
        <v>293.33333333333678</v>
      </c>
      <c r="S97" s="62">
        <f ca="1">AVERAGE(OFFSET($R$3,0,0,'Données projet'!$E$9+1,1))-AVERAGE(OFFSET($H$3,0,0,'Données projet'!$E$9+1,1))</f>
        <v>323.98185264074681</v>
      </c>
      <c r="T97" s="62">
        <f t="shared" si="88"/>
        <v>301.22207291854005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1.2563364532821599</v>
      </c>
      <c r="AA97" s="23">
        <f>EXP(-LN(2)/25)*AA96+(1-EXP(-LN(2)/25))/(LN(2)/25)*Calculateur!V97*Calculateur!X97*VLOOKUP('Données projet'!$B$9,Paramètres!$A$1:$I$89,3,0)*0.475*44/12</f>
        <v>1.398540297856141</v>
      </c>
      <c r="AB97" s="23">
        <f>EXP(-LN(2)/2)*AB96+(1-EXP(-LN(2)/2))/(LN(2)/2)*V97*Y97*VLOOKUP('Données projet'!$B$9,Paramètres!$A$1:$I$89,3,0)*0.475*44/12</f>
        <v>1.4174280640711125E-9</v>
      </c>
      <c r="AC97" s="24">
        <f t="shared" si="57"/>
        <v>2.6548767525557286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-2.8421709430404007E-13</v>
      </c>
      <c r="AJ97" s="14">
        <f>AI97*VLOOKUP('Données projet'!$B$10,Paramètres!$A$1:$I$89,3,0)*VLOOKUP('Données projet'!$B$10,Paramètres!$A$1:$I$89,5,0)</f>
        <v>-1.69961822393816E-13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289.12367833861299</v>
      </c>
      <c r="AO97" s="62">
        <f t="shared" si="90"/>
        <v>229.06617320689003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9.6551028034311009E-10</v>
      </c>
      <c r="AX97" s="23">
        <f t="shared" si="60"/>
        <v>9.6551028034311009E-10</v>
      </c>
      <c r="AY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4.9000000000000004</v>
      </c>
      <c r="BD97" s="13">
        <f>IF('Données projet'!$A$88&gt;35,BD96+BC97-BL96,IF(A97&lt;'Données projet'!$A$88,$BA$205^A97,IF(A97='Données projet'!$A$88,'Données projet'!$B$88,BD96+BC97-BL96)))</f>
        <v>273.59999999999997</v>
      </c>
      <c r="BE97" s="14">
        <f>BD97*VLOOKUP('Données projet'!$B$11,Paramètres!$A$1:$I$89,3,0)*VLOOKUP('Données projet'!$B$11,Paramètres!$A$1:$I$89,5,0)</f>
        <v>247.55327999999994</v>
      </c>
      <c r="BF97" s="14">
        <f t="shared" si="91"/>
        <v>60.061713068870255</v>
      </c>
      <c r="BG97" s="22">
        <f t="shared" si="61"/>
        <v>535.76277959494894</v>
      </c>
      <c r="BH97" s="62">
        <f t="shared" si="62"/>
        <v>829.09611292828231</v>
      </c>
      <c r="BI97" s="62">
        <f ca="1">AVERAGE(OFFSET($BH$3,0,0,'Données projet'!$E$11+1,1))-AVERAGE(OFFSET($H$3,0,0,'Données projet'!$E$11+1,1))</f>
        <v>428.8489304403459</v>
      </c>
      <c r="BJ97" s="62">
        <f t="shared" si="92"/>
        <v>247.01165577562966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-1.7053025658242404E-13</v>
      </c>
      <c r="BZ97" s="14">
        <f>BY97*VLOOKUP('Données projet'!$B$12,Paramètres!$A$1:$I$89,3,0)*VLOOKUP('Données projet'!$B$12,Paramètres!$A$1:$I$89,5,0)</f>
        <v>-1.250327841262333E-13</v>
      </c>
      <c r="CA97" s="14" t="e">
        <f t="shared" si="93"/>
        <v>#NUM!</v>
      </c>
      <c r="CB97" s="22" t="e">
        <f t="shared" si="64"/>
        <v>#NUM!</v>
      </c>
      <c r="CC97" s="62" t="e">
        <f t="shared" si="65"/>
        <v>#NUM!</v>
      </c>
      <c r="CD97" s="62">
        <f ca="1">AVERAGE(OFFSET($CC$3,0,0,'Données projet'!$E$12+1,1))-AVERAGE(OFFSET($H$3,0,0,'Données projet'!$E$12+1,1))</f>
        <v>290.85271051443431</v>
      </c>
      <c r="CE97" s="62">
        <f t="shared" si="94"/>
        <v>318.66958823451142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1.1368683772161603E-13</v>
      </c>
      <c r="CU97" s="18">
        <f>CT97*VLOOKUP('Données projet'!$B$13,Paramètres!$A$1:$I$89,3,0)*VLOOKUP('Données projet'!$B$13,Paramètres!$A$1:$I$89,5,0)</f>
        <v>8.8675733422860506E-14</v>
      </c>
      <c r="CV97" s="14">
        <f t="shared" si="95"/>
        <v>1.3509285393066301E-12</v>
      </c>
      <c r="CW97" s="22">
        <f t="shared" si="67"/>
        <v>2.5073107750038623E-12</v>
      </c>
      <c r="CX97" s="62">
        <f t="shared" si="68"/>
        <v>293.33333333333582</v>
      </c>
      <c r="CY97" s="62">
        <f ca="1">AVERAGE(OFFSET($CX$3,0,0,'Données projet'!$E$13+1,1))-AVERAGE(OFFSET($H$3,0,0,'Données projet'!$E$13+1,1))</f>
        <v>292.57482726862594</v>
      </c>
      <c r="CZ97" s="62">
        <f t="shared" si="96"/>
        <v>283.48738729114024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-1.7053025658242404E-13</v>
      </c>
      <c r="DP97" s="18">
        <f>DO97*VLOOKUP('Données projet'!$B$14,Paramètres!$A$1:$I$89,3,0)*VLOOKUP('Données projet'!$B$14,Paramètres!$A$1:$I$89,5,0)</f>
        <v>-1.3567387213697657E-13</v>
      </c>
      <c r="DQ97" s="14" t="e">
        <f t="shared" si="97"/>
        <v>#NUM!</v>
      </c>
      <c r="DR97" s="22" t="e">
        <f t="shared" si="70"/>
        <v>#NUM!</v>
      </c>
      <c r="DS97" s="62" t="e">
        <f t="shared" si="71"/>
        <v>#NUM!</v>
      </c>
      <c r="DT97" s="62">
        <f ca="1">AVERAGE(OFFSET($DS$3,0,0,'Données projet'!$E$14+1,1))-AVERAGE(OFFSET($H$3,0,0,'Données projet'!$E$14+1,1))</f>
        <v>312.53381881960331</v>
      </c>
      <c r="DU97" s="62">
        <f t="shared" si="98"/>
        <v>342.06887933351783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3.5897435897435854</v>
      </c>
      <c r="EJ97" s="13">
        <f>IF('Données projet'!$A$192&gt;35,EJ96+EI97-ER96,IF(A97&lt;'Données projet'!$A$192,$EG$205^A97,IF(A97='Données projet'!$A$192,'Données projet'!$B$192,EJ96+EI97-ER96)))</f>
        <v>225.89743589743583</v>
      </c>
      <c r="EK97" s="18">
        <f>EJ97*VLOOKUP('Données projet'!$B$15,Paramètres!$A$1:$I$89,3,0)*VLOOKUP('Données projet'!$B$15,Paramètres!$A$1:$I$89,5,0)</f>
        <v>214.96399999999994</v>
      </c>
      <c r="EL97" s="14">
        <f t="shared" si="99"/>
        <v>53.018865213249249</v>
      </c>
      <c r="EM97" s="22">
        <f t="shared" si="73"/>
        <v>466.73682357974229</v>
      </c>
      <c r="EN97" s="62">
        <f t="shared" si="74"/>
        <v>760.07015691307561</v>
      </c>
      <c r="EO97" s="62">
        <f ca="1">AVERAGE(OFFSET($EN$3,0,0,'Données projet'!$E$15+1,1))-AVERAGE(OFFSET($H$3,0,0,'Données projet'!$E$15+1,1))</f>
        <v>363.37916970915211</v>
      </c>
      <c r="EP97" s="62">
        <f t="shared" si="100"/>
        <v>281.52963027844595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8.1576923076923151</v>
      </c>
      <c r="FE97" s="13">
        <f>IF('Données projet'!$A$218&gt;35,FE96+FD97-FM96,IF(A97&lt;'Données projet'!$A$218,$FB$205^A97,IF(A97='Données projet'!$A$218,'Données projet'!$B$218,FE96+FD97-FM96)))</f>
        <v>357.08076923076874</v>
      </c>
      <c r="FF97" s="18">
        <f>FE97*VLOOKUP('Données projet'!$B$16,Paramètres!$A$1:$I$89,3,0)*VLOOKUP('Données projet'!$B$16,Paramètres!$A$1:$I$89,5,0)</f>
        <v>167.11379999999977</v>
      </c>
      <c r="FG97" s="14">
        <f t="shared" si="101"/>
        <v>42.442968004718075</v>
      </c>
      <c r="FH97" s="22">
        <f t="shared" si="76"/>
        <v>364.97803760821688</v>
      </c>
      <c r="FI97" s="62">
        <f t="shared" si="77"/>
        <v>658.31137094155019</v>
      </c>
      <c r="FJ97" s="62">
        <f ca="1">AVERAGE(OFFSET($FI$3,0,0,'Données projet'!$E$16+1,1))-AVERAGE(OFFSET($H$3,0,0,'Données projet'!$E$16+1,1))</f>
        <v>245.47494516762282</v>
      </c>
      <c r="FK97" s="62">
        <f t="shared" si="102"/>
        <v>145.54897745089966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4.9000000000000004</v>
      </c>
      <c r="FZ97" s="13">
        <f>IF('Données projet'!$A$244&gt;35,FZ96+FY97-GH96,IF(A97&lt;'Données projet'!$A$244,$FW$205^A97,IF(A97='Données projet'!$A$244,'Données projet'!$B$244,FZ96+FY97-GH96)))</f>
        <v>273.59999999999997</v>
      </c>
      <c r="GA97" s="18">
        <f>FZ97*VLOOKUP('Données projet'!$B$17,Paramètres!$A$1:$I$89,3,0)*VLOOKUP('Données projet'!$B$17,Paramètres!$A$1:$I$89,5,0)</f>
        <v>264.62591999999995</v>
      </c>
      <c r="GB97" s="14">
        <f t="shared" si="103"/>
        <v>63.707422801198604</v>
      </c>
      <c r="GC97" s="22">
        <f t="shared" si="79"/>
        <v>571.84723871208746</v>
      </c>
      <c r="GD97" s="62">
        <f t="shared" si="80"/>
        <v>865.18057204542083</v>
      </c>
      <c r="GE97" s="62">
        <f ca="1">AVERAGE(OFFSET($GD$3,0,0,'Données projet'!$E$17+1,1))-AVERAGE(OFFSET($H$3,0,0,'Données projet'!$E$17+1,1))</f>
        <v>455.50822833641354</v>
      </c>
      <c r="GF97" s="62">
        <f t="shared" si="104"/>
        <v>261.14722581688039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3.7179487179487181</v>
      </c>
      <c r="GU97" s="13">
        <f>IF('Données projet'!$A$270&gt;35,GU96+GT97-HC96,IF(A97&lt;'Données projet'!$A$270,$GR$205^A97,IF(A97='Données projet'!$A$270,'Données projet'!$B$270,GU96+GT97-HC96)))</f>
        <v>286.02564102564116</v>
      </c>
      <c r="GV97" s="18">
        <f>GU97*VLOOKUP('Données projet'!$B$18,Paramètres!$A$1:$I$89,3,0)*VLOOKUP('Données projet'!$B$18,Paramètres!$A$1:$I$89,5,0)</f>
        <v>191.8660000000001</v>
      </c>
      <c r="GW97" s="14">
        <f t="shared" si="105"/>
        <v>47.952264009442366</v>
      </c>
      <c r="GX97" s="22">
        <f t="shared" si="82"/>
        <v>417.6834764831122</v>
      </c>
      <c r="GY97" s="62">
        <f t="shared" si="83"/>
        <v>711.01680981644552</v>
      </c>
      <c r="GZ97" s="62">
        <f ca="1">AVERAGE(OFFSET($GY$3,0,0,'Données projet'!$E$18+1,1))-AVERAGE(OFFSET($H$3,0,0,'Données projet'!$E$18+1,1))</f>
        <v>312.06797204903796</v>
      </c>
      <c r="HA97" s="62">
        <f t="shared" si="106"/>
        <v>258.20189001775151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projet'!$B$18,Paramètres!$A$1:$I$89,3,0)*0.475*44/12</f>
        <v>0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84"/>
        <v>0</v>
      </c>
    </row>
    <row r="98" spans="1:218" s="5" customFormat="1" x14ac:dyDescent="0.25">
      <c r="A98" s="11">
        <f t="shared" si="85"/>
        <v>95</v>
      </c>
      <c r="B98" s="76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9">
        <f t="shared" si="56"/>
        <v>256.66666666666669</v>
      </c>
      <c r="I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2.2737367544323206E-13</v>
      </c>
      <c r="O98" s="14">
        <f>N98*VLOOKUP('Données projet'!$B$9,Paramètres!$A$1:$I$89,3,0)*VLOOKUP('Données projet'!$B$9,Paramètres!$A$1:$I$89,5,0)</f>
        <v>1.2710188457276673E-13</v>
      </c>
      <c r="P98" s="14">
        <f t="shared" si="87"/>
        <v>1.856866851063998E-12</v>
      </c>
      <c r="Q98" s="22">
        <f t="shared" si="54"/>
        <v>3.4554122145673649E-12</v>
      </c>
      <c r="R98" s="62">
        <f t="shared" si="55"/>
        <v>293.33333333333678</v>
      </c>
      <c r="S98" s="62">
        <f ca="1">AVERAGE(OFFSET($R$3,0,0,'Données projet'!$E$9+1,1))-AVERAGE(OFFSET($H$3,0,0,'Données projet'!$E$9+1,1))</f>
        <v>323.98185264074681</v>
      </c>
      <c r="T98" s="62">
        <f t="shared" si="88"/>
        <v>301.22207291854005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1.2317004617228684</v>
      </c>
      <c r="AA98" s="23">
        <f>EXP(-LN(2)/25)*AA97+(1-EXP(-LN(2)/25))/(LN(2)/25)*Calculateur!V98*Calculateur!X98*VLOOKUP('Données projet'!$B$9,Paramètres!$A$1:$I$89,3,0)*0.475*44/12</f>
        <v>1.360297139865227</v>
      </c>
      <c r="AB98" s="23">
        <f>EXP(-LN(2)/2)*AB97+(1-EXP(-LN(2)/2))/(LN(2)/2)*V98*Y98*VLOOKUP('Données projet'!$B$9,Paramètres!$A$1:$I$89,3,0)*0.475*44/12</f>
        <v>1.0022729959488038E-9</v>
      </c>
      <c r="AC98" s="24">
        <f t="shared" si="57"/>
        <v>2.5919976025903684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-2.8421709430404007E-13</v>
      </c>
      <c r="AJ98" s="14">
        <f>AI98*VLOOKUP('Données projet'!$B$10,Paramètres!$A$1:$I$89,3,0)*VLOOKUP('Données projet'!$B$10,Paramètres!$A$1:$I$89,5,0)</f>
        <v>-1.69961822393816E-13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289.12367833861299</v>
      </c>
      <c r="AO98" s="62">
        <f t="shared" si="90"/>
        <v>229.06617320689003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6.8271886653593771E-10</v>
      </c>
      <c r="AX98" s="23">
        <f t="shared" si="60"/>
        <v>6.8271886653593771E-10</v>
      </c>
      <c r="AY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4.9000000000000004</v>
      </c>
      <c r="BD98" s="13">
        <f>IF('Données projet'!$A$88&gt;35,BD97+BC98-BL97,IF(A98&lt;'Données projet'!$A$88,$BA$205^A98,IF(A98='Données projet'!$A$88,'Données projet'!$B$88,BD97+BC98-BL97)))</f>
        <v>278.49999999999994</v>
      </c>
      <c r="BE98" s="14">
        <f>BD98*VLOOKUP('Données projet'!$B$11,Paramètres!$A$1:$I$89,3,0)*VLOOKUP('Données projet'!$B$11,Paramètres!$A$1:$I$89,5,0)</f>
        <v>251.98679999999993</v>
      </c>
      <c r="BF98" s="14">
        <f t="shared" si="91"/>
        <v>61.011187970195053</v>
      </c>
      <c r="BG98" s="22">
        <f t="shared" si="61"/>
        <v>545.13816238142283</v>
      </c>
      <c r="BH98" s="62">
        <f t="shared" si="62"/>
        <v>838.4714957147562</v>
      </c>
      <c r="BI98" s="62">
        <f ca="1">AVERAGE(OFFSET($BH$3,0,0,'Données projet'!$E$11+1,1))-AVERAGE(OFFSET($H$3,0,0,'Données projet'!$E$11+1,1))</f>
        <v>428.8489304403459</v>
      </c>
      <c r="BJ98" s="62">
        <f t="shared" si="92"/>
        <v>247.01165577562966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-1.7053025658242404E-13</v>
      </c>
      <c r="BZ98" s="14">
        <f>BY98*VLOOKUP('Données projet'!$B$12,Paramètres!$A$1:$I$89,3,0)*VLOOKUP('Données projet'!$B$12,Paramètres!$A$1:$I$89,5,0)</f>
        <v>-1.250327841262333E-13</v>
      </c>
      <c r="CA98" s="14" t="e">
        <f t="shared" si="93"/>
        <v>#NUM!</v>
      </c>
      <c r="CB98" s="22" t="e">
        <f t="shared" si="64"/>
        <v>#NUM!</v>
      </c>
      <c r="CC98" s="62" t="e">
        <f t="shared" si="65"/>
        <v>#NUM!</v>
      </c>
      <c r="CD98" s="62">
        <f ca="1">AVERAGE(OFFSET($CC$3,0,0,'Données projet'!$E$12+1,1))-AVERAGE(OFFSET($H$3,0,0,'Données projet'!$E$12+1,1))</f>
        <v>290.85271051443431</v>
      </c>
      <c r="CE98" s="62">
        <f t="shared" si="94"/>
        <v>318.66958823451142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1.1368683772161603E-13</v>
      </c>
      <c r="CU98" s="18">
        <f>CT98*VLOOKUP('Données projet'!$B$13,Paramètres!$A$1:$I$89,3,0)*VLOOKUP('Données projet'!$B$13,Paramètres!$A$1:$I$89,5,0)</f>
        <v>8.8675733422860506E-14</v>
      </c>
      <c r="CV98" s="14">
        <f t="shared" si="95"/>
        <v>1.3509285393066301E-12</v>
      </c>
      <c r="CW98" s="22">
        <f t="shared" si="67"/>
        <v>2.5073107750038623E-12</v>
      </c>
      <c r="CX98" s="62">
        <f t="shared" si="68"/>
        <v>293.33333333333582</v>
      </c>
      <c r="CY98" s="62">
        <f ca="1">AVERAGE(OFFSET($CX$3,0,0,'Données projet'!$E$13+1,1))-AVERAGE(OFFSET($H$3,0,0,'Données projet'!$E$13+1,1))</f>
        <v>292.57482726862594</v>
      </c>
      <c r="CZ98" s="62">
        <f t="shared" si="96"/>
        <v>283.48738729114024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-1.7053025658242404E-13</v>
      </c>
      <c r="DP98" s="18">
        <f>DO98*VLOOKUP('Données projet'!$B$14,Paramètres!$A$1:$I$89,3,0)*VLOOKUP('Données projet'!$B$14,Paramètres!$A$1:$I$89,5,0)</f>
        <v>-1.3567387213697657E-13</v>
      </c>
      <c r="DQ98" s="14" t="e">
        <f t="shared" si="97"/>
        <v>#NUM!</v>
      </c>
      <c r="DR98" s="22" t="e">
        <f t="shared" si="70"/>
        <v>#NUM!</v>
      </c>
      <c r="DS98" s="62" t="e">
        <f t="shared" si="71"/>
        <v>#NUM!</v>
      </c>
      <c r="DT98" s="62">
        <f ca="1">AVERAGE(OFFSET($DS$3,0,0,'Données projet'!$E$14+1,1))-AVERAGE(OFFSET($H$3,0,0,'Données projet'!$E$14+1,1))</f>
        <v>312.53381881960331</v>
      </c>
      <c r="DU98" s="62">
        <f t="shared" si="98"/>
        <v>342.06887933351783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>
        <f>VLOOKUP(A98,'Données projet'!$A$191:$I$211,2,0)</f>
        <v>229.48717948717947</v>
      </c>
      <c r="EH98" s="13">
        <f>VLOOKUP(A98,'Données projet'!$A$191:$I$211,9,0)</f>
        <v>3.5897435897435854</v>
      </c>
      <c r="EI98" s="13">
        <f t="array" ref="EI98">INDEX(EH:EH,MIN(IF(ISNUMBER(EH98:EH294),ROW(EH98:EH294),"")))</f>
        <v>3.5897435897435854</v>
      </c>
      <c r="EJ98" s="13">
        <f>IF('Données projet'!$A$192&gt;35,EJ97+EI98-ER97,IF(A98&lt;'Données projet'!$A$192,$EG$205^A98,IF(A98='Données projet'!$A$192,'Données projet'!$B$192,EJ97+EI98-ER97)))</f>
        <v>229.48717948717942</v>
      </c>
      <c r="EK98" s="18">
        <f>EJ98*VLOOKUP('Données projet'!$B$15,Paramètres!$A$1:$I$89,3,0)*VLOOKUP('Données projet'!$B$15,Paramètres!$A$1:$I$89,5,0)</f>
        <v>218.37999999999994</v>
      </c>
      <c r="EL98" s="14">
        <f t="shared" si="99"/>
        <v>53.762635412761199</v>
      </c>
      <c r="EM98" s="22">
        <f t="shared" si="73"/>
        <v>473.98175667722558</v>
      </c>
      <c r="EN98" s="62">
        <f t="shared" si="74"/>
        <v>767.31509001055883</v>
      </c>
      <c r="EO98" s="62">
        <f ca="1">AVERAGE(OFFSET($EN$3,0,0,'Données projet'!$E$15+1,1))-AVERAGE(OFFSET($H$3,0,0,'Données projet'!$E$15+1,1))</f>
        <v>363.37916970915211</v>
      </c>
      <c r="EP98" s="62">
        <f t="shared" si="100"/>
        <v>281.52963027844595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8.1576923076923151</v>
      </c>
      <c r="FE98" s="13">
        <f>IF('Données projet'!$A$218&gt;35,FE97+FD98-FM97,IF(A98&lt;'Données projet'!$A$218,$FB$205^A98,IF(A98='Données projet'!$A$218,'Données projet'!$B$218,FE97+FD98-FM97)))</f>
        <v>365.23846153846102</v>
      </c>
      <c r="FF98" s="18">
        <f>FE98*VLOOKUP('Données projet'!$B$16,Paramètres!$A$1:$I$89,3,0)*VLOOKUP('Données projet'!$B$16,Paramètres!$A$1:$I$89,5,0)</f>
        <v>170.93159999999975</v>
      </c>
      <c r="FG98" s="14">
        <f t="shared" si="101"/>
        <v>43.298604585177706</v>
      </c>
      <c r="FH98" s="22">
        <f t="shared" si="76"/>
        <v>373.11760631918406</v>
      </c>
      <c r="FI98" s="62">
        <f t="shared" si="77"/>
        <v>666.45093965251738</v>
      </c>
      <c r="FJ98" s="62">
        <f ca="1">AVERAGE(OFFSET($FI$3,0,0,'Données projet'!$E$16+1,1))-AVERAGE(OFFSET($H$3,0,0,'Données projet'!$E$16+1,1))</f>
        <v>245.47494516762282</v>
      </c>
      <c r="FK98" s="62">
        <f t="shared" si="102"/>
        <v>145.54897745089966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4.9000000000000004</v>
      </c>
      <c r="FZ98" s="13">
        <f>IF('Données projet'!$A$244&gt;35,FZ97+FY98-GH97,IF(A98&lt;'Données projet'!$A$244,$FW$205^A98,IF(A98='Données projet'!$A$244,'Données projet'!$B$244,FZ97+FY98-GH97)))</f>
        <v>278.49999999999994</v>
      </c>
      <c r="GA98" s="18">
        <f>FZ98*VLOOKUP('Données projet'!$B$17,Paramètres!$A$1:$I$89,3,0)*VLOOKUP('Données projet'!$B$17,Paramètres!$A$1:$I$89,5,0)</f>
        <v>269.36519999999996</v>
      </c>
      <c r="GB98" s="14">
        <f t="shared" si="103"/>
        <v>64.714530255967034</v>
      </c>
      <c r="GC98" s="22">
        <f t="shared" si="79"/>
        <v>581.85553019580914</v>
      </c>
      <c r="GD98" s="62">
        <f t="shared" si="80"/>
        <v>875.18886352914251</v>
      </c>
      <c r="GE98" s="62">
        <f ca="1">AVERAGE(OFFSET($GD$3,0,0,'Données projet'!$E$17+1,1))-AVERAGE(OFFSET($H$3,0,0,'Données projet'!$E$17+1,1))</f>
        <v>455.50822833641354</v>
      </c>
      <c r="GF98" s="62">
        <f t="shared" si="104"/>
        <v>261.14722581688039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>
        <f>VLOOKUP(A98,'Données projet'!$A$269:$I$289,2,0)</f>
        <v>289.74358974358972</v>
      </c>
      <c r="GS98" s="13">
        <f>VLOOKUP(A98,'Données projet'!$A$269:$I$289,9,0)</f>
        <v>3.7179487179487181</v>
      </c>
      <c r="GT98" s="13">
        <f t="array" ref="GT98">INDEX(GS:GS,MIN(IF(ISNUMBER(GS98:GS294),ROW(GS98:GS294),"")))</f>
        <v>3.7179487179487181</v>
      </c>
      <c r="GU98" s="13">
        <f>IF('Données projet'!$A$270&gt;35,GU97+GT98-HC97,IF(A98&lt;'Données projet'!$A$270,$GR$205^A98,IF(A98='Données projet'!$A$270,'Données projet'!$B$270,GU97+GT98-HC97)))</f>
        <v>289.74358974358989</v>
      </c>
      <c r="GV98" s="18">
        <f>GU98*VLOOKUP('Données projet'!$B$18,Paramètres!$A$1:$I$89,3,0)*VLOOKUP('Données projet'!$B$18,Paramètres!$A$1:$I$89,5,0)</f>
        <v>194.3600000000001</v>
      </c>
      <c r="GW98" s="14">
        <f t="shared" si="105"/>
        <v>48.502610439386679</v>
      </c>
      <c r="GX98" s="22">
        <f t="shared" si="82"/>
        <v>422.98571318193194</v>
      </c>
      <c r="GY98" s="62">
        <f t="shared" si="83"/>
        <v>716.3190465152652</v>
      </c>
      <c r="GZ98" s="62">
        <f ca="1">AVERAGE(OFFSET($GY$3,0,0,'Données projet'!$E$18+1,1))-AVERAGE(OFFSET($H$3,0,0,'Données projet'!$E$18+1,1))</f>
        <v>312.06797204903796</v>
      </c>
      <c r="HA98" s="62">
        <f t="shared" si="106"/>
        <v>258.20189001775151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projet'!$B$18,Paramètres!$A$1:$I$89,3,0)*0.475*44/12</f>
        <v>0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84"/>
        <v>0</v>
      </c>
    </row>
    <row r="99" spans="1:218" s="5" customFormat="1" x14ac:dyDescent="0.25">
      <c r="A99" s="11">
        <f t="shared" si="85"/>
        <v>96</v>
      </c>
      <c r="B99" s="76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9">
        <f t="shared" si="56"/>
        <v>256.66666666666669</v>
      </c>
      <c r="I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2.2737367544323206E-13</v>
      </c>
      <c r="O99" s="14">
        <f>N99*VLOOKUP('Données projet'!$B$9,Paramètres!$A$1:$I$89,3,0)*VLOOKUP('Données projet'!$B$9,Paramètres!$A$1:$I$89,5,0)</f>
        <v>1.2710188457276673E-13</v>
      </c>
      <c r="P99" s="14">
        <f t="shared" si="87"/>
        <v>1.856866851063998E-12</v>
      </c>
      <c r="Q99" s="22">
        <f t="shared" ref="Q99:Q130" si="107">(O99+P99)*0.475*44/12</f>
        <v>3.4554122145673649E-12</v>
      </c>
      <c r="R99" s="62">
        <f t="shared" si="55"/>
        <v>293.33333333333678</v>
      </c>
      <c r="S99" s="62">
        <f ca="1">AVERAGE(OFFSET($R$3,0,0,'Données projet'!$E$9+1,1))-AVERAGE(OFFSET($H$3,0,0,'Données projet'!$E$9+1,1))</f>
        <v>323.98185264074681</v>
      </c>
      <c r="T99" s="62">
        <f t="shared" si="88"/>
        <v>301.22207291854005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1.2075475669315836</v>
      </c>
      <c r="AA99" s="23">
        <f>EXP(-LN(2)/25)*AA98+(1-EXP(-LN(2)/25))/(LN(2)/25)*Calculateur!V99*Calculateur!X99*VLOOKUP('Données projet'!$B$9,Paramètres!$A$1:$I$89,3,0)*0.475*44/12</f>
        <v>1.3230997430406948</v>
      </c>
      <c r="AB99" s="23">
        <f>EXP(-LN(2)/2)*AB98+(1-EXP(-LN(2)/2))/(LN(2)/2)*V99*Y99*VLOOKUP('Données projet'!$B$9,Paramètres!$A$1:$I$89,3,0)*0.475*44/12</f>
        <v>7.0871403203555623E-10</v>
      </c>
      <c r="AC99" s="24">
        <f t="shared" si="57"/>
        <v>2.5306473106809921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-2.8421709430404007E-13</v>
      </c>
      <c r="AJ99" s="14">
        <f>AI99*VLOOKUP('Données projet'!$B$10,Paramètres!$A$1:$I$89,3,0)*VLOOKUP('Données projet'!$B$10,Paramètres!$A$1:$I$89,5,0)</f>
        <v>-1.69961822393816E-13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289.12367833861299</v>
      </c>
      <c r="AO99" s="62">
        <f t="shared" si="90"/>
        <v>229.06617320689003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4.8275514017155504E-10</v>
      </c>
      <c r="AX99" s="23">
        <f t="shared" si="60"/>
        <v>4.8275514017155504E-10</v>
      </c>
      <c r="AY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4.9000000000000004</v>
      </c>
      <c r="BD99" s="13">
        <f>IF('Données projet'!$A$88&gt;35,BD98+BC99-BL98,IF(A99&lt;'Données projet'!$A$88,$BA$205^A99,IF(A99='Données projet'!$A$88,'Données projet'!$B$88,BD98+BC99-BL98)))</f>
        <v>283.39999999999992</v>
      </c>
      <c r="BE99" s="14">
        <f>BD99*VLOOKUP('Données projet'!$B$11,Paramètres!$A$1:$I$89,3,0)*VLOOKUP('Données projet'!$B$11,Paramètres!$A$1:$I$89,5,0)</f>
        <v>256.42031999999989</v>
      </c>
      <c r="BF99" s="14">
        <f t="shared" si="91"/>
        <v>61.958720258016918</v>
      </c>
      <c r="BG99" s="22">
        <f t="shared" si="61"/>
        <v>554.51016178271254</v>
      </c>
      <c r="BH99" s="62">
        <f t="shared" si="62"/>
        <v>847.84349511604591</v>
      </c>
      <c r="BI99" s="62">
        <f ca="1">AVERAGE(OFFSET($BH$3,0,0,'Données projet'!$E$11+1,1))-AVERAGE(OFFSET($H$3,0,0,'Données projet'!$E$11+1,1))</f>
        <v>428.8489304403459</v>
      </c>
      <c r="BJ99" s="62">
        <f t="shared" si="92"/>
        <v>247.01165577562966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-1.7053025658242404E-13</v>
      </c>
      <c r="BZ99" s="14">
        <f>BY99*VLOOKUP('Données projet'!$B$12,Paramètres!$A$1:$I$89,3,0)*VLOOKUP('Données projet'!$B$12,Paramètres!$A$1:$I$89,5,0)</f>
        <v>-1.250327841262333E-13</v>
      </c>
      <c r="CA99" s="14" t="e">
        <f t="shared" si="93"/>
        <v>#NUM!</v>
      </c>
      <c r="CB99" s="22" t="e">
        <f t="shared" si="64"/>
        <v>#NUM!</v>
      </c>
      <c r="CC99" s="62" t="e">
        <f t="shared" si="65"/>
        <v>#NUM!</v>
      </c>
      <c r="CD99" s="62">
        <f ca="1">AVERAGE(OFFSET($CC$3,0,0,'Données projet'!$E$12+1,1))-AVERAGE(OFFSET($H$3,0,0,'Données projet'!$E$12+1,1))</f>
        <v>290.85271051443431</v>
      </c>
      <c r="CE99" s="62">
        <f t="shared" si="94"/>
        <v>318.66958823451142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1.1368683772161603E-13</v>
      </c>
      <c r="CU99" s="18">
        <f>CT99*VLOOKUP('Données projet'!$B$13,Paramètres!$A$1:$I$89,3,0)*VLOOKUP('Données projet'!$B$13,Paramètres!$A$1:$I$89,5,0)</f>
        <v>8.8675733422860506E-14</v>
      </c>
      <c r="CV99" s="14">
        <f t="shared" si="95"/>
        <v>1.3509285393066301E-12</v>
      </c>
      <c r="CW99" s="22">
        <f t="shared" si="67"/>
        <v>2.5073107750038623E-12</v>
      </c>
      <c r="CX99" s="62">
        <f t="shared" si="68"/>
        <v>293.33333333333582</v>
      </c>
      <c r="CY99" s="62">
        <f ca="1">AVERAGE(OFFSET($CX$3,0,0,'Données projet'!$E$13+1,1))-AVERAGE(OFFSET($H$3,0,0,'Données projet'!$E$13+1,1))</f>
        <v>292.57482726862594</v>
      </c>
      <c r="CZ99" s="62">
        <f t="shared" si="96"/>
        <v>283.48738729114024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-1.7053025658242404E-13</v>
      </c>
      <c r="DP99" s="18">
        <f>DO99*VLOOKUP('Données projet'!$B$14,Paramètres!$A$1:$I$89,3,0)*VLOOKUP('Données projet'!$B$14,Paramètres!$A$1:$I$89,5,0)</f>
        <v>-1.3567387213697657E-13</v>
      </c>
      <c r="DQ99" s="14" t="e">
        <f t="shared" si="97"/>
        <v>#NUM!</v>
      </c>
      <c r="DR99" s="22" t="e">
        <f t="shared" si="70"/>
        <v>#NUM!</v>
      </c>
      <c r="DS99" s="62" t="e">
        <f t="shared" si="71"/>
        <v>#NUM!</v>
      </c>
      <c r="DT99" s="62">
        <f ca="1">AVERAGE(OFFSET($DS$3,0,0,'Données projet'!$E$14+1,1))-AVERAGE(OFFSET($H$3,0,0,'Données projet'!$E$14+1,1))</f>
        <v>312.53381881960331</v>
      </c>
      <c r="DU99" s="62">
        <f t="shared" si="98"/>
        <v>342.06887933351783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3.3333333333333313</v>
      </c>
      <c r="EJ99" s="13">
        <f>IF('Données projet'!$A$192&gt;35,EJ98+EI99-ER98,IF(A99&lt;'Données projet'!$A$192,$EG$205^A99,IF(A99='Données projet'!$A$192,'Données projet'!$B$192,EJ98+EI99-ER98)))</f>
        <v>232.82051282051276</v>
      </c>
      <c r="EK99" s="18">
        <f>EJ99*VLOOKUP('Données projet'!$B$15,Paramètres!$A$1:$I$89,3,0)*VLOOKUP('Données projet'!$B$15,Paramètres!$A$1:$I$89,5,0)</f>
        <v>221.55199999999994</v>
      </c>
      <c r="EL99" s="14">
        <f t="shared" si="99"/>
        <v>54.452067119881683</v>
      </c>
      <c r="EM99" s="22">
        <f t="shared" si="73"/>
        <v>480.70708356712709</v>
      </c>
      <c r="EN99" s="62">
        <f t="shared" si="74"/>
        <v>774.0404169004604</v>
      </c>
      <c r="EO99" s="62">
        <f ca="1">AVERAGE(OFFSET($EN$3,0,0,'Données projet'!$E$15+1,1))-AVERAGE(OFFSET($H$3,0,0,'Données projet'!$E$15+1,1))</f>
        <v>363.37916970915211</v>
      </c>
      <c r="EP99" s="62">
        <f t="shared" si="100"/>
        <v>281.52963027844595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8.1576923076923151</v>
      </c>
      <c r="FE99" s="13">
        <f>IF('Données projet'!$A$218&gt;35,FE98+FD99-FM98,IF(A99&lt;'Données projet'!$A$218,$FB$205^A99,IF(A99='Données projet'!$A$218,'Données projet'!$B$218,FE98+FD99-FM98)))</f>
        <v>373.39615384615331</v>
      </c>
      <c r="FF99" s="18">
        <f>FE99*VLOOKUP('Données projet'!$B$16,Paramètres!$A$1:$I$89,3,0)*VLOOKUP('Données projet'!$B$16,Paramètres!$A$1:$I$89,5,0)</f>
        <v>174.74939999999975</v>
      </c>
      <c r="FG99" s="14">
        <f t="shared" si="101"/>
        <v>44.152019355804249</v>
      </c>
      <c r="FH99" s="22">
        <f t="shared" si="76"/>
        <v>381.25330537802529</v>
      </c>
      <c r="FI99" s="62">
        <f t="shared" si="77"/>
        <v>674.58663871135855</v>
      </c>
      <c r="FJ99" s="62">
        <f ca="1">AVERAGE(OFFSET($FI$3,0,0,'Données projet'!$E$16+1,1))-AVERAGE(OFFSET($H$3,0,0,'Données projet'!$E$16+1,1))</f>
        <v>245.47494516762282</v>
      </c>
      <c r="FK99" s="62">
        <f t="shared" si="102"/>
        <v>145.54897745089966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4.9000000000000004</v>
      </c>
      <c r="FZ99" s="13">
        <f>IF('Données projet'!$A$244&gt;35,FZ98+FY99-GH98,IF(A99&lt;'Données projet'!$A$244,$FW$205^A99,IF(A99='Données projet'!$A$244,'Données projet'!$B$244,FZ98+FY99-GH98)))</f>
        <v>283.39999999999992</v>
      </c>
      <c r="GA99" s="18">
        <f>FZ99*VLOOKUP('Données projet'!$B$17,Paramètres!$A$1:$I$89,3,0)*VLOOKUP('Données projet'!$B$17,Paramètres!$A$1:$I$89,5,0)</f>
        <v>274.10447999999991</v>
      </c>
      <c r="GB99" s="14">
        <f t="shared" si="103"/>
        <v>65.719577181765516</v>
      </c>
      <c r="GC99" s="22">
        <f t="shared" si="79"/>
        <v>591.86023292490802</v>
      </c>
      <c r="GD99" s="62">
        <f t="shared" si="80"/>
        <v>885.19356625824139</v>
      </c>
      <c r="GE99" s="62">
        <f ca="1">AVERAGE(OFFSET($GD$3,0,0,'Données projet'!$E$17+1,1))-AVERAGE(OFFSET($H$3,0,0,'Données projet'!$E$17+1,1))</f>
        <v>455.50822833641354</v>
      </c>
      <c r="GF99" s="62">
        <f t="shared" si="104"/>
        <v>261.14722581688039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3.5897435897435912</v>
      </c>
      <c r="GU99" s="13">
        <f>IF('Données projet'!$A$270&gt;35,GU98+GT99-HC98,IF(A99&lt;'Données projet'!$A$270,$GR$205^A99,IF(A99='Données projet'!$A$270,'Données projet'!$B$270,GU98+GT99-HC98)))</f>
        <v>293.33333333333348</v>
      </c>
      <c r="GV99" s="18">
        <f>GU99*VLOOKUP('Données projet'!$B$18,Paramètres!$A$1:$I$89,3,0)*VLOOKUP('Données projet'!$B$18,Paramètres!$A$1:$I$89,5,0)</f>
        <v>196.76800000000011</v>
      </c>
      <c r="GW99" s="14">
        <f t="shared" si="105"/>
        <v>49.033199854505597</v>
      </c>
      <c r="GX99" s="22">
        <f t="shared" si="82"/>
        <v>428.10375641326408</v>
      </c>
      <c r="GY99" s="62">
        <f t="shared" si="83"/>
        <v>721.43708974659739</v>
      </c>
      <c r="GZ99" s="62">
        <f ca="1">AVERAGE(OFFSET($GY$3,0,0,'Données projet'!$E$18+1,1))-AVERAGE(OFFSET($H$3,0,0,'Données projet'!$E$18+1,1))</f>
        <v>312.06797204903796</v>
      </c>
      <c r="HA99" s="62">
        <f t="shared" si="106"/>
        <v>258.20189001775151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projet'!$B$18,Paramètres!$A$1:$I$89,3,0)*0.475*44/12</f>
        <v>0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84"/>
        <v>0</v>
      </c>
    </row>
    <row r="100" spans="1:218" s="5" customFormat="1" x14ac:dyDescent="0.25">
      <c r="A100" s="11">
        <f t="shared" si="85"/>
        <v>97</v>
      </c>
      <c r="B100" s="76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9">
        <f t="shared" si="56"/>
        <v>256.66666666666669</v>
      </c>
      <c r="I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2.2737367544323206E-13</v>
      </c>
      <c r="O100" s="14">
        <f>N100*VLOOKUP('Données projet'!$B$9,Paramètres!$A$1:$I$89,3,0)*VLOOKUP('Données projet'!$B$9,Paramètres!$A$1:$I$89,5,0)</f>
        <v>1.2710188457276673E-13</v>
      </c>
      <c r="P100" s="14">
        <f t="shared" si="87"/>
        <v>1.856866851063998E-12</v>
      </c>
      <c r="Q100" s="22">
        <f t="shared" si="107"/>
        <v>3.4554122145673649E-12</v>
      </c>
      <c r="R100" s="62">
        <f t="shared" si="55"/>
        <v>293.33333333333678</v>
      </c>
      <c r="S100" s="62">
        <f ca="1">AVERAGE(OFFSET($R$3,0,0,'Données projet'!$E$9+1,1))-AVERAGE(OFFSET($H$3,0,0,'Données projet'!$E$9+1,1))</f>
        <v>323.98185264074681</v>
      </c>
      <c r="T100" s="62">
        <f t="shared" si="88"/>
        <v>301.22207291854005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1.1838682956753446</v>
      </c>
      <c r="AA100" s="23">
        <f>EXP(-LN(2)/25)*AA99+(1-EXP(-LN(2)/25))/(LN(2)/25)*Calculateur!V100*Calculateur!X100*VLOOKUP('Données projet'!$B$9,Paramètres!$A$1:$I$89,3,0)*0.475*44/12</f>
        <v>1.2869195109884555</v>
      </c>
      <c r="AB100" s="23">
        <f>EXP(-LN(2)/2)*AB99+(1-EXP(-LN(2)/2))/(LN(2)/2)*V100*Y100*VLOOKUP('Données projet'!$B$9,Paramètres!$A$1:$I$89,3,0)*0.475*44/12</f>
        <v>5.0113649797440188E-10</v>
      </c>
      <c r="AC100" s="24">
        <f t="shared" si="57"/>
        <v>2.4707878071649367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-2.8421709430404007E-13</v>
      </c>
      <c r="AJ100" s="14">
        <f>AI100*VLOOKUP('Données projet'!$B$10,Paramètres!$A$1:$I$89,3,0)*VLOOKUP('Données projet'!$B$10,Paramètres!$A$1:$I$89,5,0)</f>
        <v>-1.69961822393816E-13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289.12367833861299</v>
      </c>
      <c r="AO100" s="62">
        <f t="shared" si="90"/>
        <v>229.06617320689003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3.4135943326796886E-10</v>
      </c>
      <c r="AX100" s="23">
        <f t="shared" si="60"/>
        <v>3.4135943326796886E-10</v>
      </c>
      <c r="AY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4.9000000000000004</v>
      </c>
      <c r="BD100" s="13">
        <f>IF('Données projet'!$A$88&gt;35,BD99+BC100-BL99,IF(A100&lt;'Données projet'!$A$88,$BA$205^A100,IF(A100='Données projet'!$A$88,'Données projet'!$B$88,BD99+BC100-BL99)))</f>
        <v>288.2999999999999</v>
      </c>
      <c r="BE100" s="14">
        <f>BD100*VLOOKUP('Données projet'!$B$11,Paramètres!$A$1:$I$89,3,0)*VLOOKUP('Données projet'!$B$11,Paramètres!$A$1:$I$89,5,0)</f>
        <v>260.85383999999993</v>
      </c>
      <c r="BF100" s="14">
        <f t="shared" si="91"/>
        <v>62.904347395903763</v>
      </c>
      <c r="BG100" s="22">
        <f t="shared" si="61"/>
        <v>563.87884304786564</v>
      </c>
      <c r="BH100" s="62">
        <f t="shared" si="62"/>
        <v>857.21217638119901</v>
      </c>
      <c r="BI100" s="62">
        <f ca="1">AVERAGE(OFFSET($BH$3,0,0,'Données projet'!$E$11+1,1))-AVERAGE(OFFSET($H$3,0,0,'Données projet'!$E$11+1,1))</f>
        <v>428.8489304403459</v>
      </c>
      <c r="BJ100" s="62">
        <f t="shared" si="92"/>
        <v>247.01165577562966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-1.7053025658242404E-13</v>
      </c>
      <c r="BZ100" s="14">
        <f>BY100*VLOOKUP('Données projet'!$B$12,Paramètres!$A$1:$I$89,3,0)*VLOOKUP('Données projet'!$B$12,Paramètres!$A$1:$I$89,5,0)</f>
        <v>-1.250327841262333E-13</v>
      </c>
      <c r="CA100" s="14" t="e">
        <f t="shared" si="93"/>
        <v>#NUM!</v>
      </c>
      <c r="CB100" s="22" t="e">
        <f t="shared" si="64"/>
        <v>#NUM!</v>
      </c>
      <c r="CC100" s="62" t="e">
        <f t="shared" si="65"/>
        <v>#NUM!</v>
      </c>
      <c r="CD100" s="62">
        <f ca="1">AVERAGE(OFFSET($CC$3,0,0,'Données projet'!$E$12+1,1))-AVERAGE(OFFSET($H$3,0,0,'Données projet'!$E$12+1,1))</f>
        <v>290.85271051443431</v>
      </c>
      <c r="CE100" s="62">
        <f t="shared" si="94"/>
        <v>318.66958823451142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1.1368683772161603E-13</v>
      </c>
      <c r="CU100" s="18">
        <f>CT100*VLOOKUP('Données projet'!$B$13,Paramètres!$A$1:$I$89,3,0)*VLOOKUP('Données projet'!$B$13,Paramètres!$A$1:$I$89,5,0)</f>
        <v>8.8675733422860506E-14</v>
      </c>
      <c r="CV100" s="14">
        <f t="shared" si="95"/>
        <v>1.3509285393066301E-12</v>
      </c>
      <c r="CW100" s="22">
        <f t="shared" si="67"/>
        <v>2.5073107750038623E-12</v>
      </c>
      <c r="CX100" s="62">
        <f t="shared" si="68"/>
        <v>293.33333333333582</v>
      </c>
      <c r="CY100" s="62">
        <f ca="1">AVERAGE(OFFSET($CX$3,0,0,'Données projet'!$E$13+1,1))-AVERAGE(OFFSET($H$3,0,0,'Données projet'!$E$13+1,1))</f>
        <v>292.57482726862594</v>
      </c>
      <c r="CZ100" s="62">
        <f t="shared" si="96"/>
        <v>283.48738729114024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-1.7053025658242404E-13</v>
      </c>
      <c r="DP100" s="18">
        <f>DO100*VLOOKUP('Données projet'!$B$14,Paramètres!$A$1:$I$89,3,0)*VLOOKUP('Données projet'!$B$14,Paramètres!$A$1:$I$89,5,0)</f>
        <v>-1.3567387213697657E-13</v>
      </c>
      <c r="DQ100" s="14" t="e">
        <f t="shared" si="97"/>
        <v>#NUM!</v>
      </c>
      <c r="DR100" s="22" t="e">
        <f t="shared" si="70"/>
        <v>#NUM!</v>
      </c>
      <c r="DS100" s="62" t="e">
        <f t="shared" si="71"/>
        <v>#NUM!</v>
      </c>
      <c r="DT100" s="62">
        <f ca="1">AVERAGE(OFFSET($DS$3,0,0,'Données projet'!$E$14+1,1))-AVERAGE(OFFSET($H$3,0,0,'Données projet'!$E$14+1,1))</f>
        <v>312.53381881960331</v>
      </c>
      <c r="DU100" s="62">
        <f t="shared" si="98"/>
        <v>342.06887933351783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3.3333333333333313</v>
      </c>
      <c r="EJ100" s="13">
        <f>IF('Données projet'!$A$192&gt;35,EJ99+EI100-ER99,IF(A100&lt;'Données projet'!$A$192,$EG$205^A100,IF(A100='Données projet'!$A$192,'Données projet'!$B$192,EJ99+EI100-ER99)))</f>
        <v>236.1538461538461</v>
      </c>
      <c r="EK100" s="18">
        <f>EJ100*VLOOKUP('Données projet'!$B$15,Paramètres!$A$1:$I$89,3,0)*VLOOKUP('Données projet'!$B$15,Paramètres!$A$1:$I$89,5,0)</f>
        <v>224.72399999999993</v>
      </c>
      <c r="EL100" s="14">
        <f t="shared" si="99"/>
        <v>55.140350790767556</v>
      </c>
      <c r="EM100" s="22">
        <f t="shared" si="73"/>
        <v>487.4304109605867</v>
      </c>
      <c r="EN100" s="62">
        <f t="shared" si="74"/>
        <v>780.76374429392001</v>
      </c>
      <c r="EO100" s="62">
        <f ca="1">AVERAGE(OFFSET($EN$3,0,0,'Données projet'!$E$15+1,1))-AVERAGE(OFFSET($H$3,0,0,'Données projet'!$E$15+1,1))</f>
        <v>363.37916970915211</v>
      </c>
      <c r="EP100" s="62">
        <f t="shared" si="100"/>
        <v>281.52963027844595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8.1576923076923151</v>
      </c>
      <c r="FE100" s="13">
        <f>IF('Données projet'!$A$218&gt;35,FE99+FD100-FM99,IF(A100&lt;'Données projet'!$A$218,$FB$205^A100,IF(A100='Données projet'!$A$218,'Données projet'!$B$218,FE99+FD100-FM99)))</f>
        <v>381.5538461538456</v>
      </c>
      <c r="FF100" s="18">
        <f>FE100*VLOOKUP('Données projet'!$B$16,Paramètres!$A$1:$I$89,3,0)*VLOOKUP('Données projet'!$B$16,Paramètres!$A$1:$I$89,5,0)</f>
        <v>178.56719999999976</v>
      </c>
      <c r="FG100" s="14">
        <f t="shared" si="101"/>
        <v>45.003266447079469</v>
      </c>
      <c r="FH100" s="22">
        <f t="shared" si="76"/>
        <v>389.38522906199631</v>
      </c>
      <c r="FI100" s="62">
        <f t="shared" si="77"/>
        <v>682.71856239532963</v>
      </c>
      <c r="FJ100" s="62">
        <f ca="1">AVERAGE(OFFSET($FI$3,0,0,'Données projet'!$E$16+1,1))-AVERAGE(OFFSET($H$3,0,0,'Données projet'!$E$16+1,1))</f>
        <v>245.47494516762282</v>
      </c>
      <c r="FK100" s="62">
        <f t="shared" si="102"/>
        <v>145.54897745089966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4.9000000000000004</v>
      </c>
      <c r="FZ100" s="13">
        <f>IF('Données projet'!$A$244&gt;35,FZ99+FY100-GH99,IF(A100&lt;'Données projet'!$A$244,$FW$205^A100,IF(A100='Données projet'!$A$244,'Données projet'!$B$244,FZ99+FY100-GH99)))</f>
        <v>288.2999999999999</v>
      </c>
      <c r="GA100" s="18">
        <f>FZ100*VLOOKUP('Données projet'!$B$17,Paramètres!$A$1:$I$89,3,0)*VLOOKUP('Données projet'!$B$17,Paramètres!$A$1:$I$89,5,0)</f>
        <v>278.84375999999992</v>
      </c>
      <c r="GB100" s="14">
        <f t="shared" si="103"/>
        <v>66.722603316177725</v>
      </c>
      <c r="GC100" s="22">
        <f t="shared" si="79"/>
        <v>601.86141610900938</v>
      </c>
      <c r="GD100" s="62">
        <f t="shared" si="80"/>
        <v>895.19474944234275</v>
      </c>
      <c r="GE100" s="62">
        <f ca="1">AVERAGE(OFFSET($GD$3,0,0,'Données projet'!$E$17+1,1))-AVERAGE(OFFSET($H$3,0,0,'Données projet'!$E$17+1,1))</f>
        <v>455.50822833641354</v>
      </c>
      <c r="GF100" s="62">
        <f t="shared" si="104"/>
        <v>261.14722581688039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3.5897435897435912</v>
      </c>
      <c r="GU100" s="13">
        <f>IF('Données projet'!$A$270&gt;35,GU99+GT100-HC99,IF(A100&lt;'Données projet'!$A$270,$GR$205^A100,IF(A100='Données projet'!$A$270,'Données projet'!$B$270,GU99+GT100-HC99)))</f>
        <v>296.92307692307708</v>
      </c>
      <c r="GV100" s="18">
        <f>GU100*VLOOKUP('Données projet'!$B$18,Paramètres!$A$1:$I$89,3,0)*VLOOKUP('Données projet'!$B$18,Paramètres!$A$1:$I$89,5,0)</f>
        <v>199.1760000000001</v>
      </c>
      <c r="GW100" s="14">
        <f t="shared" si="105"/>
        <v>49.563033976114944</v>
      </c>
      <c r="GX100" s="22">
        <f t="shared" si="82"/>
        <v>433.22048417506704</v>
      </c>
      <c r="GY100" s="62">
        <f t="shared" si="83"/>
        <v>726.55381750840036</v>
      </c>
      <c r="GZ100" s="62">
        <f ca="1">AVERAGE(OFFSET($GY$3,0,0,'Données projet'!$E$18+1,1))-AVERAGE(OFFSET($H$3,0,0,'Données projet'!$E$18+1,1))</f>
        <v>312.06797204903796</v>
      </c>
      <c r="HA100" s="62">
        <f t="shared" si="106"/>
        <v>258.20189001775151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projet'!$B$18,Paramètres!$A$1:$I$89,3,0)*0.475*44/12</f>
        <v>0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84"/>
        <v>0</v>
      </c>
    </row>
    <row r="101" spans="1:218" s="5" customFormat="1" x14ac:dyDescent="0.25">
      <c r="A101" s="11">
        <f t="shared" si="85"/>
        <v>98</v>
      </c>
      <c r="B101" s="76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9">
        <f t="shared" si="56"/>
        <v>256.66666666666669</v>
      </c>
      <c r="I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2.2737367544323206E-13</v>
      </c>
      <c r="O101" s="14">
        <f>N101*VLOOKUP('Données projet'!$B$9,Paramètres!$A$1:$I$89,3,0)*VLOOKUP('Données projet'!$B$9,Paramètres!$A$1:$I$89,5,0)</f>
        <v>1.2710188457276673E-13</v>
      </c>
      <c r="P101" s="14">
        <f t="shared" si="87"/>
        <v>1.856866851063998E-12</v>
      </c>
      <c r="Q101" s="22">
        <f t="shared" si="107"/>
        <v>3.4554122145673649E-12</v>
      </c>
      <c r="R101" s="62">
        <f t="shared" si="55"/>
        <v>293.33333333333678</v>
      </c>
      <c r="S101" s="62">
        <f ca="1">AVERAGE(OFFSET($R$3,0,0,'Données projet'!$E$9+1,1))-AVERAGE(OFFSET($H$3,0,0,'Données projet'!$E$9+1,1))</f>
        <v>323.98185264074681</v>
      </c>
      <c r="T101" s="62">
        <f t="shared" si="88"/>
        <v>301.22207291854005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1.1606533604855112</v>
      </c>
      <c r="AA101" s="23">
        <f>EXP(-LN(2)/25)*AA100+(1-EXP(-LN(2)/25))/(LN(2)/25)*Calculateur!V101*Calculateur!X101*VLOOKUP('Données projet'!$B$9,Paramètres!$A$1:$I$89,3,0)*0.475*44/12</f>
        <v>1.2517286292843204</v>
      </c>
      <c r="AB101" s="23">
        <f>EXP(-LN(2)/2)*AB100+(1-EXP(-LN(2)/2))/(LN(2)/2)*V101*Y101*VLOOKUP('Données projet'!$B$9,Paramètres!$A$1:$I$89,3,0)*0.475*44/12</f>
        <v>3.5435701601777812E-10</v>
      </c>
      <c r="AC101" s="24">
        <f t="shared" si="57"/>
        <v>2.4123819901241883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-2.8421709430404007E-13</v>
      </c>
      <c r="AJ101" s="14">
        <f>AI101*VLOOKUP('Données projet'!$B$10,Paramètres!$A$1:$I$89,3,0)*VLOOKUP('Données projet'!$B$10,Paramètres!$A$1:$I$89,5,0)</f>
        <v>-1.69961822393816E-13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289.12367833861299</v>
      </c>
      <c r="AO101" s="62">
        <f t="shared" si="90"/>
        <v>229.06617320689003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2.4137757008577752E-10</v>
      </c>
      <c r="AX101" s="23">
        <f t="shared" si="60"/>
        <v>2.4137757008577752E-10</v>
      </c>
      <c r="AY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4.9000000000000004</v>
      </c>
      <c r="BD101" s="13">
        <f>IF('Données projet'!$A$88&gt;35,BD100+BC101-BL100,IF(A101&lt;'Données projet'!$A$88,$BA$205^A101,IF(A101='Données projet'!$A$88,'Données projet'!$B$88,BD100+BC101-BL100)))</f>
        <v>293.19999999999987</v>
      </c>
      <c r="BE101" s="14">
        <f>BD101*VLOOKUP('Données projet'!$B$11,Paramètres!$A$1:$I$89,3,0)*VLOOKUP('Données projet'!$B$11,Paramètres!$A$1:$I$89,5,0)</f>
        <v>265.28735999999992</v>
      </c>
      <c r="BF101" s="14">
        <f t="shared" si="91"/>
        <v>63.84810550096995</v>
      </c>
      <c r="BG101" s="22">
        <f t="shared" si="61"/>
        <v>573.24426908085582</v>
      </c>
      <c r="BH101" s="62">
        <f t="shared" si="62"/>
        <v>866.57760241418919</v>
      </c>
      <c r="BI101" s="62">
        <f ca="1">AVERAGE(OFFSET($BH$3,0,0,'Données projet'!$E$11+1,1))-AVERAGE(OFFSET($H$3,0,0,'Données projet'!$E$11+1,1))</f>
        <v>428.8489304403459</v>
      </c>
      <c r="BJ101" s="62">
        <f t="shared" si="92"/>
        <v>247.01165577562966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-1.7053025658242404E-13</v>
      </c>
      <c r="BZ101" s="14">
        <f>BY101*VLOOKUP('Données projet'!$B$12,Paramètres!$A$1:$I$89,3,0)*VLOOKUP('Données projet'!$B$12,Paramètres!$A$1:$I$89,5,0)</f>
        <v>-1.250327841262333E-13</v>
      </c>
      <c r="CA101" s="14" t="e">
        <f t="shared" si="93"/>
        <v>#NUM!</v>
      </c>
      <c r="CB101" s="22" t="e">
        <f t="shared" si="64"/>
        <v>#NUM!</v>
      </c>
      <c r="CC101" s="62" t="e">
        <f t="shared" si="65"/>
        <v>#NUM!</v>
      </c>
      <c r="CD101" s="62">
        <f ca="1">AVERAGE(OFFSET($CC$3,0,0,'Données projet'!$E$12+1,1))-AVERAGE(OFFSET($H$3,0,0,'Données projet'!$E$12+1,1))</f>
        <v>290.85271051443431</v>
      </c>
      <c r="CE101" s="62">
        <f t="shared" si="94"/>
        <v>318.66958823451142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1.1368683772161603E-13</v>
      </c>
      <c r="CU101" s="18">
        <f>CT101*VLOOKUP('Données projet'!$B$13,Paramètres!$A$1:$I$89,3,0)*VLOOKUP('Données projet'!$B$13,Paramètres!$A$1:$I$89,5,0)</f>
        <v>8.8675733422860506E-14</v>
      </c>
      <c r="CV101" s="14">
        <f t="shared" si="95"/>
        <v>1.3509285393066301E-12</v>
      </c>
      <c r="CW101" s="22">
        <f t="shared" si="67"/>
        <v>2.5073107750038623E-12</v>
      </c>
      <c r="CX101" s="62">
        <f t="shared" si="68"/>
        <v>293.33333333333582</v>
      </c>
      <c r="CY101" s="62">
        <f ca="1">AVERAGE(OFFSET($CX$3,0,0,'Données projet'!$E$13+1,1))-AVERAGE(OFFSET($H$3,0,0,'Données projet'!$E$13+1,1))</f>
        <v>292.57482726862594</v>
      </c>
      <c r="CZ101" s="62">
        <f t="shared" si="96"/>
        <v>283.48738729114024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-1.7053025658242404E-13</v>
      </c>
      <c r="DP101" s="18">
        <f>DO101*VLOOKUP('Données projet'!$B$14,Paramètres!$A$1:$I$89,3,0)*VLOOKUP('Données projet'!$B$14,Paramètres!$A$1:$I$89,5,0)</f>
        <v>-1.3567387213697657E-13</v>
      </c>
      <c r="DQ101" s="14" t="e">
        <f t="shared" si="97"/>
        <v>#NUM!</v>
      </c>
      <c r="DR101" s="22" t="e">
        <f t="shared" si="70"/>
        <v>#NUM!</v>
      </c>
      <c r="DS101" s="62" t="e">
        <f t="shared" si="71"/>
        <v>#NUM!</v>
      </c>
      <c r="DT101" s="62">
        <f ca="1">AVERAGE(OFFSET($DS$3,0,0,'Données projet'!$E$14+1,1))-AVERAGE(OFFSET($H$3,0,0,'Données projet'!$E$14+1,1))</f>
        <v>312.53381881960331</v>
      </c>
      <c r="DU101" s="62">
        <f t="shared" si="98"/>
        <v>342.06887933351783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3.3333333333333313</v>
      </c>
      <c r="EJ101" s="13">
        <f>IF('Données projet'!$A$192&gt;35,EJ100+EI101-ER100,IF(A101&lt;'Données projet'!$A$192,$EG$205^A101,IF(A101='Données projet'!$A$192,'Données projet'!$B$192,EJ100+EI101-ER100)))</f>
        <v>239.48717948717945</v>
      </c>
      <c r="EK101" s="18">
        <f>EJ101*VLOOKUP('Données projet'!$B$15,Paramètres!$A$1:$I$89,3,0)*VLOOKUP('Données projet'!$B$15,Paramètres!$A$1:$I$89,5,0)</f>
        <v>227.89599999999999</v>
      </c>
      <c r="EL101" s="14">
        <f t="shared" si="99"/>
        <v>55.827504502630809</v>
      </c>
      <c r="EM101" s="22">
        <f t="shared" si="73"/>
        <v>494.15177034208205</v>
      </c>
      <c r="EN101" s="62">
        <f t="shared" si="74"/>
        <v>787.4851036754153</v>
      </c>
      <c r="EO101" s="62">
        <f ca="1">AVERAGE(OFFSET($EN$3,0,0,'Données projet'!$E$15+1,1))-AVERAGE(OFFSET($H$3,0,0,'Données projet'!$E$15+1,1))</f>
        <v>363.37916970915211</v>
      </c>
      <c r="EP101" s="62">
        <f t="shared" si="100"/>
        <v>281.52963027844595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8.1576923076923151</v>
      </c>
      <c r="FE101" s="13">
        <f>IF('Données projet'!$A$218&gt;35,FE100+FD101-FM100,IF(A101&lt;'Données projet'!$A$218,$FB$205^A101,IF(A101='Données projet'!$A$218,'Données projet'!$B$218,FE100+FD101-FM100)))</f>
        <v>389.71153846153788</v>
      </c>
      <c r="FF101" s="18">
        <f>FE101*VLOOKUP('Données projet'!$B$16,Paramètres!$A$1:$I$89,3,0)*VLOOKUP('Données projet'!$B$16,Paramètres!$A$1:$I$89,5,0)</f>
        <v>182.38499999999974</v>
      </c>
      <c r="FG101" s="14">
        <f t="shared" si="101"/>
        <v>45.852397542618846</v>
      </c>
      <c r="FH101" s="22">
        <f t="shared" si="76"/>
        <v>397.51346738672737</v>
      </c>
      <c r="FI101" s="62">
        <f t="shared" si="77"/>
        <v>690.84680072006063</v>
      </c>
      <c r="FJ101" s="62">
        <f ca="1">AVERAGE(OFFSET($FI$3,0,0,'Données projet'!$E$16+1,1))-AVERAGE(OFFSET($H$3,0,0,'Données projet'!$E$16+1,1))</f>
        <v>245.47494516762282</v>
      </c>
      <c r="FK101" s="62">
        <f t="shared" si="102"/>
        <v>145.54897745089966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4.9000000000000004</v>
      </c>
      <c r="FZ101" s="13">
        <f>IF('Données projet'!$A$244&gt;35,FZ100+FY101-GH100,IF(A101&lt;'Données projet'!$A$244,$FW$205^A101,IF(A101='Données projet'!$A$244,'Données projet'!$B$244,FZ100+FY101-GH100)))</f>
        <v>293.19999999999987</v>
      </c>
      <c r="GA101" s="18">
        <f>FZ101*VLOOKUP('Données projet'!$B$17,Paramètres!$A$1:$I$89,3,0)*VLOOKUP('Données projet'!$B$17,Paramètres!$A$1:$I$89,5,0)</f>
        <v>283.58303999999993</v>
      </c>
      <c r="GB101" s="14">
        <f t="shared" si="103"/>
        <v>67.723646968605209</v>
      </c>
      <c r="GC101" s="22">
        <f t="shared" si="79"/>
        <v>611.85914647032064</v>
      </c>
      <c r="GD101" s="62">
        <f t="shared" si="80"/>
        <v>905.1924798036539</v>
      </c>
      <c r="GE101" s="62">
        <f ca="1">AVERAGE(OFFSET($GD$3,0,0,'Données projet'!$E$17+1,1))-AVERAGE(OFFSET($H$3,0,0,'Données projet'!$E$17+1,1))</f>
        <v>455.50822833641354</v>
      </c>
      <c r="GF101" s="62">
        <f t="shared" si="104"/>
        <v>261.14722581688039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3.5897435897435912</v>
      </c>
      <c r="GU101" s="13">
        <f>IF('Données projet'!$A$270&gt;35,GU100+GT101-HC100,IF(A101&lt;'Données projet'!$A$270,$GR$205^A101,IF(A101='Données projet'!$A$270,'Données projet'!$B$270,GU100+GT101-HC100)))</f>
        <v>300.51282051282067</v>
      </c>
      <c r="GV101" s="18">
        <f>GU101*VLOOKUP('Données projet'!$B$18,Paramètres!$A$1:$I$89,3,0)*VLOOKUP('Données projet'!$B$18,Paramètres!$A$1:$I$89,5,0)</f>
        <v>201.58400000000009</v>
      </c>
      <c r="GW101" s="14">
        <f t="shared" si="105"/>
        <v>50.092122991789054</v>
      </c>
      <c r="GX101" s="22">
        <f t="shared" si="82"/>
        <v>438.33591421069946</v>
      </c>
      <c r="GY101" s="62">
        <f t="shared" si="83"/>
        <v>731.66924754403271</v>
      </c>
      <c r="GZ101" s="62">
        <f ca="1">AVERAGE(OFFSET($GY$3,0,0,'Données projet'!$E$18+1,1))-AVERAGE(OFFSET($H$3,0,0,'Données projet'!$E$18+1,1))</f>
        <v>312.06797204903796</v>
      </c>
      <c r="HA101" s="62">
        <f t="shared" si="106"/>
        <v>258.20189001775151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projet'!$B$18,Paramètres!$A$1:$I$89,3,0)*0.475*44/12</f>
        <v>0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84"/>
        <v>0</v>
      </c>
    </row>
    <row r="102" spans="1:218" s="5" customFormat="1" x14ac:dyDescent="0.25">
      <c r="A102" s="11">
        <f t="shared" si="85"/>
        <v>99</v>
      </c>
      <c r="B102" s="76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9">
        <f t="shared" si="56"/>
        <v>256.66666666666669</v>
      </c>
      <c r="I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2.2737367544323206E-13</v>
      </c>
      <c r="O102" s="14">
        <f>N102*VLOOKUP('Données projet'!$B$9,Paramètres!$A$1:$I$89,3,0)*VLOOKUP('Données projet'!$B$9,Paramètres!$A$1:$I$89,5,0)</f>
        <v>1.2710188457276673E-13</v>
      </c>
      <c r="P102" s="14">
        <f t="shared" si="87"/>
        <v>1.856866851063998E-12</v>
      </c>
      <c r="Q102" s="22">
        <f t="shared" si="107"/>
        <v>3.4554122145673649E-12</v>
      </c>
      <c r="R102" s="62">
        <f t="shared" si="55"/>
        <v>293.33333333333678</v>
      </c>
      <c r="S102" s="62">
        <f ca="1">AVERAGE(OFFSET($R$3,0,0,'Données projet'!$E$9+1,1))-AVERAGE(OFFSET($H$3,0,0,'Données projet'!$E$9+1,1))</f>
        <v>323.98185264074681</v>
      </c>
      <c r="T102" s="62">
        <f t="shared" si="88"/>
        <v>301.22207291854005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1.1378936560150381</v>
      </c>
      <c r="AA102" s="23">
        <f>EXP(-LN(2)/25)*AA101+(1-EXP(-LN(2)/25))/(LN(2)/25)*Calculateur!V102*Calculateur!X102*VLOOKUP('Données projet'!$B$9,Paramètres!$A$1:$I$89,3,0)*0.475*44/12</f>
        <v>1.2175000440909929</v>
      </c>
      <c r="AB102" s="23">
        <f>EXP(-LN(2)/2)*AB101+(1-EXP(-LN(2)/2))/(LN(2)/2)*V102*Y102*VLOOKUP('Données projet'!$B$9,Paramètres!$A$1:$I$89,3,0)*0.475*44/12</f>
        <v>2.5056824898720094E-10</v>
      </c>
      <c r="AC102" s="24">
        <f t="shared" si="57"/>
        <v>2.3553937003565997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-2.8421709430404007E-13</v>
      </c>
      <c r="AJ102" s="14">
        <f>AI102*VLOOKUP('Données projet'!$B$10,Paramètres!$A$1:$I$89,3,0)*VLOOKUP('Données projet'!$B$10,Paramètres!$A$1:$I$89,5,0)</f>
        <v>-1.69961822393816E-13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289.12367833861299</v>
      </c>
      <c r="AO102" s="62">
        <f t="shared" si="90"/>
        <v>229.06617320689003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1.7067971663398443E-10</v>
      </c>
      <c r="AX102" s="23">
        <f t="shared" si="60"/>
        <v>1.7067971663398443E-10</v>
      </c>
      <c r="AY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4.9000000000000004</v>
      </c>
      <c r="BD102" s="13">
        <f>IF('Données projet'!$A$88&gt;35,BD101+BC102-BL101,IF(A102&lt;'Données projet'!$A$88,$BA$205^A102,IF(A102='Données projet'!$A$88,'Données projet'!$B$88,BD101+BC102-BL101)))</f>
        <v>298.09999999999985</v>
      </c>
      <c r="BE102" s="14">
        <f>BD102*VLOOKUP('Données projet'!$B$11,Paramètres!$A$1:$I$89,3,0)*VLOOKUP('Données projet'!$B$11,Paramètres!$A$1:$I$89,5,0)</f>
        <v>269.72087999999985</v>
      </c>
      <c r="BF102" s="14">
        <f t="shared" si="91"/>
        <v>64.790029413946939</v>
      </c>
      <c r="BG102" s="22">
        <f t="shared" si="61"/>
        <v>582.60650056262409</v>
      </c>
      <c r="BH102" s="62">
        <f t="shared" si="62"/>
        <v>875.93983389595746</v>
      </c>
      <c r="BI102" s="62">
        <f ca="1">AVERAGE(OFFSET($BH$3,0,0,'Données projet'!$E$11+1,1))-AVERAGE(OFFSET($H$3,0,0,'Données projet'!$E$11+1,1))</f>
        <v>428.8489304403459</v>
      </c>
      <c r="BJ102" s="62">
        <f t="shared" si="92"/>
        <v>247.01165577562966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-1.7053025658242404E-13</v>
      </c>
      <c r="BZ102" s="14">
        <f>BY102*VLOOKUP('Données projet'!$B$12,Paramètres!$A$1:$I$89,3,0)*VLOOKUP('Données projet'!$B$12,Paramètres!$A$1:$I$89,5,0)</f>
        <v>-1.250327841262333E-13</v>
      </c>
      <c r="CA102" s="14" t="e">
        <f t="shared" si="93"/>
        <v>#NUM!</v>
      </c>
      <c r="CB102" s="22" t="e">
        <f t="shared" si="64"/>
        <v>#NUM!</v>
      </c>
      <c r="CC102" s="62" t="e">
        <f t="shared" si="65"/>
        <v>#NUM!</v>
      </c>
      <c r="CD102" s="62">
        <f ca="1">AVERAGE(OFFSET($CC$3,0,0,'Données projet'!$E$12+1,1))-AVERAGE(OFFSET($H$3,0,0,'Données projet'!$E$12+1,1))</f>
        <v>290.85271051443431</v>
      </c>
      <c r="CE102" s="62">
        <f t="shared" si="94"/>
        <v>318.66958823451142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1.1368683772161603E-13</v>
      </c>
      <c r="CU102" s="18">
        <f>CT102*VLOOKUP('Données projet'!$B$13,Paramètres!$A$1:$I$89,3,0)*VLOOKUP('Données projet'!$B$13,Paramètres!$A$1:$I$89,5,0)</f>
        <v>8.8675733422860506E-14</v>
      </c>
      <c r="CV102" s="14">
        <f t="shared" si="95"/>
        <v>1.3509285393066301E-12</v>
      </c>
      <c r="CW102" s="22">
        <f t="shared" si="67"/>
        <v>2.5073107750038623E-12</v>
      </c>
      <c r="CX102" s="62">
        <f t="shared" si="68"/>
        <v>293.33333333333582</v>
      </c>
      <c r="CY102" s="62">
        <f ca="1">AVERAGE(OFFSET($CX$3,0,0,'Données projet'!$E$13+1,1))-AVERAGE(OFFSET($H$3,0,0,'Données projet'!$E$13+1,1))</f>
        <v>292.57482726862594</v>
      </c>
      <c r="CZ102" s="62">
        <f t="shared" si="96"/>
        <v>283.48738729114024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-1.7053025658242404E-13</v>
      </c>
      <c r="DP102" s="18">
        <f>DO102*VLOOKUP('Données projet'!$B$14,Paramètres!$A$1:$I$89,3,0)*VLOOKUP('Données projet'!$B$14,Paramètres!$A$1:$I$89,5,0)</f>
        <v>-1.3567387213697657E-13</v>
      </c>
      <c r="DQ102" s="14" t="e">
        <f t="shared" si="97"/>
        <v>#NUM!</v>
      </c>
      <c r="DR102" s="22" t="e">
        <f t="shared" si="70"/>
        <v>#NUM!</v>
      </c>
      <c r="DS102" s="62" t="e">
        <f t="shared" si="71"/>
        <v>#NUM!</v>
      </c>
      <c r="DT102" s="62">
        <f ca="1">AVERAGE(OFFSET($DS$3,0,0,'Données projet'!$E$14+1,1))-AVERAGE(OFFSET($H$3,0,0,'Données projet'!$E$14+1,1))</f>
        <v>312.53381881960331</v>
      </c>
      <c r="DU102" s="62">
        <f t="shared" si="98"/>
        <v>342.06887933351783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3.3333333333333313</v>
      </c>
      <c r="EJ102" s="13">
        <f>IF('Données projet'!$A$192&gt;35,EJ101+EI102-ER101,IF(A102&lt;'Données projet'!$A$192,$EG$205^A102,IF(A102='Données projet'!$A$192,'Données projet'!$B$192,EJ101+EI102-ER101)))</f>
        <v>242.82051282051279</v>
      </c>
      <c r="EK102" s="18">
        <f>EJ102*VLOOKUP('Données projet'!$B$15,Paramètres!$A$1:$I$89,3,0)*VLOOKUP('Données projet'!$B$15,Paramètres!$A$1:$I$89,5,0)</f>
        <v>231.06799999999998</v>
      </c>
      <c r="EL102" s="14">
        <f t="shared" si="99"/>
        <v>56.513545800555768</v>
      </c>
      <c r="EM102" s="22">
        <f t="shared" si="73"/>
        <v>500.87119226930128</v>
      </c>
      <c r="EN102" s="62">
        <f t="shared" si="74"/>
        <v>794.20452560263459</v>
      </c>
      <c r="EO102" s="62">
        <f ca="1">AVERAGE(OFFSET($EN$3,0,0,'Données projet'!$E$15+1,1))-AVERAGE(OFFSET($H$3,0,0,'Données projet'!$E$15+1,1))</f>
        <v>363.37916970915211</v>
      </c>
      <c r="EP102" s="62">
        <f t="shared" si="100"/>
        <v>281.52963027844595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>
        <f>VLOOKUP(A102,'Données projet'!$A$217:$I$237,2,0)</f>
        <v>397.8692307692308</v>
      </c>
      <c r="FC102" s="13">
        <f>VLOOKUP(A102,'Données projet'!$A$217:$I$237,9,0)</f>
        <v>8.1576923076923151</v>
      </c>
      <c r="FD102" s="13">
        <f t="array" ref="FD102">INDEX(FC:FC,MIN(IF(ISNUMBER(FC102:FC298),ROW(FC102:FC298),"")))</f>
        <v>8.1576923076923151</v>
      </c>
      <c r="FE102" s="13">
        <f>IF('Données projet'!$A$218&gt;35,FE101+FD102-FM101,IF(A102&lt;'Données projet'!$A$218,$FB$205^A102,IF(A102='Données projet'!$A$218,'Données projet'!$B$218,FE101+FD102-FM101)))</f>
        <v>397.86923076923017</v>
      </c>
      <c r="FF102" s="18">
        <f>FE102*VLOOKUP('Données projet'!$B$16,Paramètres!$A$1:$I$89,3,0)*VLOOKUP('Données projet'!$B$16,Paramètres!$A$1:$I$89,5,0)</f>
        <v>186.20279999999971</v>
      </c>
      <c r="FG102" s="14">
        <f t="shared" si="101"/>
        <v>46.699462038644107</v>
      </c>
      <c r="FH102" s="22">
        <f t="shared" si="76"/>
        <v>405.63810638397126</v>
      </c>
      <c r="FI102" s="62">
        <f t="shared" si="77"/>
        <v>698.97143971730452</v>
      </c>
      <c r="FJ102" s="62">
        <f ca="1">AVERAGE(OFFSET($FI$3,0,0,'Données projet'!$E$16+1,1))-AVERAGE(OFFSET($H$3,0,0,'Données projet'!$E$16+1,1))</f>
        <v>245.47494516762282</v>
      </c>
      <c r="FK102" s="62">
        <f t="shared" si="102"/>
        <v>145.54897745089966</v>
      </c>
      <c r="FL102" s="16">
        <f>IF(ISNA(VLOOKUP(A102,'Données projet'!$A$217:$I$237,3,0)),0,VLOOKUP(A102,'Données projet'!$A$217:$I$237,3,0))</f>
        <v>5</v>
      </c>
      <c r="FM102" s="16">
        <f>IF(ISNA(VLOOKUP(A102,'Données projet'!$A$217:$I$237,4,0)),0,VLOOKUP(A102,'Données projet'!$A$217:$I$237,4,0))</f>
        <v>198.32307692307691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4.9000000000000004</v>
      </c>
      <c r="FZ102" s="13">
        <f>IF('Données projet'!$A$244&gt;35,FZ101+FY102-GH101,IF(A102&lt;'Données projet'!$A$244,$FW$205^A102,IF(A102='Données projet'!$A$244,'Données projet'!$B$244,FZ101+FY102-GH101)))</f>
        <v>298.09999999999985</v>
      </c>
      <c r="GA102" s="18">
        <f>FZ102*VLOOKUP('Données projet'!$B$17,Paramètres!$A$1:$I$89,3,0)*VLOOKUP('Données projet'!$B$17,Paramètres!$A$1:$I$89,5,0)</f>
        <v>288.32231999999988</v>
      </c>
      <c r="GB102" s="14">
        <f t="shared" si="103"/>
        <v>68.722745094590621</v>
      </c>
      <c r="GC102" s="22">
        <f t="shared" si="79"/>
        <v>621.85348837307845</v>
      </c>
      <c r="GD102" s="62">
        <f t="shared" si="80"/>
        <v>915.18682170641182</v>
      </c>
      <c r="GE102" s="62">
        <f ca="1">AVERAGE(OFFSET($GD$3,0,0,'Données projet'!$E$17+1,1))-AVERAGE(OFFSET($H$3,0,0,'Données projet'!$E$17+1,1))</f>
        <v>455.50822833641354</v>
      </c>
      <c r="GF102" s="62">
        <f t="shared" si="104"/>
        <v>261.14722581688039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3.5897435897435912</v>
      </c>
      <c r="GU102" s="13">
        <f>IF('Données projet'!$A$270&gt;35,GU101+GT102-HC101,IF(A102&lt;'Données projet'!$A$270,$GR$205^A102,IF(A102='Données projet'!$A$270,'Données projet'!$B$270,GU101+GT102-HC101)))</f>
        <v>304.10256410256426</v>
      </c>
      <c r="GV102" s="18">
        <f>GU102*VLOOKUP('Données projet'!$B$18,Paramètres!$A$1:$I$89,3,0)*VLOOKUP('Données projet'!$B$18,Paramètres!$A$1:$I$89,5,0)</f>
        <v>203.99200000000013</v>
      </c>
      <c r="GW102" s="14">
        <f t="shared" si="105"/>
        <v>50.620476831708423</v>
      </c>
      <c r="GX102" s="22">
        <f t="shared" si="82"/>
        <v>443.45006381522575</v>
      </c>
      <c r="GY102" s="62">
        <f t="shared" si="83"/>
        <v>736.78339714855906</v>
      </c>
      <c r="GZ102" s="62">
        <f ca="1">AVERAGE(OFFSET($GY$3,0,0,'Données projet'!$E$18+1,1))-AVERAGE(OFFSET($H$3,0,0,'Données projet'!$E$18+1,1))</f>
        <v>312.06797204903796</v>
      </c>
      <c r="HA102" s="62">
        <f t="shared" si="106"/>
        <v>258.20189001775151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projet'!$B$18,Paramètres!$A$1:$I$89,3,0)*0.475*44/12</f>
        <v>0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84"/>
        <v>0</v>
      </c>
    </row>
    <row r="103" spans="1:218" s="5" customFormat="1" x14ac:dyDescent="0.25">
      <c r="A103" s="11">
        <f t="shared" si="85"/>
        <v>100</v>
      </c>
      <c r="B103" s="76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9">
        <f t="shared" si="56"/>
        <v>256.66666666666669</v>
      </c>
      <c r="I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2.2737367544323206E-13</v>
      </c>
      <c r="O103" s="14">
        <f>N103*VLOOKUP('Données projet'!$B$9,Paramètres!$A$1:$I$89,3,0)*VLOOKUP('Données projet'!$B$9,Paramètres!$A$1:$I$89,5,0)</f>
        <v>1.2710188457276673E-13</v>
      </c>
      <c r="P103" s="14">
        <f t="shared" si="87"/>
        <v>1.856866851063998E-12</v>
      </c>
      <c r="Q103" s="22">
        <f t="shared" si="107"/>
        <v>3.4554122145673649E-12</v>
      </c>
      <c r="R103" s="62">
        <f t="shared" si="55"/>
        <v>293.33333333333678</v>
      </c>
      <c r="S103" s="62">
        <f ca="1">AVERAGE(OFFSET($R$3,0,0,'Données projet'!$E$9+1,1))-AVERAGE(OFFSET($H$3,0,0,'Données projet'!$E$9+1,1))</f>
        <v>323.98185264074681</v>
      </c>
      <c r="T103" s="62">
        <f t="shared" si="88"/>
        <v>301.22207291854005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1.1155802554671819</v>
      </c>
      <c r="AA103" s="23">
        <f>EXP(-LN(2)/25)*AA102+(1-EXP(-LN(2)/25))/(LN(2)/25)*Calculateur!V103*Calculateur!X103*VLOOKUP('Données projet'!$B$9,Paramètres!$A$1:$I$89,3,0)*0.475*44/12</f>
        <v>1.1842074413597801</v>
      </c>
      <c r="AB103" s="23">
        <f>EXP(-LN(2)/2)*AB102+(1-EXP(-LN(2)/2))/(LN(2)/2)*V103*Y103*VLOOKUP('Données projet'!$B$9,Paramètres!$A$1:$I$89,3,0)*0.475*44/12</f>
        <v>1.7717850800888906E-10</v>
      </c>
      <c r="AC103" s="24">
        <f t="shared" si="57"/>
        <v>2.2997876970041404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-2.8421709430404007E-13</v>
      </c>
      <c r="AJ103" s="14">
        <f>AI103*VLOOKUP('Données projet'!$B$10,Paramètres!$A$1:$I$89,3,0)*VLOOKUP('Données projet'!$B$10,Paramètres!$A$1:$I$89,5,0)</f>
        <v>-1.69961822393816E-13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289.12367833861299</v>
      </c>
      <c r="AO103" s="62">
        <f t="shared" si="90"/>
        <v>229.06617320689003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1.2068878504288876E-10</v>
      </c>
      <c r="AX103" s="23">
        <f t="shared" si="60"/>
        <v>1.2068878504288876E-10</v>
      </c>
      <c r="AY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303</v>
      </c>
      <c r="BB103" s="13">
        <f>VLOOKUP(A103,'Données projet'!$A$87:$I$107,9,0)</f>
        <v>4.9000000000000004</v>
      </c>
      <c r="BC103" s="13">
        <f t="array" ref="BC103">INDEX(BB:BB,MIN(IF(ISNUMBER(BB103:BB299),ROW(BB103:BB299),"")))</f>
        <v>4.9000000000000004</v>
      </c>
      <c r="BD103" s="13">
        <f>IF('Données projet'!$A$88&gt;35,BD102+BC103-BL102,IF(A103&lt;'Données projet'!$A$88,$BA$205^A103,IF(A103='Données projet'!$A$88,'Données projet'!$B$88,BD102+BC103-BL102)))</f>
        <v>302.99999999999983</v>
      </c>
      <c r="BE103" s="14">
        <f>BD103*VLOOKUP('Données projet'!$B$11,Paramètres!$A$1:$I$89,3,0)*VLOOKUP('Données projet'!$B$11,Paramètres!$A$1:$I$89,5,0)</f>
        <v>274.15439999999984</v>
      </c>
      <c r="BF103" s="14">
        <f t="shared" si="91"/>
        <v>65.730152764515779</v>
      </c>
      <c r="BG103" s="22">
        <f t="shared" si="61"/>
        <v>591.9655960648646</v>
      </c>
      <c r="BH103" s="62">
        <f t="shared" si="62"/>
        <v>885.29892939819797</v>
      </c>
      <c r="BI103" s="62">
        <f ca="1">AVERAGE(OFFSET($BH$3,0,0,'Données projet'!$E$11+1,1))-AVERAGE(OFFSET($H$3,0,0,'Données projet'!$E$11+1,1))</f>
        <v>428.8489304403459</v>
      </c>
      <c r="BJ103" s="62">
        <f t="shared" si="92"/>
        <v>247.01165577562966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42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-1.7053025658242404E-13</v>
      </c>
      <c r="BZ103" s="14">
        <f>BY103*VLOOKUP('Données projet'!$B$12,Paramètres!$A$1:$I$89,3,0)*VLOOKUP('Données projet'!$B$12,Paramètres!$A$1:$I$89,5,0)</f>
        <v>-1.250327841262333E-13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290.85271051443431</v>
      </c>
      <c r="CE103" s="62">
        <f t="shared" si="94"/>
        <v>318.66958823451142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1.1368683772161603E-13</v>
      </c>
      <c r="CU103" s="18">
        <f>CT103*VLOOKUP('Données projet'!$B$13,Paramètres!$A$1:$I$89,3,0)*VLOOKUP('Données projet'!$B$13,Paramètres!$A$1:$I$89,5,0)</f>
        <v>8.8675733422860506E-14</v>
      </c>
      <c r="CV103" s="14">
        <f t="shared" si="95"/>
        <v>1.3509285393066301E-12</v>
      </c>
      <c r="CW103" s="22">
        <f t="shared" si="67"/>
        <v>2.5073107750038623E-12</v>
      </c>
      <c r="CX103" s="62">
        <f t="shared" si="68"/>
        <v>293.33333333333582</v>
      </c>
      <c r="CY103" s="62">
        <f ca="1">AVERAGE(OFFSET($CX$3,0,0,'Données projet'!$E$13+1,1))-AVERAGE(OFFSET($H$3,0,0,'Données projet'!$E$13+1,1))</f>
        <v>292.57482726862594</v>
      </c>
      <c r="CZ103" s="62">
        <f t="shared" si="96"/>
        <v>283.48738729114024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-1.7053025658242404E-13</v>
      </c>
      <c r="DP103" s="18">
        <f>DO103*VLOOKUP('Données projet'!$B$14,Paramètres!$A$1:$I$89,3,0)*VLOOKUP('Données projet'!$B$14,Paramètres!$A$1:$I$89,5,0)</f>
        <v>-1.3567387213697657E-13</v>
      </c>
      <c r="DQ103" s="14" t="e">
        <f t="shared" si="97"/>
        <v>#NUM!</v>
      </c>
      <c r="DR103" s="22" t="e">
        <f t="shared" si="70"/>
        <v>#NUM!</v>
      </c>
      <c r="DS103" s="62" t="e">
        <f t="shared" si="71"/>
        <v>#NUM!</v>
      </c>
      <c r="DT103" s="62">
        <f ca="1">AVERAGE(OFFSET($DS$3,0,0,'Données projet'!$E$14+1,1))-AVERAGE(OFFSET($H$3,0,0,'Données projet'!$E$14+1,1))</f>
        <v>312.53381881960331</v>
      </c>
      <c r="DU103" s="62">
        <f t="shared" si="98"/>
        <v>342.06887933351783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246.15384615384613</v>
      </c>
      <c r="EH103" s="13">
        <f>VLOOKUP(A103,'Données projet'!$A$191:$I$211,9,0)</f>
        <v>3.3333333333333313</v>
      </c>
      <c r="EI103" s="13">
        <f t="array" ref="EI103">INDEX(EH:EH,MIN(IF(ISNUMBER(EH103:EH299),ROW(EH103:EH299),"")))</f>
        <v>3.3333333333333313</v>
      </c>
      <c r="EJ103" s="13">
        <f>IF('Données projet'!$A$192&gt;35,EJ102+EI103-ER102,IF(A103&lt;'Données projet'!$A$192,$EG$205^A103,IF(A103='Données projet'!$A$192,'Données projet'!$B$192,EJ102+EI103-ER102)))</f>
        <v>246.15384615384613</v>
      </c>
      <c r="EK103" s="18">
        <f>EJ103*VLOOKUP('Données projet'!$B$15,Paramètres!$A$1:$I$89,3,0)*VLOOKUP('Données projet'!$B$15,Paramètres!$A$1:$I$89,5,0)</f>
        <v>234.23999999999998</v>
      </c>
      <c r="EL103" s="14">
        <f t="shared" si="99"/>
        <v>57.19849172024869</v>
      </c>
      <c r="EM103" s="22">
        <f t="shared" si="73"/>
        <v>507.58870641276644</v>
      </c>
      <c r="EN103" s="62">
        <f t="shared" si="74"/>
        <v>800.9220397460997</v>
      </c>
      <c r="EO103" s="62">
        <f ca="1">AVERAGE(OFFSET($EN$3,0,0,'Données projet'!$E$15+1,1))-AVERAGE(OFFSET($H$3,0,0,'Données projet'!$E$15+1,1))</f>
        <v>363.37916970915211</v>
      </c>
      <c r="EP103" s="62">
        <f t="shared" si="100"/>
        <v>281.52963027844595</v>
      </c>
      <c r="EQ103" s="16">
        <f>IF(ISNA(VLOOKUP(A103,'Données projet'!$A$191:$I$211,3,0)),0,VLOOKUP(A103,'Données projet'!$A$191:$I$211,3,0))</f>
        <v>9</v>
      </c>
      <c r="ER103" s="16">
        <f>IF(ISNA(VLOOKUP(A103,'Données projet'!$A$191:$I$211,4,0)),0,VLOOKUP(A103,'Données projet'!$A$191:$I$211,4,0))</f>
        <v>23.717948717948715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5.849230769230763</v>
      </c>
      <c r="FE103" s="13">
        <f>IF('Données projet'!$A$218&gt;35,FE102+FD103-FM102,IF(A103&lt;'Données projet'!$A$218,$FB$205^A103,IF(A103='Données projet'!$A$218,'Données projet'!$B$218,FE102+FD103-FM102)))</f>
        <v>205.39538461538402</v>
      </c>
      <c r="FF103" s="18">
        <f>FE103*VLOOKUP('Données projet'!$B$16,Paramètres!$A$1:$I$89,3,0)*VLOOKUP('Données projet'!$B$16,Paramètres!$A$1:$I$89,5,0)</f>
        <v>96.125039999999714</v>
      </c>
      <c r="FG103" s="14">
        <f t="shared" si="101"/>
        <v>26.03672918496029</v>
      </c>
      <c r="FH103" s="22">
        <f t="shared" si="76"/>
        <v>212.76508133047199</v>
      </c>
      <c r="FI103" s="62">
        <f t="shared" si="77"/>
        <v>506.09841466380533</v>
      </c>
      <c r="FJ103" s="62">
        <f ca="1">AVERAGE(OFFSET($FI$3,0,0,'Données projet'!$E$16+1,1))-AVERAGE(OFFSET($H$3,0,0,'Données projet'!$E$16+1,1))</f>
        <v>245.47494516762282</v>
      </c>
      <c r="FK103" s="62">
        <f t="shared" si="102"/>
        <v>145.54897745089966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>
        <f>VLOOKUP(A103,'Données projet'!$A$243:$I$263,2,0)</f>
        <v>303</v>
      </c>
      <c r="FX103" s="13">
        <f>VLOOKUP(A103,'Données projet'!$A$243:$I$263,9,0)</f>
        <v>4.9000000000000004</v>
      </c>
      <c r="FY103" s="13">
        <f t="array" ref="FY103">INDEX(FX:FX,MIN(IF(ISNUMBER(FX103:FX299),ROW(FX103:FX299),"")))</f>
        <v>4.9000000000000004</v>
      </c>
      <c r="FZ103" s="13">
        <f>IF('Données projet'!$A$244&gt;35,FZ102+FY103-GH102,IF(A103&lt;'Données projet'!$A$244,$FW$205^A103,IF(A103='Données projet'!$A$244,'Données projet'!$B$244,FZ102+FY103-GH102)))</f>
        <v>302.99999999999983</v>
      </c>
      <c r="GA103" s="18">
        <f>FZ103*VLOOKUP('Données projet'!$B$17,Paramètres!$A$1:$I$89,3,0)*VLOOKUP('Données projet'!$B$17,Paramètres!$A$1:$I$89,5,0)</f>
        <v>293.06159999999983</v>
      </c>
      <c r="GB103" s="14">
        <f t="shared" si="103"/>
        <v>69.719933365116546</v>
      </c>
      <c r="GC103" s="22">
        <f t="shared" si="79"/>
        <v>631.84450394424437</v>
      </c>
      <c r="GD103" s="62">
        <f t="shared" si="80"/>
        <v>925.17783727757774</v>
      </c>
      <c r="GE103" s="62">
        <f ca="1">AVERAGE(OFFSET($GD$3,0,0,'Données projet'!$E$17+1,1))-AVERAGE(OFFSET($H$3,0,0,'Données projet'!$E$17+1,1))</f>
        <v>455.50822833641354</v>
      </c>
      <c r="GF103" s="62">
        <f t="shared" si="104"/>
        <v>261.14722581688039</v>
      </c>
      <c r="GG103" s="16">
        <f>IF(ISNA(VLOOKUP(A103,'Données projet'!$A$243:$I$263,3,0)),0,VLOOKUP(A103,'Données projet'!$A$243:$I$263,3,0))</f>
        <v>8</v>
      </c>
      <c r="GH103" s="16">
        <f>IF(ISNA(VLOOKUP(A103,'Données projet'!$A$243:$I$263,4,0)),0,VLOOKUP(A103,'Données projet'!$A$243:$I$263,4,0))</f>
        <v>42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>
        <f>VLOOKUP(A103,'Données projet'!$A$269:$I$289,2,0)</f>
        <v>307.69230769230768</v>
      </c>
      <c r="GS103" s="13">
        <f>VLOOKUP(A103,'Données projet'!$A$269:$I$289,9,0)</f>
        <v>3.5897435897435912</v>
      </c>
      <c r="GT103" s="13">
        <f t="array" ref="GT103">INDEX(GS:GS,MIN(IF(ISNUMBER(GS103:GS299),ROW(GS103:GS299),"")))</f>
        <v>3.5897435897435912</v>
      </c>
      <c r="GU103" s="13">
        <f>IF('Données projet'!$A$270&gt;35,GU102+GT103-HC102,IF(A103&lt;'Données projet'!$A$270,$GR$205^A103,IF(A103='Données projet'!$A$270,'Données projet'!$B$270,GU102+GT103-HC102)))</f>
        <v>307.69230769230785</v>
      </c>
      <c r="GV103" s="18">
        <f>GU103*VLOOKUP('Données projet'!$B$18,Paramètres!$A$1:$I$89,3,0)*VLOOKUP('Données projet'!$B$18,Paramètres!$A$1:$I$89,5,0)</f>
        <v>206.40000000000012</v>
      </c>
      <c r="GW103" s="14">
        <f t="shared" si="105"/>
        <v>51.148105178123259</v>
      </c>
      <c r="GX103" s="22">
        <f t="shared" si="82"/>
        <v>448.56294985189817</v>
      </c>
      <c r="GY103" s="62">
        <f t="shared" si="83"/>
        <v>741.89628318523148</v>
      </c>
      <c r="GZ103" s="62">
        <f ca="1">AVERAGE(OFFSET($GY$3,0,0,'Données projet'!$E$18+1,1))-AVERAGE(OFFSET($H$3,0,0,'Données projet'!$E$18+1,1))</f>
        <v>312.06797204903796</v>
      </c>
      <c r="HA103" s="62">
        <f t="shared" si="106"/>
        <v>258.20189001775151</v>
      </c>
      <c r="HB103" s="16">
        <f>IF(ISNA(VLOOKUP(A103,'Données projet'!$A$269:$I$289,3,0)),0,VLOOKUP(A103,'Données projet'!$A$269:$I$289,3,0))</f>
        <v>9</v>
      </c>
      <c r="HC103" s="16">
        <f>IF(ISNA(VLOOKUP(A103,'Données projet'!$A$269:$I$289,4,0)),0,VLOOKUP(A103,'Données projet'!$A$269:$I$289,4,0))</f>
        <v>22.435897435897434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projet'!$B$18,Paramètres!$A$1:$I$89,3,0)*0.475*44/12</f>
        <v>0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84"/>
        <v>0</v>
      </c>
    </row>
    <row r="104" spans="1:218" s="5" customFormat="1" x14ac:dyDescent="0.25">
      <c r="A104" s="11">
        <f t="shared" si="85"/>
        <v>101</v>
      </c>
      <c r="B104" s="76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9">
        <f t="shared" si="56"/>
        <v>256.66666666666669</v>
      </c>
      <c r="I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2.2737367544323206E-13</v>
      </c>
      <c r="O104" s="14">
        <f>N104*VLOOKUP('Données projet'!$B$9,Paramètres!$A$1:$I$89,3,0)*VLOOKUP('Données projet'!$B$9,Paramètres!$A$1:$I$89,5,0)</f>
        <v>1.2710188457276673E-13</v>
      </c>
      <c r="P104" s="14">
        <f t="shared" si="87"/>
        <v>1.856866851063998E-12</v>
      </c>
      <c r="Q104" s="22">
        <f t="shared" si="107"/>
        <v>3.4554122145673649E-12</v>
      </c>
      <c r="R104" s="62">
        <f t="shared" si="55"/>
        <v>293.33333333333678</v>
      </c>
      <c r="S104" s="62">
        <f ca="1">AVERAGE(OFFSET($R$3,0,0,'Données projet'!$E$9+1,1))-AVERAGE(OFFSET($H$3,0,0,'Données projet'!$E$9+1,1))</f>
        <v>323.98185264074681</v>
      </c>
      <c r="T104" s="62">
        <f t="shared" si="88"/>
        <v>301.22207291854005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1.0937044070942388</v>
      </c>
      <c r="AA104" s="23">
        <f>EXP(-LN(2)/25)*AA103+(1-EXP(-LN(2)/25))/(LN(2)/25)*Calculateur!V104*Calculateur!X104*VLOOKUP('Données projet'!$B$9,Paramètres!$A$1:$I$89,3,0)*0.475*44/12</f>
        <v>1.151825226601034</v>
      </c>
      <c r="AB104" s="23">
        <f>EXP(-LN(2)/2)*AB103+(1-EXP(-LN(2)/2))/(LN(2)/2)*V104*Y104*VLOOKUP('Données projet'!$B$9,Paramètres!$A$1:$I$89,3,0)*0.475*44/12</f>
        <v>1.2528412449360047E-10</v>
      </c>
      <c r="AC104" s="24">
        <f t="shared" si="57"/>
        <v>2.2455296338205568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-2.8421709430404007E-13</v>
      </c>
      <c r="AJ104" s="14">
        <f>AI104*VLOOKUP('Données projet'!$B$10,Paramètres!$A$1:$I$89,3,0)*VLOOKUP('Données projet'!$B$10,Paramètres!$A$1:$I$89,5,0)</f>
        <v>-1.69961822393816E-13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289.12367833861299</v>
      </c>
      <c r="AO104" s="62">
        <f t="shared" si="90"/>
        <v>229.06617320689003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8.5339858316992214E-11</v>
      </c>
      <c r="AX104" s="23">
        <f t="shared" si="60"/>
        <v>8.5339858316992214E-11</v>
      </c>
      <c r="AY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4.4000000000000004</v>
      </c>
      <c r="BD104" s="13">
        <f>IF('Données projet'!$A$88&gt;35,BD103+BC104-BL103,IF(A104&lt;'Données projet'!$A$88,$BA$205^A104,IF(A104='Données projet'!$A$88,'Données projet'!$B$88,BD103+BC104-BL103)))</f>
        <v>265.39999999999981</v>
      </c>
      <c r="BE104" s="14">
        <f>BD104*VLOOKUP('Données projet'!$B$11,Paramètres!$A$1:$I$89,3,0)*VLOOKUP('Données projet'!$B$11,Paramètres!$A$1:$I$89,5,0)</f>
        <v>240.13391999999982</v>
      </c>
      <c r="BF104" s="14">
        <f t="shared" si="91"/>
        <v>58.468343087048559</v>
      </c>
      <c r="BG104" s="22">
        <f t="shared" si="61"/>
        <v>520.06560820994252</v>
      </c>
      <c r="BH104" s="62">
        <f t="shared" si="62"/>
        <v>813.3989415432759</v>
      </c>
      <c r="BI104" s="62">
        <f ca="1">AVERAGE(OFFSET($BH$3,0,0,'Données projet'!$E$11+1,1))-AVERAGE(OFFSET($H$3,0,0,'Données projet'!$E$11+1,1))</f>
        <v>428.8489304403459</v>
      </c>
      <c r="BJ104" s="62">
        <f t="shared" si="92"/>
        <v>247.01165577562966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-1.7053025658242404E-13</v>
      </c>
      <c r="BZ104" s="14">
        <f>BY104*VLOOKUP('Données projet'!$B$12,Paramètres!$A$1:$I$89,3,0)*VLOOKUP('Données projet'!$B$12,Paramètres!$A$1:$I$89,5,0)</f>
        <v>-1.250327841262333E-13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290.85271051443431</v>
      </c>
      <c r="CE104" s="62">
        <f t="shared" si="94"/>
        <v>318.66958823451142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1.1368683772161603E-13</v>
      </c>
      <c r="CU104" s="18">
        <f>CT104*VLOOKUP('Données projet'!$B$13,Paramètres!$A$1:$I$89,3,0)*VLOOKUP('Données projet'!$B$13,Paramètres!$A$1:$I$89,5,0)</f>
        <v>8.8675733422860506E-14</v>
      </c>
      <c r="CV104" s="14">
        <f t="shared" si="95"/>
        <v>1.3509285393066301E-12</v>
      </c>
      <c r="CW104" s="22">
        <f t="shared" si="67"/>
        <v>2.5073107750038623E-12</v>
      </c>
      <c r="CX104" s="62">
        <f t="shared" si="68"/>
        <v>293.33333333333582</v>
      </c>
      <c r="CY104" s="62">
        <f ca="1">AVERAGE(OFFSET($CX$3,0,0,'Données projet'!$E$13+1,1))-AVERAGE(OFFSET($H$3,0,0,'Données projet'!$E$13+1,1))</f>
        <v>292.57482726862594</v>
      </c>
      <c r="CZ104" s="62">
        <f t="shared" si="96"/>
        <v>283.48738729114024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-1.7053025658242404E-13</v>
      </c>
      <c r="DP104" s="18">
        <f>DO104*VLOOKUP('Données projet'!$B$14,Paramètres!$A$1:$I$89,3,0)*VLOOKUP('Données projet'!$B$14,Paramètres!$A$1:$I$89,5,0)</f>
        <v>-1.3567387213697657E-13</v>
      </c>
      <c r="DQ104" s="14" t="e">
        <f t="shared" si="97"/>
        <v>#NUM!</v>
      </c>
      <c r="DR104" s="22" t="e">
        <f t="shared" si="70"/>
        <v>#NUM!</v>
      </c>
      <c r="DS104" s="62" t="e">
        <f t="shared" si="71"/>
        <v>#NUM!</v>
      </c>
      <c r="DT104" s="62">
        <f ca="1">AVERAGE(OFFSET($DS$3,0,0,'Données projet'!$E$14+1,1))-AVERAGE(OFFSET($H$3,0,0,'Données projet'!$E$14+1,1))</f>
        <v>312.53381881960331</v>
      </c>
      <c r="DU104" s="62">
        <f t="shared" si="98"/>
        <v>342.06887933351783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3.0769230769230802</v>
      </c>
      <c r="EJ104" s="13">
        <f>IF('Données projet'!$A$192&gt;35,EJ103+EI104-ER103,IF(A104&lt;'Données projet'!$A$192,$EG$205^A104,IF(A104='Données projet'!$A$192,'Données projet'!$B$192,EJ103+EI104-ER103)))</f>
        <v>225.5128205128205</v>
      </c>
      <c r="EK104" s="18">
        <f>EJ104*VLOOKUP('Données projet'!$B$15,Paramètres!$A$1:$I$89,3,0)*VLOOKUP('Données projet'!$B$15,Paramètres!$A$1:$I$89,5,0)</f>
        <v>214.59800000000001</v>
      </c>
      <c r="EL104" s="14">
        <f t="shared" si="99"/>
        <v>52.939094303283817</v>
      </c>
      <c r="EM104" s="22">
        <f t="shared" si="73"/>
        <v>465.96043924488595</v>
      </c>
      <c r="EN104" s="62">
        <f t="shared" si="74"/>
        <v>759.2937725782192</v>
      </c>
      <c r="EO104" s="62">
        <f ca="1">AVERAGE(OFFSET($EN$3,0,0,'Données projet'!$E$15+1,1))-AVERAGE(OFFSET($H$3,0,0,'Données projet'!$E$15+1,1))</f>
        <v>363.37916970915211</v>
      </c>
      <c r="EP104" s="62">
        <f t="shared" si="100"/>
        <v>281.52963027844595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5.849230769230763</v>
      </c>
      <c r="FE104" s="13">
        <f>IF('Données projet'!$A$218&gt;35,FE103+FD104-FM103,IF(A104&lt;'Données projet'!$A$218,$FB$205^A104,IF(A104='Données projet'!$A$218,'Données projet'!$B$218,FE103+FD104-FM103)))</f>
        <v>211.24461538461478</v>
      </c>
      <c r="FF104" s="18">
        <f>FE104*VLOOKUP('Données projet'!$B$16,Paramètres!$A$1:$I$89,3,0)*VLOOKUP('Données projet'!$B$16,Paramètres!$A$1:$I$89,5,0)</f>
        <v>98.862479999999707</v>
      </c>
      <c r="FG104" s="14">
        <f t="shared" si="101"/>
        <v>26.690818919395912</v>
      </c>
      <c r="FH104" s="22">
        <f t="shared" si="76"/>
        <v>218.67199561794735</v>
      </c>
      <c r="FI104" s="62">
        <f t="shared" si="77"/>
        <v>512.00532895128072</v>
      </c>
      <c r="FJ104" s="62">
        <f ca="1">AVERAGE(OFFSET($FI$3,0,0,'Données projet'!$E$16+1,1))-AVERAGE(OFFSET($H$3,0,0,'Données projet'!$E$16+1,1))</f>
        <v>245.47494516762282</v>
      </c>
      <c r="FK104" s="62">
        <f t="shared" si="102"/>
        <v>145.54897745089966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4.4000000000000004</v>
      </c>
      <c r="FZ104" s="13">
        <f>IF('Données projet'!$A$244&gt;35,FZ103+FY104-GH103,IF(A104&lt;'Données projet'!$A$244,$FW$205^A104,IF(A104='Données projet'!$A$244,'Données projet'!$B$244,FZ103+FY104-GH103)))</f>
        <v>265.39999999999981</v>
      </c>
      <c r="GA104" s="18">
        <f>FZ104*VLOOKUP('Données projet'!$B$17,Paramètres!$A$1:$I$89,3,0)*VLOOKUP('Données projet'!$B$17,Paramètres!$A$1:$I$89,5,0)</f>
        <v>256.69487999999984</v>
      </c>
      <c r="GB104" s="14">
        <f t="shared" si="103"/>
        <v>62.017336223177502</v>
      </c>
      <c r="GC104" s="22">
        <f t="shared" si="79"/>
        <v>555.09044325536718</v>
      </c>
      <c r="GD104" s="62">
        <f t="shared" si="80"/>
        <v>848.42377658870055</v>
      </c>
      <c r="GE104" s="62">
        <f ca="1">AVERAGE(OFFSET($GD$3,0,0,'Données projet'!$E$17+1,1))-AVERAGE(OFFSET($H$3,0,0,'Données projet'!$E$17+1,1))</f>
        <v>455.50822833641354</v>
      </c>
      <c r="GF104" s="62">
        <f t="shared" si="104"/>
        <v>261.14722581688039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3.2051282051282102</v>
      </c>
      <c r="GU104" s="13">
        <f>IF('Données projet'!$A$270&gt;35,GU103+GT104-HC103,IF(A104&lt;'Données projet'!$A$270,$GR$205^A104,IF(A104='Données projet'!$A$270,'Données projet'!$B$270,GU103+GT104-HC103)))</f>
        <v>288.46153846153862</v>
      </c>
      <c r="GV104" s="18">
        <f>GU104*VLOOKUP('Données projet'!$B$18,Paramètres!$A$1:$I$89,3,0)*VLOOKUP('Données projet'!$B$18,Paramètres!$A$1:$I$89,5,0)</f>
        <v>193.50000000000011</v>
      </c>
      <c r="GW104" s="14">
        <f t="shared" si="105"/>
        <v>48.312929194247467</v>
      </c>
      <c r="GX104" s="22">
        <f t="shared" si="82"/>
        <v>421.15751834664781</v>
      </c>
      <c r="GY104" s="62">
        <f t="shared" si="83"/>
        <v>714.49085167998112</v>
      </c>
      <c r="GZ104" s="62">
        <f ca="1">AVERAGE(OFFSET($GY$3,0,0,'Données projet'!$E$18+1,1))-AVERAGE(OFFSET($H$3,0,0,'Données projet'!$E$18+1,1))</f>
        <v>312.06797204903796</v>
      </c>
      <c r="HA104" s="62">
        <f t="shared" si="106"/>
        <v>258.20189001775151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projet'!$B$18,Paramètres!$A$1:$I$89,3,0)*0.475*44/12</f>
        <v>0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84"/>
        <v>0</v>
      </c>
    </row>
    <row r="105" spans="1:218" s="5" customFormat="1" x14ac:dyDescent="0.25">
      <c r="A105" s="11">
        <f t="shared" si="85"/>
        <v>102</v>
      </c>
      <c r="B105" s="76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9">
        <f t="shared" si="56"/>
        <v>256.66666666666669</v>
      </c>
      <c r="I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2.2737367544323206E-13</v>
      </c>
      <c r="O105" s="14">
        <f>N105*VLOOKUP('Données projet'!$B$9,Paramètres!$A$1:$I$89,3,0)*VLOOKUP('Données projet'!$B$9,Paramètres!$A$1:$I$89,5,0)</f>
        <v>1.2710188457276673E-13</v>
      </c>
      <c r="P105" s="14">
        <f t="shared" si="87"/>
        <v>1.856866851063998E-12</v>
      </c>
      <c r="Q105" s="22">
        <f t="shared" si="107"/>
        <v>3.4554122145673649E-12</v>
      </c>
      <c r="R105" s="62">
        <f t="shared" si="55"/>
        <v>293.33333333333678</v>
      </c>
      <c r="S105" s="62">
        <f ca="1">AVERAGE(OFFSET($R$3,0,0,'Données projet'!$E$9+1,1))-AVERAGE(OFFSET($H$3,0,0,'Données projet'!$E$9+1,1))</f>
        <v>323.98185264074681</v>
      </c>
      <c r="T105" s="62">
        <f t="shared" si="88"/>
        <v>301.22207291854005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1.0722575307649391</v>
      </c>
      <c r="AA105" s="23">
        <f>EXP(-LN(2)/25)*AA104+(1-EXP(-LN(2)/25))/(LN(2)/25)*Calculateur!V105*Calculateur!X105*VLOOKUP('Données projet'!$B$9,Paramètres!$A$1:$I$89,3,0)*0.475*44/12</f>
        <v>1.1203285052077727</v>
      </c>
      <c r="AB105" s="23">
        <f>EXP(-LN(2)/2)*AB104+(1-EXP(-LN(2)/2))/(LN(2)/2)*V105*Y105*VLOOKUP('Données projet'!$B$9,Paramètres!$A$1:$I$89,3,0)*0.475*44/12</f>
        <v>8.8589254004444529E-11</v>
      </c>
      <c r="AC105" s="24">
        <f t="shared" si="57"/>
        <v>2.192586036061301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-2.8421709430404007E-13</v>
      </c>
      <c r="AJ105" s="14">
        <f>AI105*VLOOKUP('Données projet'!$B$10,Paramètres!$A$1:$I$89,3,0)*VLOOKUP('Données projet'!$B$10,Paramètres!$A$1:$I$89,5,0)</f>
        <v>-1.69961822393816E-13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289.12367833861299</v>
      </c>
      <c r="AO105" s="62">
        <f t="shared" si="90"/>
        <v>229.06617320689003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6.034439252144438E-11</v>
      </c>
      <c r="AX105" s="23">
        <f t="shared" si="60"/>
        <v>6.034439252144438E-11</v>
      </c>
      <c r="AY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4.4000000000000004</v>
      </c>
      <c r="BD105" s="13">
        <f>IF('Données projet'!$A$88&gt;35,BD104+BC105-BL104,IF(A105&lt;'Données projet'!$A$88,$BA$205^A105,IF(A105='Données projet'!$A$88,'Données projet'!$B$88,BD104+BC105-BL104)))</f>
        <v>269.79999999999978</v>
      </c>
      <c r="BE105" s="14">
        <f>BD105*VLOOKUP('Données projet'!$B$11,Paramètres!$A$1:$I$89,3,0)*VLOOKUP('Données projet'!$B$11,Paramètres!$A$1:$I$89,5,0)</f>
        <v>244.11503999999979</v>
      </c>
      <c r="BF105" s="14">
        <f t="shared" si="91"/>
        <v>59.324023461759012</v>
      </c>
      <c r="BG105" s="22">
        <f t="shared" si="61"/>
        <v>528.48970219589648</v>
      </c>
      <c r="BH105" s="62">
        <f t="shared" si="62"/>
        <v>821.82303552922986</v>
      </c>
      <c r="BI105" s="62">
        <f ca="1">AVERAGE(OFFSET($BH$3,0,0,'Données projet'!$E$11+1,1))-AVERAGE(OFFSET($H$3,0,0,'Données projet'!$E$11+1,1))</f>
        <v>428.8489304403459</v>
      </c>
      <c r="BJ105" s="62">
        <f t="shared" si="92"/>
        <v>247.01165577562966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-1.7053025658242404E-13</v>
      </c>
      <c r="BZ105" s="14">
        <f>BY105*VLOOKUP('Données projet'!$B$12,Paramètres!$A$1:$I$89,3,0)*VLOOKUP('Données projet'!$B$12,Paramètres!$A$1:$I$89,5,0)</f>
        <v>-1.250327841262333E-13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290.85271051443431</v>
      </c>
      <c r="CE105" s="62">
        <f t="shared" si="94"/>
        <v>318.66958823451142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1.1368683772161603E-13</v>
      </c>
      <c r="CU105" s="18">
        <f>CT105*VLOOKUP('Données projet'!$B$13,Paramètres!$A$1:$I$89,3,0)*VLOOKUP('Données projet'!$B$13,Paramètres!$A$1:$I$89,5,0)</f>
        <v>8.8675733422860506E-14</v>
      </c>
      <c r="CV105" s="14">
        <f t="shared" si="95"/>
        <v>1.3509285393066301E-12</v>
      </c>
      <c r="CW105" s="22">
        <f t="shared" si="67"/>
        <v>2.5073107750038623E-12</v>
      </c>
      <c r="CX105" s="62">
        <f t="shared" si="68"/>
        <v>293.33333333333582</v>
      </c>
      <c r="CY105" s="62">
        <f ca="1">AVERAGE(OFFSET($CX$3,0,0,'Données projet'!$E$13+1,1))-AVERAGE(OFFSET($H$3,0,0,'Données projet'!$E$13+1,1))</f>
        <v>292.57482726862594</v>
      </c>
      <c r="CZ105" s="62">
        <f t="shared" si="96"/>
        <v>283.48738729114024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-1.7053025658242404E-13</v>
      </c>
      <c r="DP105" s="18">
        <f>DO105*VLOOKUP('Données projet'!$B$14,Paramètres!$A$1:$I$89,3,0)*VLOOKUP('Données projet'!$B$14,Paramètres!$A$1:$I$89,5,0)</f>
        <v>-1.3567387213697657E-13</v>
      </c>
      <c r="DQ105" s="14" t="e">
        <f t="shared" si="97"/>
        <v>#NUM!</v>
      </c>
      <c r="DR105" s="22" t="e">
        <f t="shared" si="70"/>
        <v>#NUM!</v>
      </c>
      <c r="DS105" s="62" t="e">
        <f t="shared" si="71"/>
        <v>#NUM!</v>
      </c>
      <c r="DT105" s="62">
        <f ca="1">AVERAGE(OFFSET($DS$3,0,0,'Données projet'!$E$14+1,1))-AVERAGE(OFFSET($H$3,0,0,'Données projet'!$E$14+1,1))</f>
        <v>312.53381881960331</v>
      </c>
      <c r="DU105" s="62">
        <f t="shared" si="98"/>
        <v>342.06887933351783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3.0769230769230802</v>
      </c>
      <c r="EJ105" s="13">
        <f>IF('Données projet'!$A$192&gt;35,EJ104+EI105-ER104,IF(A105&lt;'Données projet'!$A$192,$EG$205^A105,IF(A105='Données projet'!$A$192,'Données projet'!$B$192,EJ104+EI105-ER104)))</f>
        <v>228.58974358974359</v>
      </c>
      <c r="EK105" s="18">
        <f>EJ105*VLOOKUP('Données projet'!$B$15,Paramètres!$A$1:$I$89,3,0)*VLOOKUP('Données projet'!$B$15,Paramètres!$A$1:$I$89,5,0)</f>
        <v>217.52600000000001</v>
      </c>
      <c r="EL105" s="14">
        <f t="shared" si="99"/>
        <v>53.576820638117503</v>
      </c>
      <c r="EM105" s="22">
        <f t="shared" si="73"/>
        <v>472.17074594472138</v>
      </c>
      <c r="EN105" s="62">
        <f t="shared" si="74"/>
        <v>765.50407927805463</v>
      </c>
      <c r="EO105" s="62">
        <f ca="1">AVERAGE(OFFSET($EN$3,0,0,'Données projet'!$E$15+1,1))-AVERAGE(OFFSET($H$3,0,0,'Données projet'!$E$15+1,1))</f>
        <v>363.37916970915211</v>
      </c>
      <c r="EP105" s="62">
        <f t="shared" si="100"/>
        <v>281.52963027844595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5.849230769230763</v>
      </c>
      <c r="FE105" s="13">
        <f>IF('Données projet'!$A$218&gt;35,FE104+FD105-FM104,IF(A105&lt;'Données projet'!$A$218,$FB$205^A105,IF(A105='Données projet'!$A$218,'Données projet'!$B$218,FE104+FD105-FM104)))</f>
        <v>217.09384615384553</v>
      </c>
      <c r="FF105" s="18">
        <f>FE105*VLOOKUP('Données projet'!$B$16,Paramètres!$A$1:$I$89,3,0)*VLOOKUP('Données projet'!$B$16,Paramètres!$A$1:$I$89,5,0)</f>
        <v>101.59991999999971</v>
      </c>
      <c r="FG105" s="14">
        <f t="shared" si="101"/>
        <v>27.342803604001922</v>
      </c>
      <c r="FH105" s="22">
        <f t="shared" si="76"/>
        <v>224.57524361030281</v>
      </c>
      <c r="FI105" s="62">
        <f t="shared" si="77"/>
        <v>517.90857694363615</v>
      </c>
      <c r="FJ105" s="62">
        <f ca="1">AVERAGE(OFFSET($FI$3,0,0,'Données projet'!$E$16+1,1))-AVERAGE(OFFSET($H$3,0,0,'Données projet'!$E$16+1,1))</f>
        <v>245.47494516762282</v>
      </c>
      <c r="FK105" s="62">
        <f t="shared" si="102"/>
        <v>145.54897745089966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4.4000000000000004</v>
      </c>
      <c r="FZ105" s="13">
        <f>IF('Données projet'!$A$244&gt;35,FZ104+FY105-GH104,IF(A105&lt;'Données projet'!$A$244,$FW$205^A105,IF(A105='Données projet'!$A$244,'Données projet'!$B$244,FZ104+FY105-GH104)))</f>
        <v>269.79999999999978</v>
      </c>
      <c r="GA105" s="18">
        <f>FZ105*VLOOKUP('Données projet'!$B$17,Paramètres!$A$1:$I$89,3,0)*VLOOKUP('Données projet'!$B$17,Paramètres!$A$1:$I$89,5,0)</f>
        <v>260.95055999999983</v>
      </c>
      <c r="GB105" s="14">
        <f t="shared" si="103"/>
        <v>62.924955880176938</v>
      </c>
      <c r="GC105" s="22">
        <f t="shared" si="79"/>
        <v>564.08319015797451</v>
      </c>
      <c r="GD105" s="62">
        <f t="shared" si="80"/>
        <v>857.41652349130777</v>
      </c>
      <c r="GE105" s="62">
        <f ca="1">AVERAGE(OFFSET($GD$3,0,0,'Données projet'!$E$17+1,1))-AVERAGE(OFFSET($H$3,0,0,'Données projet'!$E$17+1,1))</f>
        <v>455.50822833641354</v>
      </c>
      <c r="GF105" s="62">
        <f t="shared" si="104"/>
        <v>261.14722581688039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3.2051282051282102</v>
      </c>
      <c r="GU105" s="13">
        <f>IF('Données projet'!$A$270&gt;35,GU104+GT105-HC104,IF(A105&lt;'Données projet'!$A$270,$GR$205^A105,IF(A105='Données projet'!$A$270,'Données projet'!$B$270,GU104+GT105-HC104)))</f>
        <v>291.66666666666686</v>
      </c>
      <c r="GV105" s="18">
        <f>GU105*VLOOKUP('Données projet'!$B$18,Paramètres!$A$1:$I$89,3,0)*VLOOKUP('Données projet'!$B$18,Paramètres!$A$1:$I$89,5,0)</f>
        <v>195.65000000000012</v>
      </c>
      <c r="GW105" s="14">
        <f t="shared" si="105"/>
        <v>48.786949327182981</v>
      </c>
      <c r="GX105" s="22">
        <f t="shared" si="82"/>
        <v>425.72768674484382</v>
      </c>
      <c r="GY105" s="62">
        <f t="shared" si="83"/>
        <v>719.06102007817708</v>
      </c>
      <c r="GZ105" s="62">
        <f ca="1">AVERAGE(OFFSET($GY$3,0,0,'Données projet'!$E$18+1,1))-AVERAGE(OFFSET($H$3,0,0,'Données projet'!$E$18+1,1))</f>
        <v>312.06797204903796</v>
      </c>
      <c r="HA105" s="62">
        <f t="shared" si="106"/>
        <v>258.20189001775151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projet'!$B$18,Paramètres!$A$1:$I$89,3,0)*0.475*44/12</f>
        <v>0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84"/>
        <v>0</v>
      </c>
    </row>
    <row r="106" spans="1:218" s="5" customFormat="1" x14ac:dyDescent="0.25">
      <c r="A106" s="11">
        <f t="shared" si="85"/>
        <v>103</v>
      </c>
      <c r="B106" s="76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9">
        <f t="shared" si="56"/>
        <v>256.66666666666669</v>
      </c>
      <c r="I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2.2737367544323206E-13</v>
      </c>
      <c r="O106" s="14">
        <f>N106*VLOOKUP('Données projet'!$B$9,Paramètres!$A$1:$I$89,3,0)*VLOOKUP('Données projet'!$B$9,Paramètres!$A$1:$I$89,5,0)</f>
        <v>1.2710188457276673E-13</v>
      </c>
      <c r="P106" s="14">
        <f t="shared" si="87"/>
        <v>1.856866851063998E-12</v>
      </c>
      <c r="Q106" s="22">
        <f t="shared" si="107"/>
        <v>3.4554122145673649E-12</v>
      </c>
      <c r="R106" s="62">
        <f t="shared" si="55"/>
        <v>293.33333333333678</v>
      </c>
      <c r="S106" s="62">
        <f ca="1">AVERAGE(OFFSET($R$3,0,0,'Données projet'!$E$9+1,1))-AVERAGE(OFFSET($H$3,0,0,'Données projet'!$E$9+1,1))</f>
        <v>323.98185264074681</v>
      </c>
      <c r="T106" s="62">
        <f t="shared" si="88"/>
        <v>301.22207291854005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1.051231214599154</v>
      </c>
      <c r="AA106" s="23">
        <f>EXP(-LN(2)/25)*AA105+(1-EXP(-LN(2)/25))/(LN(2)/25)*Calculateur!V106*Calculateur!X106*VLOOKUP('Données projet'!$B$9,Paramètres!$A$1:$I$89,3,0)*0.475*44/12</f>
        <v>1.0896930633173507</v>
      </c>
      <c r="AB106" s="23">
        <f>EXP(-LN(2)/2)*AB105+(1-EXP(-LN(2)/2))/(LN(2)/2)*V106*Y106*VLOOKUP('Données projet'!$B$9,Paramètres!$A$1:$I$89,3,0)*0.475*44/12</f>
        <v>6.2642062246800235E-11</v>
      </c>
      <c r="AC106" s="24">
        <f t="shared" si="57"/>
        <v>2.1409242779791469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-2.8421709430404007E-13</v>
      </c>
      <c r="AJ106" s="14">
        <f>AI106*VLOOKUP('Données projet'!$B$10,Paramètres!$A$1:$I$89,3,0)*VLOOKUP('Données projet'!$B$10,Paramètres!$A$1:$I$89,5,0)</f>
        <v>-1.69961822393816E-13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289.12367833861299</v>
      </c>
      <c r="AO106" s="62">
        <f t="shared" si="90"/>
        <v>229.06617320689003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4.2669929158496107E-11</v>
      </c>
      <c r="AX106" s="23">
        <f t="shared" si="60"/>
        <v>4.2669929158496107E-11</v>
      </c>
      <c r="AY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4.4000000000000004</v>
      </c>
      <c r="BD106" s="13">
        <f>IF('Données projet'!$A$88&gt;35,BD105+BC106-BL105,IF(A106&lt;'Données projet'!$A$88,$BA$205^A106,IF(A106='Données projet'!$A$88,'Données projet'!$B$88,BD105+BC106-BL105)))</f>
        <v>274.19999999999976</v>
      </c>
      <c r="BE106" s="14">
        <f>BD106*VLOOKUP('Données projet'!$B$11,Paramètres!$A$1:$I$89,3,0)*VLOOKUP('Données projet'!$B$11,Paramètres!$A$1:$I$89,5,0)</f>
        <v>248.0961599999998</v>
      </c>
      <c r="BF106" s="14">
        <f t="shared" si="91"/>
        <v>60.178080967364686</v>
      </c>
      <c r="BG106" s="22">
        <f t="shared" si="61"/>
        <v>536.91096968482657</v>
      </c>
      <c r="BH106" s="62">
        <f t="shared" si="62"/>
        <v>830.24430301815983</v>
      </c>
      <c r="BI106" s="62">
        <f ca="1">AVERAGE(OFFSET($BH$3,0,0,'Données projet'!$E$11+1,1))-AVERAGE(OFFSET($H$3,0,0,'Données projet'!$E$11+1,1))</f>
        <v>428.8489304403459</v>
      </c>
      <c r="BJ106" s="62">
        <f t="shared" si="92"/>
        <v>247.01165577562966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-1.7053025658242404E-13</v>
      </c>
      <c r="BZ106" s="14">
        <f>BY106*VLOOKUP('Données projet'!$B$12,Paramètres!$A$1:$I$89,3,0)*VLOOKUP('Données projet'!$B$12,Paramètres!$A$1:$I$89,5,0)</f>
        <v>-1.250327841262333E-13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290.85271051443431</v>
      </c>
      <c r="CE106" s="62">
        <f t="shared" si="94"/>
        <v>318.66958823451142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1.1368683772161603E-13</v>
      </c>
      <c r="CU106" s="18">
        <f>CT106*VLOOKUP('Données projet'!$B$13,Paramètres!$A$1:$I$89,3,0)*VLOOKUP('Données projet'!$B$13,Paramètres!$A$1:$I$89,5,0)</f>
        <v>8.8675733422860506E-14</v>
      </c>
      <c r="CV106" s="14">
        <f t="shared" si="95"/>
        <v>1.3509285393066301E-12</v>
      </c>
      <c r="CW106" s="22">
        <f t="shared" si="67"/>
        <v>2.5073107750038623E-12</v>
      </c>
      <c r="CX106" s="62">
        <f t="shared" si="68"/>
        <v>293.33333333333582</v>
      </c>
      <c r="CY106" s="62">
        <f ca="1">AVERAGE(OFFSET($CX$3,0,0,'Données projet'!$E$13+1,1))-AVERAGE(OFFSET($H$3,0,0,'Données projet'!$E$13+1,1))</f>
        <v>292.57482726862594</v>
      </c>
      <c r="CZ106" s="62">
        <f t="shared" si="96"/>
        <v>283.48738729114024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-1.7053025658242404E-13</v>
      </c>
      <c r="DP106" s="18">
        <f>DO106*VLOOKUP('Données projet'!$B$14,Paramètres!$A$1:$I$89,3,0)*VLOOKUP('Données projet'!$B$14,Paramètres!$A$1:$I$89,5,0)</f>
        <v>-1.3567387213697657E-13</v>
      </c>
      <c r="DQ106" s="14" t="e">
        <f t="shared" si="97"/>
        <v>#NUM!</v>
      </c>
      <c r="DR106" s="22" t="e">
        <f t="shared" si="70"/>
        <v>#NUM!</v>
      </c>
      <c r="DS106" s="62" t="e">
        <f t="shared" si="71"/>
        <v>#NUM!</v>
      </c>
      <c r="DT106" s="62">
        <f ca="1">AVERAGE(OFFSET($DS$3,0,0,'Données projet'!$E$14+1,1))-AVERAGE(OFFSET($H$3,0,0,'Données projet'!$E$14+1,1))</f>
        <v>312.53381881960331</v>
      </c>
      <c r="DU106" s="62">
        <f t="shared" si="98"/>
        <v>342.06887933351783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3.0769230769230802</v>
      </c>
      <c r="EJ106" s="13">
        <f>IF('Données projet'!$A$192&gt;35,EJ105+EI106-ER105,IF(A106&lt;'Données projet'!$A$192,$EG$205^A106,IF(A106='Données projet'!$A$192,'Données projet'!$B$192,EJ105+EI106-ER105)))</f>
        <v>231.66666666666669</v>
      </c>
      <c r="EK106" s="18">
        <f>EJ106*VLOOKUP('Données projet'!$B$15,Paramètres!$A$1:$I$89,3,0)*VLOOKUP('Données projet'!$B$15,Paramètres!$A$1:$I$89,5,0)</f>
        <v>220.45400000000001</v>
      </c>
      <c r="EL106" s="14">
        <f t="shared" si="99"/>
        <v>54.213548535376205</v>
      </c>
      <c r="EM106" s="22">
        <f t="shared" si="73"/>
        <v>478.37931369911365</v>
      </c>
      <c r="EN106" s="62">
        <f t="shared" si="74"/>
        <v>771.71264703244697</v>
      </c>
      <c r="EO106" s="62">
        <f ca="1">AVERAGE(OFFSET($EN$3,0,0,'Données projet'!$E$15+1,1))-AVERAGE(OFFSET($H$3,0,0,'Données projet'!$E$15+1,1))</f>
        <v>363.37916970915211</v>
      </c>
      <c r="EP106" s="62">
        <f t="shared" si="100"/>
        <v>281.52963027844595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5.849230769230763</v>
      </c>
      <c r="FE106" s="13">
        <f>IF('Données projet'!$A$218&gt;35,FE105+FD106-FM105,IF(A106&lt;'Données projet'!$A$218,$FB$205^A106,IF(A106='Données projet'!$A$218,'Données projet'!$B$218,FE105+FD106-FM105)))</f>
        <v>222.94307692307629</v>
      </c>
      <c r="FF106" s="18">
        <f>FE106*VLOOKUP('Données projet'!$B$16,Paramètres!$A$1:$I$89,3,0)*VLOOKUP('Données projet'!$B$16,Paramètres!$A$1:$I$89,5,0)</f>
        <v>104.33735999999971</v>
      </c>
      <c r="FG106" s="14">
        <f t="shared" si="101"/>
        <v>27.992746473996831</v>
      </c>
      <c r="FH106" s="22">
        <f t="shared" si="76"/>
        <v>230.47493544221061</v>
      </c>
      <c r="FI106" s="62">
        <f t="shared" si="77"/>
        <v>523.80826877554387</v>
      </c>
      <c r="FJ106" s="62">
        <f ca="1">AVERAGE(OFFSET($FI$3,0,0,'Données projet'!$E$16+1,1))-AVERAGE(OFFSET($H$3,0,0,'Données projet'!$E$16+1,1))</f>
        <v>245.47494516762282</v>
      </c>
      <c r="FK106" s="62">
        <f t="shared" si="102"/>
        <v>145.54897745089966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4.4000000000000004</v>
      </c>
      <c r="FZ106" s="13">
        <f>IF('Données projet'!$A$244&gt;35,FZ105+FY106-GH105,IF(A106&lt;'Données projet'!$A$244,$FW$205^A106,IF(A106='Données projet'!$A$244,'Données projet'!$B$244,FZ105+FY106-GH105)))</f>
        <v>274.19999999999976</v>
      </c>
      <c r="GA106" s="18">
        <f>FZ106*VLOOKUP('Données projet'!$B$17,Paramètres!$A$1:$I$89,3,0)*VLOOKUP('Données projet'!$B$17,Paramètres!$A$1:$I$89,5,0)</f>
        <v>265.20623999999975</v>
      </c>
      <c r="GB106" s="14">
        <f t="shared" si="103"/>
        <v>63.830854160896386</v>
      </c>
      <c r="GC106" s="22">
        <f t="shared" si="79"/>
        <v>573.07293899689409</v>
      </c>
      <c r="GD106" s="62">
        <f t="shared" si="80"/>
        <v>866.40627233022747</v>
      </c>
      <c r="GE106" s="62">
        <f ca="1">AVERAGE(OFFSET($GD$3,0,0,'Données projet'!$E$17+1,1))-AVERAGE(OFFSET($H$3,0,0,'Données projet'!$E$17+1,1))</f>
        <v>455.50822833641354</v>
      </c>
      <c r="GF106" s="62">
        <f t="shared" si="104"/>
        <v>261.14722581688039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3.2051282051282102</v>
      </c>
      <c r="GU106" s="13">
        <f>IF('Données projet'!$A$270&gt;35,GU105+GT106-HC105,IF(A106&lt;'Données projet'!$A$270,$GR$205^A106,IF(A106='Données projet'!$A$270,'Données projet'!$B$270,GU105+GT106-HC105)))</f>
        <v>294.87179487179509</v>
      </c>
      <c r="GV106" s="18">
        <f>GU106*VLOOKUP('Données projet'!$B$18,Paramètres!$A$1:$I$89,3,0)*VLOOKUP('Données projet'!$B$18,Paramètres!$A$1:$I$89,5,0)</f>
        <v>197.80000000000015</v>
      </c>
      <c r="GW106" s="14">
        <f t="shared" si="105"/>
        <v>49.260363505790551</v>
      </c>
      <c r="GX106" s="22">
        <f t="shared" si="82"/>
        <v>430.29679977258542</v>
      </c>
      <c r="GY106" s="62">
        <f t="shared" si="83"/>
        <v>723.63013310591873</v>
      </c>
      <c r="GZ106" s="62">
        <f ca="1">AVERAGE(OFFSET($GY$3,0,0,'Données projet'!$E$18+1,1))-AVERAGE(OFFSET($H$3,0,0,'Données projet'!$E$18+1,1))</f>
        <v>312.06797204903796</v>
      </c>
      <c r="HA106" s="62">
        <f t="shared" si="106"/>
        <v>258.20189001775151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projet'!$B$18,Paramètres!$A$1:$I$89,3,0)*0.475*44/12</f>
        <v>0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84"/>
        <v>0</v>
      </c>
    </row>
    <row r="107" spans="1:218" s="5" customFormat="1" x14ac:dyDescent="0.25">
      <c r="A107" s="11">
        <f t="shared" si="85"/>
        <v>104</v>
      </c>
      <c r="B107" s="76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9">
        <f t="shared" si="56"/>
        <v>256.66666666666669</v>
      </c>
      <c r="I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2.2737367544323206E-13</v>
      </c>
      <c r="O107" s="14">
        <f>N107*VLOOKUP('Données projet'!$B$9,Paramètres!$A$1:$I$89,3,0)*VLOOKUP('Données projet'!$B$9,Paramètres!$A$1:$I$89,5,0)</f>
        <v>1.2710188457276673E-13</v>
      </c>
      <c r="P107" s="14">
        <f t="shared" si="87"/>
        <v>1.856866851063998E-12</v>
      </c>
      <c r="Q107" s="22">
        <f t="shared" si="107"/>
        <v>3.4554122145673649E-12</v>
      </c>
      <c r="R107" s="62">
        <f t="shared" si="55"/>
        <v>293.33333333333678</v>
      </c>
      <c r="S107" s="62">
        <f ca="1">AVERAGE(OFFSET($R$3,0,0,'Données projet'!$E$9+1,1))-AVERAGE(OFFSET($H$3,0,0,'Données projet'!$E$9+1,1))</f>
        <v>323.98185264074681</v>
      </c>
      <c r="T107" s="62">
        <f t="shared" si="88"/>
        <v>301.22207291854005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1.0306172116685934</v>
      </c>
      <c r="AA107" s="23">
        <f>EXP(-LN(2)/25)*AA106+(1-EXP(-LN(2)/25))/(LN(2)/25)*Calculateur!V107*Calculateur!X107*VLOOKUP('Données projet'!$B$9,Paramètres!$A$1:$I$89,3,0)*0.475*44/12</f>
        <v>1.05989534919647</v>
      </c>
      <c r="AB107" s="23">
        <f>EXP(-LN(2)/2)*AB106+(1-EXP(-LN(2)/2))/(LN(2)/2)*V107*Y107*VLOOKUP('Données projet'!$B$9,Paramètres!$A$1:$I$89,3,0)*0.475*44/12</f>
        <v>4.4294627002222264E-11</v>
      </c>
      <c r="AC107" s="24">
        <f t="shared" si="57"/>
        <v>2.090512560909358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-2.8421709430404007E-13</v>
      </c>
      <c r="AJ107" s="14">
        <f>AI107*VLOOKUP('Données projet'!$B$10,Paramètres!$A$1:$I$89,3,0)*VLOOKUP('Données projet'!$B$10,Paramètres!$A$1:$I$89,5,0)</f>
        <v>-1.69961822393816E-13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289.12367833861299</v>
      </c>
      <c r="AO107" s="62">
        <f t="shared" si="90"/>
        <v>229.06617320689003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3.017219626072219E-11</v>
      </c>
      <c r="AX107" s="23">
        <f t="shared" si="60"/>
        <v>3.017219626072219E-11</v>
      </c>
      <c r="AY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4.4000000000000004</v>
      </c>
      <c r="BD107" s="13">
        <f>IF('Données projet'!$A$88&gt;35,BD106+BC107-BL106,IF(A107&lt;'Données projet'!$A$88,$BA$205^A107,IF(A107='Données projet'!$A$88,'Données projet'!$B$88,BD106+BC107-BL106)))</f>
        <v>278.59999999999974</v>
      </c>
      <c r="BE107" s="14">
        <f>BD107*VLOOKUP('Données projet'!$B$11,Paramètres!$A$1:$I$89,3,0)*VLOOKUP('Données projet'!$B$11,Paramètres!$A$1:$I$89,5,0)</f>
        <v>252.07727999999975</v>
      </c>
      <c r="BF107" s="14">
        <f t="shared" si="91"/>
        <v>61.03054465215493</v>
      </c>
      <c r="BG107" s="22">
        <f t="shared" si="61"/>
        <v>545.32946126916943</v>
      </c>
      <c r="BH107" s="62">
        <f t="shared" si="62"/>
        <v>838.6627946025028</v>
      </c>
      <c r="BI107" s="62">
        <f ca="1">AVERAGE(OFFSET($BH$3,0,0,'Données projet'!$E$11+1,1))-AVERAGE(OFFSET($H$3,0,0,'Données projet'!$E$11+1,1))</f>
        <v>428.8489304403459</v>
      </c>
      <c r="BJ107" s="62">
        <f t="shared" si="92"/>
        <v>247.01165577562966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-1.7053025658242404E-13</v>
      </c>
      <c r="BZ107" s="14">
        <f>BY107*VLOOKUP('Données projet'!$B$12,Paramètres!$A$1:$I$89,3,0)*VLOOKUP('Données projet'!$B$12,Paramètres!$A$1:$I$89,5,0)</f>
        <v>-1.250327841262333E-13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290.85271051443431</v>
      </c>
      <c r="CE107" s="62">
        <f t="shared" si="94"/>
        <v>318.66958823451142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1.1368683772161603E-13</v>
      </c>
      <c r="CU107" s="18">
        <f>CT107*VLOOKUP('Données projet'!$B$13,Paramètres!$A$1:$I$89,3,0)*VLOOKUP('Données projet'!$B$13,Paramètres!$A$1:$I$89,5,0)</f>
        <v>8.8675733422860506E-14</v>
      </c>
      <c r="CV107" s="14">
        <f t="shared" si="95"/>
        <v>1.3509285393066301E-12</v>
      </c>
      <c r="CW107" s="22">
        <f t="shared" si="67"/>
        <v>2.5073107750038623E-12</v>
      </c>
      <c r="CX107" s="62">
        <f t="shared" si="68"/>
        <v>293.33333333333582</v>
      </c>
      <c r="CY107" s="62">
        <f ca="1">AVERAGE(OFFSET($CX$3,0,0,'Données projet'!$E$13+1,1))-AVERAGE(OFFSET($H$3,0,0,'Données projet'!$E$13+1,1))</f>
        <v>292.57482726862594</v>
      </c>
      <c r="CZ107" s="62">
        <f t="shared" si="96"/>
        <v>283.48738729114024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-1.7053025658242404E-13</v>
      </c>
      <c r="DP107" s="18">
        <f>DO107*VLOOKUP('Données projet'!$B$14,Paramètres!$A$1:$I$89,3,0)*VLOOKUP('Données projet'!$B$14,Paramètres!$A$1:$I$89,5,0)</f>
        <v>-1.3567387213697657E-13</v>
      </c>
      <c r="DQ107" s="14" t="e">
        <f t="shared" si="97"/>
        <v>#NUM!</v>
      </c>
      <c r="DR107" s="22" t="e">
        <f t="shared" si="70"/>
        <v>#NUM!</v>
      </c>
      <c r="DS107" s="62" t="e">
        <f t="shared" si="71"/>
        <v>#NUM!</v>
      </c>
      <c r="DT107" s="62">
        <f ca="1">AVERAGE(OFFSET($DS$3,0,0,'Données projet'!$E$14+1,1))-AVERAGE(OFFSET($H$3,0,0,'Données projet'!$E$14+1,1))</f>
        <v>312.53381881960331</v>
      </c>
      <c r="DU107" s="62">
        <f t="shared" si="98"/>
        <v>342.06887933351783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3.0769230769230802</v>
      </c>
      <c r="EJ107" s="13">
        <f>IF('Données projet'!$A$192&gt;35,EJ106+EI107-ER106,IF(A107&lt;'Données projet'!$A$192,$EG$205^A107,IF(A107='Données projet'!$A$192,'Données projet'!$B$192,EJ106+EI107-ER106)))</f>
        <v>234.74358974358978</v>
      </c>
      <c r="EK107" s="18">
        <f>EJ107*VLOOKUP('Données projet'!$B$15,Paramètres!$A$1:$I$89,3,0)*VLOOKUP('Données projet'!$B$15,Paramètres!$A$1:$I$89,5,0)</f>
        <v>223.38200000000003</v>
      </c>
      <c r="EL107" s="14">
        <f t="shared" si="99"/>
        <v>54.849292789000252</v>
      </c>
      <c r="EM107" s="22">
        <f t="shared" si="73"/>
        <v>484.58616827417546</v>
      </c>
      <c r="EN107" s="62">
        <f t="shared" si="74"/>
        <v>777.91950160750878</v>
      </c>
      <c r="EO107" s="62">
        <f ca="1">AVERAGE(OFFSET($EN$3,0,0,'Données projet'!$E$15+1,1))-AVERAGE(OFFSET($H$3,0,0,'Données projet'!$E$15+1,1))</f>
        <v>363.37916970915211</v>
      </c>
      <c r="EP107" s="62">
        <f t="shared" si="100"/>
        <v>281.52963027844595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>
        <f>VLOOKUP(A107,'Données projet'!$A$217:$I$237,2,0)</f>
        <v>228.7923076923077</v>
      </c>
      <c r="FC107" s="13">
        <f>VLOOKUP(A107,'Données projet'!$A$217:$I$237,9,0)</f>
        <v>5.849230769230763</v>
      </c>
      <c r="FD107" s="13">
        <f t="array" ref="FD107">INDEX(FC:FC,MIN(IF(ISNUMBER(FC107:FC303),ROW(FC107:FC303),"")))</f>
        <v>5.849230769230763</v>
      </c>
      <c r="FE107" s="13">
        <f>IF('Données projet'!$A$218&gt;35,FE106+FD107-FM106,IF(A107&lt;'Données projet'!$A$218,$FB$205^A107,IF(A107='Données projet'!$A$218,'Données projet'!$B$218,FE106+FD107-FM106)))</f>
        <v>228.79230769230705</v>
      </c>
      <c r="FF107" s="18">
        <f>FE107*VLOOKUP('Données projet'!$B$16,Paramètres!$A$1:$I$89,3,0)*VLOOKUP('Données projet'!$B$16,Paramètres!$A$1:$I$89,5,0)</f>
        <v>107.0747999999997</v>
      </c>
      <c r="FG107" s="14">
        <f t="shared" si="101"/>
        <v>28.640707257492455</v>
      </c>
      <c r="FH107" s="22">
        <f t="shared" si="76"/>
        <v>236.37117514013221</v>
      </c>
      <c r="FI107" s="62">
        <f t="shared" si="77"/>
        <v>529.70450847346547</v>
      </c>
      <c r="FJ107" s="62">
        <f ca="1">AVERAGE(OFFSET($FI$3,0,0,'Données projet'!$E$16+1,1))-AVERAGE(OFFSET($H$3,0,0,'Données projet'!$E$16+1,1))</f>
        <v>245.47494516762282</v>
      </c>
      <c r="FK107" s="62">
        <f t="shared" si="102"/>
        <v>145.54897745089966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4.4000000000000004</v>
      </c>
      <c r="FZ107" s="13">
        <f>IF('Données projet'!$A$244&gt;35,FZ106+FY107-GH106,IF(A107&lt;'Données projet'!$A$244,$FW$205^A107,IF(A107='Données projet'!$A$244,'Données projet'!$B$244,FZ106+FY107-GH106)))</f>
        <v>278.59999999999974</v>
      </c>
      <c r="GA107" s="18">
        <f>FZ107*VLOOKUP('Données projet'!$B$17,Paramètres!$A$1:$I$89,3,0)*VLOOKUP('Données projet'!$B$17,Paramètres!$A$1:$I$89,5,0)</f>
        <v>269.46191999999974</v>
      </c>
      <c r="GB107" s="14">
        <f t="shared" si="103"/>
        <v>64.735061876839055</v>
      </c>
      <c r="GC107" s="22">
        <f t="shared" si="79"/>
        <v>582.05974343549417</v>
      </c>
      <c r="GD107" s="62">
        <f t="shared" si="80"/>
        <v>875.39307676882754</v>
      </c>
      <c r="GE107" s="62">
        <f ca="1">AVERAGE(OFFSET($GD$3,0,0,'Données projet'!$E$17+1,1))-AVERAGE(OFFSET($H$3,0,0,'Données projet'!$E$17+1,1))</f>
        <v>455.50822833641354</v>
      </c>
      <c r="GF107" s="62">
        <f t="shared" si="104"/>
        <v>261.14722581688039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3.2051282051282102</v>
      </c>
      <c r="GU107" s="13">
        <f>IF('Données projet'!$A$270&gt;35,GU106+GT107-HC106,IF(A107&lt;'Données projet'!$A$270,$GR$205^A107,IF(A107='Données projet'!$A$270,'Données projet'!$B$270,GU106+GT107-HC106)))</f>
        <v>298.07692307692332</v>
      </c>
      <c r="GV107" s="18">
        <f>GU107*VLOOKUP('Données projet'!$B$18,Paramètres!$A$1:$I$89,3,0)*VLOOKUP('Données projet'!$B$18,Paramètres!$A$1:$I$89,5,0)</f>
        <v>199.95000000000016</v>
      </c>
      <c r="GW107" s="14">
        <f t="shared" si="105"/>
        <v>49.733179078835313</v>
      </c>
      <c r="GX107" s="22">
        <f t="shared" si="82"/>
        <v>434.86487022897177</v>
      </c>
      <c r="GY107" s="62">
        <f t="shared" si="83"/>
        <v>728.19820356230503</v>
      </c>
      <c r="GZ107" s="62">
        <f ca="1">AVERAGE(OFFSET($GY$3,0,0,'Données projet'!$E$18+1,1))-AVERAGE(OFFSET($H$3,0,0,'Données projet'!$E$18+1,1))</f>
        <v>312.06797204903796</v>
      </c>
      <c r="HA107" s="62">
        <f t="shared" si="106"/>
        <v>258.20189001775151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projet'!$B$18,Paramètres!$A$1:$I$89,3,0)*0.475*44/12</f>
        <v>0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84"/>
        <v>0</v>
      </c>
    </row>
    <row r="108" spans="1:218" s="5" customFormat="1" x14ac:dyDescent="0.25">
      <c r="A108" s="11">
        <f t="shared" si="85"/>
        <v>105</v>
      </c>
      <c r="B108" s="76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9">
        <f t="shared" si="56"/>
        <v>256.66666666666669</v>
      </c>
      <c r="I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2.2737367544323206E-13</v>
      </c>
      <c r="O108" s="14">
        <f>N108*VLOOKUP('Données projet'!$B$9,Paramètres!$A$1:$I$89,3,0)*VLOOKUP('Données projet'!$B$9,Paramètres!$A$1:$I$89,5,0)</f>
        <v>1.2710188457276673E-13</v>
      </c>
      <c r="P108" s="14">
        <f t="shared" si="87"/>
        <v>1.856866851063998E-12</v>
      </c>
      <c r="Q108" s="22">
        <f t="shared" si="107"/>
        <v>3.4554122145673649E-12</v>
      </c>
      <c r="R108" s="62">
        <f t="shared" si="55"/>
        <v>293.33333333333678</v>
      </c>
      <c r="S108" s="62">
        <f ca="1">AVERAGE(OFFSET($R$3,0,0,'Données projet'!$E$9+1,1))-AVERAGE(OFFSET($H$3,0,0,'Données projet'!$E$9+1,1))</f>
        <v>323.98185264074681</v>
      </c>
      <c r="T108" s="62">
        <f t="shared" si="88"/>
        <v>301.22207291854005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1.0104074367622009</v>
      </c>
      <c r="AA108" s="23">
        <f>EXP(-LN(2)/25)*AA107+(1-EXP(-LN(2)/25))/(LN(2)/25)*Calculateur!V108*Calculateur!X108*VLOOKUP('Données projet'!$B$9,Paramètres!$A$1:$I$89,3,0)*0.475*44/12</f>
        <v>1.0309124551352185</v>
      </c>
      <c r="AB108" s="23">
        <f>EXP(-LN(2)/2)*AB107+(1-EXP(-LN(2)/2))/(LN(2)/2)*V108*Y108*VLOOKUP('Données projet'!$B$9,Paramètres!$A$1:$I$89,3,0)*0.475*44/12</f>
        <v>3.1321031123400118E-11</v>
      </c>
      <c r="AC108" s="24">
        <f t="shared" si="57"/>
        <v>2.0413198919287407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-2.8421709430404007E-13</v>
      </c>
      <c r="AJ108" s="14">
        <f>AI108*VLOOKUP('Données projet'!$B$10,Paramètres!$A$1:$I$89,3,0)*VLOOKUP('Données projet'!$B$10,Paramètres!$A$1:$I$89,5,0)</f>
        <v>-1.69961822393816E-13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289.12367833861299</v>
      </c>
      <c r="AO108" s="62">
        <f t="shared" si="90"/>
        <v>229.06617320689003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2.1334964579248054E-11</v>
      </c>
      <c r="AX108" s="23">
        <f t="shared" si="60"/>
        <v>2.1334964579248054E-11</v>
      </c>
      <c r="AY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4.4000000000000004</v>
      </c>
      <c r="BD108" s="13">
        <f>IF('Données projet'!$A$88&gt;35,BD107+BC108-BL107,IF(A108&lt;'Données projet'!$A$88,$BA$205^A108,IF(A108='Données projet'!$A$88,'Données projet'!$B$88,BD107+BC108-BL107)))</f>
        <v>282.99999999999972</v>
      </c>
      <c r="BE108" s="14">
        <f>BD108*VLOOKUP('Données projet'!$B$11,Paramètres!$A$1:$I$89,3,0)*VLOOKUP('Données projet'!$B$11,Paramètres!$A$1:$I$89,5,0)</f>
        <v>256.05839999999972</v>
      </c>
      <c r="BF108" s="14">
        <f t="shared" si="91"/>
        <v>61.881442594256434</v>
      </c>
      <c r="BG108" s="22">
        <f t="shared" si="61"/>
        <v>553.74522585166278</v>
      </c>
      <c r="BH108" s="62">
        <f t="shared" si="62"/>
        <v>847.07855918499604</v>
      </c>
      <c r="BI108" s="62">
        <f ca="1">AVERAGE(OFFSET($BH$3,0,0,'Données projet'!$E$11+1,1))-AVERAGE(OFFSET($H$3,0,0,'Données projet'!$E$11+1,1))</f>
        <v>428.8489304403459</v>
      </c>
      <c r="BJ108" s="62">
        <f t="shared" si="92"/>
        <v>247.01165577562966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-1.7053025658242404E-13</v>
      </c>
      <c r="BZ108" s="14">
        <f>BY108*VLOOKUP('Données projet'!$B$12,Paramètres!$A$1:$I$89,3,0)*VLOOKUP('Données projet'!$B$12,Paramètres!$A$1:$I$89,5,0)</f>
        <v>-1.250327841262333E-13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290.85271051443431</v>
      </c>
      <c r="CE108" s="62">
        <f t="shared" si="94"/>
        <v>318.66958823451142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1.1368683772161603E-13</v>
      </c>
      <c r="CU108" s="18">
        <f>CT108*VLOOKUP('Données projet'!$B$13,Paramètres!$A$1:$I$89,3,0)*VLOOKUP('Données projet'!$B$13,Paramètres!$A$1:$I$89,5,0)</f>
        <v>8.8675733422860506E-14</v>
      </c>
      <c r="CV108" s="14">
        <f t="shared" si="95"/>
        <v>1.3509285393066301E-12</v>
      </c>
      <c r="CW108" s="22">
        <f t="shared" si="67"/>
        <v>2.5073107750038623E-12</v>
      </c>
      <c r="CX108" s="62">
        <f t="shared" si="68"/>
        <v>293.33333333333582</v>
      </c>
      <c r="CY108" s="62">
        <f ca="1">AVERAGE(OFFSET($CX$3,0,0,'Données projet'!$E$13+1,1))-AVERAGE(OFFSET($H$3,0,0,'Données projet'!$E$13+1,1))</f>
        <v>292.57482726862594</v>
      </c>
      <c r="CZ108" s="62">
        <f t="shared" si="96"/>
        <v>283.48738729114024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-1.7053025658242404E-13</v>
      </c>
      <c r="DP108" s="18">
        <f>DO108*VLOOKUP('Données projet'!$B$14,Paramètres!$A$1:$I$89,3,0)*VLOOKUP('Données projet'!$B$14,Paramètres!$A$1:$I$89,5,0)</f>
        <v>-1.3567387213697657E-13</v>
      </c>
      <c r="DQ108" s="14" t="e">
        <f t="shared" si="97"/>
        <v>#NUM!</v>
      </c>
      <c r="DR108" s="22" t="e">
        <f t="shared" si="70"/>
        <v>#NUM!</v>
      </c>
      <c r="DS108" s="62" t="e">
        <f t="shared" si="71"/>
        <v>#NUM!</v>
      </c>
      <c r="DT108" s="62">
        <f ca="1">AVERAGE(OFFSET($DS$3,0,0,'Données projet'!$E$14+1,1))-AVERAGE(OFFSET($H$3,0,0,'Données projet'!$E$14+1,1))</f>
        <v>312.53381881960331</v>
      </c>
      <c r="DU108" s="62">
        <f t="shared" si="98"/>
        <v>342.06887933351783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3.0769230769230802</v>
      </c>
      <c r="EJ108" s="13">
        <f>IF('Données projet'!$A$192&gt;35,EJ107+EI108-ER107,IF(A108&lt;'Données projet'!$A$192,$EG$205^A108,IF(A108='Données projet'!$A$192,'Données projet'!$B$192,EJ107+EI108-ER107)))</f>
        <v>237.82051282051287</v>
      </c>
      <c r="EK108" s="18">
        <f>EJ108*VLOOKUP('Données projet'!$B$15,Paramètres!$A$1:$I$89,3,0)*VLOOKUP('Données projet'!$B$15,Paramètres!$A$1:$I$89,5,0)</f>
        <v>226.31000000000006</v>
      </c>
      <c r="EL108" s="14">
        <f t="shared" si="99"/>
        <v>55.484067782810527</v>
      </c>
      <c r="EM108" s="22">
        <f t="shared" si="73"/>
        <v>490.79133472172845</v>
      </c>
      <c r="EN108" s="62">
        <f t="shared" si="74"/>
        <v>784.12466805506176</v>
      </c>
      <c r="EO108" s="62">
        <f ca="1">AVERAGE(OFFSET($EN$3,0,0,'Données projet'!$E$15+1,1))-AVERAGE(OFFSET($H$3,0,0,'Données projet'!$E$15+1,1))</f>
        <v>363.37916970915211</v>
      </c>
      <c r="EP108" s="62">
        <f t="shared" si="100"/>
        <v>281.52963027844595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5.4600000000000026</v>
      </c>
      <c r="FE108" s="13">
        <f>IF('Données projet'!$A$218&gt;35,FE107+FD108-FM107,IF(A108&lt;'Données projet'!$A$218,$FB$205^A108,IF(A108='Données projet'!$A$218,'Données projet'!$B$218,FE107+FD108-FM107)))</f>
        <v>234.25230769230706</v>
      </c>
      <c r="FF108" s="18">
        <f>FE108*VLOOKUP('Données projet'!$B$16,Paramètres!$A$1:$I$89,3,0)*VLOOKUP('Données projet'!$B$16,Paramètres!$A$1:$I$89,5,0)</f>
        <v>109.63007999999969</v>
      </c>
      <c r="FG108" s="14">
        <f t="shared" si="101"/>
        <v>29.243811455610157</v>
      </c>
      <c r="FH108" s="22">
        <f t="shared" si="76"/>
        <v>241.87202761852049</v>
      </c>
      <c r="FI108" s="62">
        <f t="shared" si="77"/>
        <v>535.20536095185378</v>
      </c>
      <c r="FJ108" s="62">
        <f ca="1">AVERAGE(OFFSET($FI$3,0,0,'Données projet'!$E$16+1,1))-AVERAGE(OFFSET($H$3,0,0,'Données projet'!$E$16+1,1))</f>
        <v>245.47494516762282</v>
      </c>
      <c r="FK108" s="62">
        <f t="shared" si="102"/>
        <v>145.54897745089966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4.4000000000000004</v>
      </c>
      <c r="FZ108" s="13">
        <f>IF('Données projet'!$A$244&gt;35,FZ107+FY108-GH107,IF(A108&lt;'Données projet'!$A$244,$FW$205^A108,IF(A108='Données projet'!$A$244,'Données projet'!$B$244,FZ107+FY108-GH107)))</f>
        <v>282.99999999999972</v>
      </c>
      <c r="GA108" s="18">
        <f>FZ108*VLOOKUP('Données projet'!$B$17,Paramètres!$A$1:$I$89,3,0)*VLOOKUP('Données projet'!$B$17,Paramètres!$A$1:$I$89,5,0)</f>
        <v>273.71759999999972</v>
      </c>
      <c r="GB108" s="14">
        <f t="shared" si="103"/>
        <v>65.637608810456612</v>
      </c>
      <c r="GC108" s="22">
        <f t="shared" si="79"/>
        <v>591.04365534487806</v>
      </c>
      <c r="GD108" s="62">
        <f t="shared" si="80"/>
        <v>884.37698867821132</v>
      </c>
      <c r="GE108" s="62">
        <f ca="1">AVERAGE(OFFSET($GD$3,0,0,'Données projet'!$E$17+1,1))-AVERAGE(OFFSET($H$3,0,0,'Données projet'!$E$17+1,1))</f>
        <v>455.50822833641354</v>
      </c>
      <c r="GF108" s="62">
        <f t="shared" si="104"/>
        <v>261.14722581688039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>
        <f>VLOOKUP(A108,'Données projet'!$A$269:$I$289,2,0)</f>
        <v>301.28205128205127</v>
      </c>
      <c r="GS108" s="13">
        <f>VLOOKUP(A108,'Données projet'!$A$269:$I$289,9,0)</f>
        <v>3.2051282051282102</v>
      </c>
      <c r="GT108" s="13">
        <f t="array" ref="GT108">INDEX(GS:GS,MIN(IF(ISNUMBER(GS108:GS304),ROW(GS108:GS304),"")))</f>
        <v>3.2051282051282102</v>
      </c>
      <c r="GU108" s="13">
        <f>IF('Données projet'!$A$270&gt;35,GU107+GT108-HC107,IF(A108&lt;'Données projet'!$A$270,$GR$205^A108,IF(A108='Données projet'!$A$270,'Données projet'!$B$270,GU107+GT108-HC107)))</f>
        <v>301.28205128205155</v>
      </c>
      <c r="GV108" s="18">
        <f>GU108*VLOOKUP('Données projet'!$B$18,Paramètres!$A$1:$I$89,3,0)*VLOOKUP('Données projet'!$B$18,Paramètres!$A$1:$I$89,5,0)</f>
        <v>202.10000000000016</v>
      </c>
      <c r="GW108" s="14">
        <f t="shared" si="105"/>
        <v>50.205403227941737</v>
      </c>
      <c r="GX108" s="22">
        <f t="shared" si="82"/>
        <v>439.43191062199884</v>
      </c>
      <c r="GY108" s="62">
        <f t="shared" si="83"/>
        <v>732.76524395533215</v>
      </c>
      <c r="GZ108" s="62">
        <f ca="1">AVERAGE(OFFSET($GY$3,0,0,'Données projet'!$E$18+1,1))-AVERAGE(OFFSET($H$3,0,0,'Données projet'!$E$18+1,1))</f>
        <v>312.06797204903796</v>
      </c>
      <c r="HA108" s="62">
        <f t="shared" si="106"/>
        <v>258.20189001775151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projet'!$B$18,Paramètres!$A$1:$I$89,3,0)*0.475*44/12</f>
        <v>0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84"/>
        <v>0</v>
      </c>
    </row>
    <row r="109" spans="1:218" s="5" customFormat="1" x14ac:dyDescent="0.25">
      <c r="A109" s="11">
        <f t="shared" si="85"/>
        <v>106</v>
      </c>
      <c r="B109" s="76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9">
        <f t="shared" si="56"/>
        <v>256.66666666666669</v>
      </c>
      <c r="I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2.2737367544323206E-13</v>
      </c>
      <c r="O109" s="14">
        <f>N109*VLOOKUP('Données projet'!$B$9,Paramètres!$A$1:$I$89,3,0)*VLOOKUP('Données projet'!$B$9,Paramètres!$A$1:$I$89,5,0)</f>
        <v>1.2710188457276673E-13</v>
      </c>
      <c r="P109" s="14">
        <f t="shared" si="87"/>
        <v>1.856866851063998E-12</v>
      </c>
      <c r="Q109" s="22">
        <f t="shared" si="107"/>
        <v>3.4554122145673649E-12</v>
      </c>
      <c r="R109" s="62">
        <f t="shared" si="55"/>
        <v>293.33333333333678</v>
      </c>
      <c r="S109" s="62">
        <f ca="1">AVERAGE(OFFSET($R$3,0,0,'Données projet'!$E$9+1,1))-AVERAGE(OFFSET($H$3,0,0,'Données projet'!$E$9+1,1))</f>
        <v>323.98185264074681</v>
      </c>
      <c r="T109" s="62">
        <f t="shared" si="88"/>
        <v>301.22207291854005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0.99059396321497717</v>
      </c>
      <c r="AA109" s="23">
        <f>EXP(-LN(2)/25)*AA108+(1-EXP(-LN(2)/25))/(LN(2)/25)*Calculateur!V109*Calculateur!X109*VLOOKUP('Données projet'!$B$9,Paramètres!$A$1:$I$89,3,0)*0.475*44/12</f>
        <v>1.0027220998362161</v>
      </c>
      <c r="AB109" s="23">
        <f>EXP(-LN(2)/2)*AB108+(1-EXP(-LN(2)/2))/(LN(2)/2)*V109*Y109*VLOOKUP('Données projet'!$B$9,Paramètres!$A$1:$I$89,3,0)*0.475*44/12</f>
        <v>2.2147313501111132E-11</v>
      </c>
      <c r="AC109" s="24">
        <f t="shared" si="57"/>
        <v>1.9933160630733406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-2.8421709430404007E-13</v>
      </c>
      <c r="AJ109" s="14">
        <f>AI109*VLOOKUP('Données projet'!$B$10,Paramètres!$A$1:$I$89,3,0)*VLOOKUP('Données projet'!$B$10,Paramètres!$A$1:$I$89,5,0)</f>
        <v>-1.69961822393816E-13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289.12367833861299</v>
      </c>
      <c r="AO109" s="62">
        <f t="shared" si="90"/>
        <v>229.06617320689003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1.5086098130361095E-11</v>
      </c>
      <c r="AX109" s="23">
        <f t="shared" si="60"/>
        <v>1.5086098130361095E-11</v>
      </c>
      <c r="AY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4.4000000000000004</v>
      </c>
      <c r="BD109" s="13">
        <f>IF('Données projet'!$A$88&gt;35,BD108+BC109-BL108,IF(A109&lt;'Données projet'!$A$88,$BA$205^A109,IF(A109='Données projet'!$A$88,'Données projet'!$B$88,BD108+BC109-BL108)))</f>
        <v>287.39999999999969</v>
      </c>
      <c r="BE109" s="14">
        <f>BD109*VLOOKUP('Données projet'!$B$11,Paramètres!$A$1:$I$89,3,0)*VLOOKUP('Données projet'!$B$11,Paramètres!$A$1:$I$89,5,0)</f>
        <v>260.0395199999997</v>
      </c>
      <c r="BF109" s="14">
        <f t="shared" si="91"/>
        <v>62.730801948604821</v>
      </c>
      <c r="BG109" s="22">
        <f t="shared" si="61"/>
        <v>562.15831072715287</v>
      </c>
      <c r="BH109" s="62">
        <f t="shared" si="62"/>
        <v>855.49164406048612</v>
      </c>
      <c r="BI109" s="62">
        <f ca="1">AVERAGE(OFFSET($BH$3,0,0,'Données projet'!$E$11+1,1))-AVERAGE(OFFSET($H$3,0,0,'Données projet'!$E$11+1,1))</f>
        <v>428.8489304403459</v>
      </c>
      <c r="BJ109" s="62">
        <f t="shared" si="92"/>
        <v>247.01165577562966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-1.7053025658242404E-13</v>
      </c>
      <c r="BZ109" s="14">
        <f>BY109*VLOOKUP('Données projet'!$B$12,Paramètres!$A$1:$I$89,3,0)*VLOOKUP('Données projet'!$B$12,Paramètres!$A$1:$I$89,5,0)</f>
        <v>-1.250327841262333E-13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290.85271051443431</v>
      </c>
      <c r="CE109" s="62">
        <f t="shared" si="94"/>
        <v>318.66958823451142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1.1368683772161603E-13</v>
      </c>
      <c r="CU109" s="18">
        <f>CT109*VLOOKUP('Données projet'!$B$13,Paramètres!$A$1:$I$89,3,0)*VLOOKUP('Données projet'!$B$13,Paramètres!$A$1:$I$89,5,0)</f>
        <v>8.8675733422860506E-14</v>
      </c>
      <c r="CV109" s="14">
        <f t="shared" si="95"/>
        <v>1.3509285393066301E-12</v>
      </c>
      <c r="CW109" s="22">
        <f t="shared" si="67"/>
        <v>2.5073107750038623E-12</v>
      </c>
      <c r="CX109" s="62">
        <f t="shared" si="68"/>
        <v>293.33333333333582</v>
      </c>
      <c r="CY109" s="62">
        <f ca="1">AVERAGE(OFFSET($CX$3,0,0,'Données projet'!$E$13+1,1))-AVERAGE(OFFSET($H$3,0,0,'Données projet'!$E$13+1,1))</f>
        <v>292.57482726862594</v>
      </c>
      <c r="CZ109" s="62">
        <f t="shared" si="96"/>
        <v>283.48738729114024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-1.7053025658242404E-13</v>
      </c>
      <c r="DP109" s="18">
        <f>DO109*VLOOKUP('Données projet'!$B$14,Paramètres!$A$1:$I$89,3,0)*VLOOKUP('Données projet'!$B$14,Paramètres!$A$1:$I$89,5,0)</f>
        <v>-1.3567387213697657E-13</v>
      </c>
      <c r="DQ109" s="14" t="e">
        <f t="shared" si="97"/>
        <v>#NUM!</v>
      </c>
      <c r="DR109" s="22" t="e">
        <f t="shared" si="70"/>
        <v>#NUM!</v>
      </c>
      <c r="DS109" s="62" t="e">
        <f t="shared" si="71"/>
        <v>#NUM!</v>
      </c>
      <c r="DT109" s="62">
        <f ca="1">AVERAGE(OFFSET($DS$3,0,0,'Données projet'!$E$14+1,1))-AVERAGE(OFFSET($H$3,0,0,'Données projet'!$E$14+1,1))</f>
        <v>312.53381881960331</v>
      </c>
      <c r="DU109" s="62">
        <f t="shared" si="98"/>
        <v>342.06887933351783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3.0769230769230802</v>
      </c>
      <c r="EJ109" s="13">
        <f>IF('Données projet'!$A$192&gt;35,EJ108+EI109-ER108,IF(A109&lt;'Données projet'!$A$192,$EG$205^A109,IF(A109='Données projet'!$A$192,'Données projet'!$B$192,EJ108+EI109-ER108)))</f>
        <v>240.89743589743597</v>
      </c>
      <c r="EK109" s="18">
        <f>EJ109*VLOOKUP('Données projet'!$B$15,Paramètres!$A$1:$I$89,3,0)*VLOOKUP('Données projet'!$B$15,Paramètres!$A$1:$I$89,5,0)</f>
        <v>229.23800000000008</v>
      </c>
      <c r="EL109" s="14">
        <f t="shared" si="99"/>
        <v>56.117887507033878</v>
      </c>
      <c r="EM109" s="22">
        <f t="shared" si="73"/>
        <v>496.99483740808415</v>
      </c>
      <c r="EN109" s="62">
        <f t="shared" si="74"/>
        <v>790.32817074141747</v>
      </c>
      <c r="EO109" s="62">
        <f ca="1">AVERAGE(OFFSET($EN$3,0,0,'Données projet'!$E$15+1,1))-AVERAGE(OFFSET($H$3,0,0,'Données projet'!$E$15+1,1))</f>
        <v>363.37916970915211</v>
      </c>
      <c r="EP109" s="62">
        <f t="shared" si="100"/>
        <v>281.52963027844595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5.4600000000000026</v>
      </c>
      <c r="FE109" s="13">
        <f>IF('Données projet'!$A$218&gt;35,FE108+FD109-FM108,IF(A109&lt;'Données projet'!$A$218,$FB$205^A109,IF(A109='Données projet'!$A$218,'Données projet'!$B$218,FE108+FD109-FM108)))</f>
        <v>239.71230769230706</v>
      </c>
      <c r="FF109" s="18">
        <f>FE109*VLOOKUP('Données projet'!$B$16,Paramètres!$A$1:$I$89,3,0)*VLOOKUP('Données projet'!$B$16,Paramètres!$A$1:$I$89,5,0)</f>
        <v>112.1853599999997</v>
      </c>
      <c r="FG109" s="14">
        <f t="shared" si="101"/>
        <v>29.84528144827167</v>
      </c>
      <c r="FH109" s="22">
        <f t="shared" si="76"/>
        <v>247.37003385573931</v>
      </c>
      <c r="FI109" s="62">
        <f t="shared" si="77"/>
        <v>540.70336718907265</v>
      </c>
      <c r="FJ109" s="62">
        <f ca="1">AVERAGE(OFFSET($FI$3,0,0,'Données projet'!$E$16+1,1))-AVERAGE(OFFSET($H$3,0,0,'Données projet'!$E$16+1,1))</f>
        <v>245.47494516762282</v>
      </c>
      <c r="FK109" s="62">
        <f t="shared" si="102"/>
        <v>145.54897745089966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4.4000000000000004</v>
      </c>
      <c r="FZ109" s="13">
        <f>IF('Données projet'!$A$244&gt;35,FZ108+FY109-GH108,IF(A109&lt;'Données projet'!$A$244,$FW$205^A109,IF(A109='Données projet'!$A$244,'Données projet'!$B$244,FZ108+FY109-GH108)))</f>
        <v>287.39999999999969</v>
      </c>
      <c r="GA109" s="18">
        <f>FZ109*VLOOKUP('Données projet'!$B$17,Paramètres!$A$1:$I$89,3,0)*VLOOKUP('Données projet'!$B$17,Paramètres!$A$1:$I$89,5,0)</f>
        <v>277.9732799999997</v>
      </c>
      <c r="GB109" s="14">
        <f t="shared" si="103"/>
        <v>66.538523764973135</v>
      </c>
      <c r="GC109" s="22">
        <f t="shared" si="79"/>
        <v>600.0247248906611</v>
      </c>
      <c r="GD109" s="62">
        <f t="shared" si="80"/>
        <v>893.35805822399448</v>
      </c>
      <c r="GE109" s="62">
        <f ca="1">AVERAGE(OFFSET($GD$3,0,0,'Données projet'!$E$17+1,1))-AVERAGE(OFFSET($H$3,0,0,'Données projet'!$E$17+1,1))</f>
        <v>455.50822833641354</v>
      </c>
      <c r="GF109" s="62">
        <f t="shared" si="104"/>
        <v>261.14722581688039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3.333333333333337</v>
      </c>
      <c r="GU109" s="13">
        <f>IF('Données projet'!$A$270&gt;35,GU108+GT109-HC108,IF(A109&lt;'Données projet'!$A$270,$GR$205^A109,IF(A109='Données projet'!$A$270,'Données projet'!$B$270,GU108+GT109-HC108)))</f>
        <v>304.61538461538487</v>
      </c>
      <c r="GV109" s="18">
        <f>GU109*VLOOKUP('Données projet'!$B$18,Paramètres!$A$1:$I$89,3,0)*VLOOKUP('Données projet'!$B$18,Paramètres!$A$1:$I$89,5,0)</f>
        <v>204.33600000000018</v>
      </c>
      <c r="GW109" s="14">
        <f t="shared" si="105"/>
        <v>50.695896504938347</v>
      </c>
      <c r="GX109" s="22">
        <f t="shared" si="82"/>
        <v>444.18055307943456</v>
      </c>
      <c r="GY109" s="62">
        <f t="shared" si="83"/>
        <v>737.51388641276787</v>
      </c>
      <c r="GZ109" s="62">
        <f ca="1">AVERAGE(OFFSET($GY$3,0,0,'Données projet'!$E$18+1,1))-AVERAGE(OFFSET($H$3,0,0,'Données projet'!$E$18+1,1))</f>
        <v>312.06797204903796</v>
      </c>
      <c r="HA109" s="62">
        <f t="shared" si="106"/>
        <v>258.20189001775151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projet'!$B$18,Paramètres!$A$1:$I$89,3,0)*0.475*44/12</f>
        <v>0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84"/>
        <v>0</v>
      </c>
    </row>
    <row r="110" spans="1:218" s="5" customFormat="1" x14ac:dyDescent="0.25">
      <c r="A110" s="11">
        <f t="shared" si="85"/>
        <v>107</v>
      </c>
      <c r="B110" s="76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9">
        <f t="shared" si="56"/>
        <v>256.66666666666669</v>
      </c>
      <c r="I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2.2737367544323206E-13</v>
      </c>
      <c r="O110" s="14">
        <f>N110*VLOOKUP('Données projet'!$B$9,Paramètres!$A$1:$I$89,3,0)*VLOOKUP('Données projet'!$B$9,Paramètres!$A$1:$I$89,5,0)</f>
        <v>1.2710188457276673E-13</v>
      </c>
      <c r="P110" s="14">
        <f t="shared" si="87"/>
        <v>1.856866851063998E-12</v>
      </c>
      <c r="Q110" s="22">
        <f t="shared" si="107"/>
        <v>3.4554122145673649E-12</v>
      </c>
      <c r="R110" s="62">
        <f t="shared" si="55"/>
        <v>293.33333333333678</v>
      </c>
      <c r="S110" s="62">
        <f ca="1">AVERAGE(OFFSET($R$3,0,0,'Données projet'!$E$9+1,1))-AVERAGE(OFFSET($H$3,0,0,'Données projet'!$E$9+1,1))</f>
        <v>323.98185264074681</v>
      </c>
      <c r="T110" s="62">
        <f t="shared" si="88"/>
        <v>301.22207291854005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0.97116901979898895</v>
      </c>
      <c r="AA110" s="23">
        <f>EXP(-LN(2)/25)*AA109+(1-EXP(-LN(2)/25))/(LN(2)/25)*Calculateur!V110*Calculateur!X110*VLOOKUP('Données projet'!$B$9,Paramètres!$A$1:$I$89,3,0)*0.475*44/12</f>
        <v>0.97530261128533124</v>
      </c>
      <c r="AB110" s="23">
        <f>EXP(-LN(2)/2)*AB109+(1-EXP(-LN(2)/2))/(LN(2)/2)*V110*Y110*VLOOKUP('Données projet'!$B$9,Paramètres!$A$1:$I$89,3,0)*0.475*44/12</f>
        <v>1.5660515561700059E-11</v>
      </c>
      <c r="AC110" s="24">
        <f t="shared" si="57"/>
        <v>1.9464716310999808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-2.8421709430404007E-13</v>
      </c>
      <c r="AJ110" s="14">
        <f>AI110*VLOOKUP('Données projet'!$B$10,Paramètres!$A$1:$I$89,3,0)*VLOOKUP('Données projet'!$B$10,Paramètres!$A$1:$I$89,5,0)</f>
        <v>-1.69961822393816E-13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289.12367833861299</v>
      </c>
      <c r="AO110" s="62">
        <f t="shared" si="90"/>
        <v>229.06617320689003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1.0667482289624027E-11</v>
      </c>
      <c r="AX110" s="23">
        <f t="shared" si="60"/>
        <v>1.0667482289624027E-11</v>
      </c>
      <c r="AY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4.4000000000000004</v>
      </c>
      <c r="BD110" s="13">
        <f>IF('Données projet'!$A$88&gt;35,BD109+BC110-BL109,IF(A110&lt;'Données projet'!$A$88,$BA$205^A110,IF(A110='Données projet'!$A$88,'Données projet'!$B$88,BD109+BC110-BL109)))</f>
        <v>291.79999999999967</v>
      </c>
      <c r="BE110" s="14">
        <f>BD110*VLOOKUP('Données projet'!$B$11,Paramètres!$A$1:$I$89,3,0)*VLOOKUP('Données projet'!$B$11,Paramètres!$A$1:$I$89,5,0)</f>
        <v>264.02063999999967</v>
      </c>
      <c r="BF110" s="14">
        <f t="shared" si="91"/>
        <v>63.57864899095906</v>
      </c>
      <c r="BG110" s="22">
        <f t="shared" si="61"/>
        <v>570.56876165925303</v>
      </c>
      <c r="BH110" s="62">
        <f t="shared" si="62"/>
        <v>863.9020949925864</v>
      </c>
      <c r="BI110" s="62">
        <f ca="1">AVERAGE(OFFSET($BH$3,0,0,'Données projet'!$E$11+1,1))-AVERAGE(OFFSET($H$3,0,0,'Données projet'!$E$11+1,1))</f>
        <v>428.8489304403459</v>
      </c>
      <c r="BJ110" s="62">
        <f t="shared" si="92"/>
        <v>247.01165577562966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-1.7053025658242404E-13</v>
      </c>
      <c r="BZ110" s="14">
        <f>BY110*VLOOKUP('Données projet'!$B$12,Paramètres!$A$1:$I$89,3,0)*VLOOKUP('Données projet'!$B$12,Paramètres!$A$1:$I$89,5,0)</f>
        <v>-1.250327841262333E-13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290.85271051443431</v>
      </c>
      <c r="CE110" s="62">
        <f t="shared" si="94"/>
        <v>318.66958823451142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1.1368683772161603E-13</v>
      </c>
      <c r="CU110" s="18">
        <f>CT110*VLOOKUP('Données projet'!$B$13,Paramètres!$A$1:$I$89,3,0)*VLOOKUP('Données projet'!$B$13,Paramètres!$A$1:$I$89,5,0)</f>
        <v>8.8675733422860506E-14</v>
      </c>
      <c r="CV110" s="14">
        <f t="shared" si="95"/>
        <v>1.3509285393066301E-12</v>
      </c>
      <c r="CW110" s="22">
        <f t="shared" si="67"/>
        <v>2.5073107750038623E-12</v>
      </c>
      <c r="CX110" s="62">
        <f t="shared" si="68"/>
        <v>293.33333333333582</v>
      </c>
      <c r="CY110" s="62">
        <f ca="1">AVERAGE(OFFSET($CX$3,0,0,'Données projet'!$E$13+1,1))-AVERAGE(OFFSET($H$3,0,0,'Données projet'!$E$13+1,1))</f>
        <v>292.57482726862594</v>
      </c>
      <c r="CZ110" s="62">
        <f t="shared" si="96"/>
        <v>283.48738729114024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-1.7053025658242404E-13</v>
      </c>
      <c r="DP110" s="18">
        <f>DO110*VLOOKUP('Données projet'!$B$14,Paramètres!$A$1:$I$89,3,0)*VLOOKUP('Données projet'!$B$14,Paramètres!$A$1:$I$89,5,0)</f>
        <v>-1.3567387213697657E-13</v>
      </c>
      <c r="DQ110" s="14" t="e">
        <f t="shared" si="97"/>
        <v>#NUM!</v>
      </c>
      <c r="DR110" s="22" t="e">
        <f t="shared" si="70"/>
        <v>#NUM!</v>
      </c>
      <c r="DS110" s="62" t="e">
        <f t="shared" si="71"/>
        <v>#NUM!</v>
      </c>
      <c r="DT110" s="62">
        <f ca="1">AVERAGE(OFFSET($DS$3,0,0,'Données projet'!$E$14+1,1))-AVERAGE(OFFSET($H$3,0,0,'Données projet'!$E$14+1,1))</f>
        <v>312.53381881960331</v>
      </c>
      <c r="DU110" s="62">
        <f t="shared" si="98"/>
        <v>342.06887933351783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3.0769230769230802</v>
      </c>
      <c r="EJ110" s="13">
        <f>IF('Données projet'!$A$192&gt;35,EJ109+EI110-ER109,IF(A110&lt;'Données projet'!$A$192,$EG$205^A110,IF(A110='Données projet'!$A$192,'Données projet'!$B$192,EJ109+EI110-ER109)))</f>
        <v>243.97435897435906</v>
      </c>
      <c r="EK110" s="18">
        <f>EJ110*VLOOKUP('Données projet'!$B$15,Paramètres!$A$1:$I$89,3,0)*VLOOKUP('Données projet'!$B$15,Paramètres!$A$1:$I$89,5,0)</f>
        <v>232.16600000000008</v>
      </c>
      <c r="EL110" s="14">
        <f t="shared" si="99"/>
        <v>56.750765573960223</v>
      </c>
      <c r="EM110" s="22">
        <f t="shared" si="73"/>
        <v>503.19670004131422</v>
      </c>
      <c r="EN110" s="62">
        <f t="shared" si="74"/>
        <v>796.53003337464747</v>
      </c>
      <c r="EO110" s="62">
        <f ca="1">AVERAGE(OFFSET($EN$3,0,0,'Données projet'!$E$15+1,1))-AVERAGE(OFFSET($H$3,0,0,'Données projet'!$E$15+1,1))</f>
        <v>363.37916970915211</v>
      </c>
      <c r="EP110" s="62">
        <f t="shared" si="100"/>
        <v>281.52963027844595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5.4600000000000026</v>
      </c>
      <c r="FE110" s="13">
        <f>IF('Données projet'!$A$218&gt;35,FE109+FD110-FM109,IF(A110&lt;'Données projet'!$A$218,$FB$205^A110,IF(A110='Données projet'!$A$218,'Données projet'!$B$218,FE109+FD110-FM109)))</f>
        <v>245.17230769230707</v>
      </c>
      <c r="FF110" s="18">
        <f>FE110*VLOOKUP('Données projet'!$B$16,Paramètres!$A$1:$I$89,3,0)*VLOOKUP('Données projet'!$B$16,Paramètres!$A$1:$I$89,5,0)</f>
        <v>114.74063999999971</v>
      </c>
      <c r="FG110" s="14">
        <f t="shared" si="101"/>
        <v>30.445158743218197</v>
      </c>
      <c r="FH110" s="22">
        <f t="shared" si="76"/>
        <v>252.86526614443781</v>
      </c>
      <c r="FI110" s="62">
        <f t="shared" si="77"/>
        <v>546.19859947777115</v>
      </c>
      <c r="FJ110" s="62">
        <f ca="1">AVERAGE(OFFSET($FI$3,0,0,'Données projet'!$E$16+1,1))-AVERAGE(OFFSET($H$3,0,0,'Données projet'!$E$16+1,1))</f>
        <v>245.47494516762282</v>
      </c>
      <c r="FK110" s="62">
        <f t="shared" si="102"/>
        <v>145.54897745089966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4.4000000000000004</v>
      </c>
      <c r="FZ110" s="13">
        <f>IF('Données projet'!$A$244&gt;35,FZ109+FY110-GH109,IF(A110&lt;'Données projet'!$A$244,$FW$205^A110,IF(A110='Données projet'!$A$244,'Données projet'!$B$244,FZ109+FY110-GH109)))</f>
        <v>291.79999999999967</v>
      </c>
      <c r="GA110" s="18">
        <f>FZ110*VLOOKUP('Données projet'!$B$17,Paramètres!$A$1:$I$89,3,0)*VLOOKUP('Données projet'!$B$17,Paramètres!$A$1:$I$89,5,0)</f>
        <v>282.22895999999969</v>
      </c>
      <c r="GB110" s="14">
        <f t="shared" si="103"/>
        <v>67.437834611070301</v>
      </c>
      <c r="GC110" s="22">
        <f t="shared" si="79"/>
        <v>609.00300061428027</v>
      </c>
      <c r="GD110" s="62">
        <f t="shared" si="80"/>
        <v>902.33633394761364</v>
      </c>
      <c r="GE110" s="62">
        <f ca="1">AVERAGE(OFFSET($GD$3,0,0,'Données projet'!$E$17+1,1))-AVERAGE(OFFSET($H$3,0,0,'Données projet'!$E$17+1,1))</f>
        <v>455.50822833641354</v>
      </c>
      <c r="GF110" s="62">
        <f t="shared" si="104"/>
        <v>261.14722581688039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3.333333333333337</v>
      </c>
      <c r="GU110" s="13">
        <f>IF('Données projet'!$A$270&gt;35,GU109+GT110-HC109,IF(A110&lt;'Données projet'!$A$270,$GR$205^A110,IF(A110='Données projet'!$A$270,'Données projet'!$B$270,GU109+GT110-HC109)))</f>
        <v>307.94871794871818</v>
      </c>
      <c r="GV110" s="18">
        <f>GU110*VLOOKUP('Données projet'!$B$18,Paramètres!$A$1:$I$89,3,0)*VLOOKUP('Données projet'!$B$18,Paramètres!$A$1:$I$89,5,0)</f>
        <v>206.57200000000014</v>
      </c>
      <c r="GW110" s="14">
        <f t="shared" si="105"/>
        <v>51.185765406859268</v>
      </c>
      <c r="GX110" s="22">
        <f t="shared" si="82"/>
        <v>448.92810808361338</v>
      </c>
      <c r="GY110" s="62">
        <f t="shared" si="83"/>
        <v>742.2614414169467</v>
      </c>
      <c r="GZ110" s="62">
        <f ca="1">AVERAGE(OFFSET($GY$3,0,0,'Données projet'!$E$18+1,1))-AVERAGE(OFFSET($H$3,0,0,'Données projet'!$E$18+1,1))</f>
        <v>312.06797204903796</v>
      </c>
      <c r="HA110" s="62">
        <f t="shared" si="106"/>
        <v>258.20189001775151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projet'!$B$18,Paramètres!$A$1:$I$89,3,0)*0.475*44/12</f>
        <v>0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84"/>
        <v>0</v>
      </c>
    </row>
    <row r="111" spans="1:218" s="5" customFormat="1" x14ac:dyDescent="0.25">
      <c r="A111" s="11">
        <f t="shared" si="85"/>
        <v>108</v>
      </c>
      <c r="B111" s="76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9">
        <f t="shared" si="56"/>
        <v>256.66666666666669</v>
      </c>
      <c r="I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2.2737367544323206E-13</v>
      </c>
      <c r="O111" s="14">
        <f>N111*VLOOKUP('Données projet'!$B$9,Paramètres!$A$1:$I$89,3,0)*VLOOKUP('Données projet'!$B$9,Paramètres!$A$1:$I$89,5,0)</f>
        <v>1.2710188457276673E-13</v>
      </c>
      <c r="P111" s="14">
        <f t="shared" si="87"/>
        <v>1.856866851063998E-12</v>
      </c>
      <c r="Q111" s="22">
        <f t="shared" si="107"/>
        <v>3.4554122145673649E-12</v>
      </c>
      <c r="R111" s="62">
        <f t="shared" si="55"/>
        <v>293.33333333333678</v>
      </c>
      <c r="S111" s="62">
        <f ca="1">AVERAGE(OFFSET($R$3,0,0,'Données projet'!$E$9+1,1))-AVERAGE(OFFSET($H$3,0,0,'Données projet'!$E$9+1,1))</f>
        <v>323.98185264074681</v>
      </c>
      <c r="T111" s="62">
        <f t="shared" si="88"/>
        <v>301.22207291854005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0.9521249876753427</v>
      </c>
      <c r="AA111" s="23">
        <f>EXP(-LN(2)/25)*AA110+(1-EXP(-LN(2)/25))/(LN(2)/25)*Calculateur!V111*Calculateur!X111*VLOOKUP('Données projet'!$B$9,Paramètres!$A$1:$I$89,3,0)*0.475*44/12</f>
        <v>0.94863291009079864</v>
      </c>
      <c r="AB111" s="23">
        <f>EXP(-LN(2)/2)*AB110+(1-EXP(-LN(2)/2))/(LN(2)/2)*V111*Y111*VLOOKUP('Données projet'!$B$9,Paramètres!$A$1:$I$89,3,0)*0.475*44/12</f>
        <v>1.1073656750555566E-11</v>
      </c>
      <c r="AC111" s="24">
        <f t="shared" si="57"/>
        <v>1.900757897777215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-2.8421709430404007E-13</v>
      </c>
      <c r="AJ111" s="14">
        <f>AI111*VLOOKUP('Données projet'!$B$10,Paramètres!$A$1:$I$89,3,0)*VLOOKUP('Données projet'!$B$10,Paramètres!$A$1:$I$89,5,0)</f>
        <v>-1.69961822393816E-13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289.12367833861299</v>
      </c>
      <c r="AO111" s="62">
        <f t="shared" si="90"/>
        <v>229.06617320689003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7.5430490651805476E-12</v>
      </c>
      <c r="AX111" s="23">
        <f t="shared" si="60"/>
        <v>7.5430490651805476E-12</v>
      </c>
      <c r="AY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4.4000000000000004</v>
      </c>
      <c r="BD111" s="13">
        <f>IF('Données projet'!$A$88&gt;35,BD110+BC111-BL110,IF(A111&lt;'Données projet'!$A$88,$BA$205^A111,IF(A111='Données projet'!$A$88,'Données projet'!$B$88,BD110+BC111-BL110)))</f>
        <v>296.19999999999965</v>
      </c>
      <c r="BE111" s="14">
        <f>BD111*VLOOKUP('Données projet'!$B$11,Paramètres!$A$1:$I$89,3,0)*VLOOKUP('Données projet'!$B$11,Paramètres!$A$1:$I$89,5,0)</f>
        <v>268.00175999999971</v>
      </c>
      <c r="BF111" s="14">
        <f t="shared" si="91"/>
        <v>64.425009159185521</v>
      </c>
      <c r="BG111" s="22">
        <f t="shared" si="61"/>
        <v>578.97662295224757</v>
      </c>
      <c r="BH111" s="62">
        <f t="shared" si="62"/>
        <v>872.30995628558094</v>
      </c>
      <c r="BI111" s="62">
        <f ca="1">AVERAGE(OFFSET($BH$3,0,0,'Données projet'!$E$11+1,1))-AVERAGE(OFFSET($H$3,0,0,'Données projet'!$E$11+1,1))</f>
        <v>428.8489304403459</v>
      </c>
      <c r="BJ111" s="62">
        <f t="shared" si="92"/>
        <v>247.01165577562966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-1.7053025658242404E-13</v>
      </c>
      <c r="BZ111" s="14">
        <f>BY111*VLOOKUP('Données projet'!$B$12,Paramètres!$A$1:$I$89,3,0)*VLOOKUP('Données projet'!$B$12,Paramètres!$A$1:$I$89,5,0)</f>
        <v>-1.250327841262333E-13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290.85271051443431</v>
      </c>
      <c r="CE111" s="62">
        <f t="shared" si="94"/>
        <v>318.66958823451142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1.1368683772161603E-13</v>
      </c>
      <c r="CU111" s="18">
        <f>CT111*VLOOKUP('Données projet'!$B$13,Paramètres!$A$1:$I$89,3,0)*VLOOKUP('Données projet'!$B$13,Paramètres!$A$1:$I$89,5,0)</f>
        <v>8.8675733422860506E-14</v>
      </c>
      <c r="CV111" s="14">
        <f t="shared" si="95"/>
        <v>1.3509285393066301E-12</v>
      </c>
      <c r="CW111" s="22">
        <f t="shared" si="67"/>
        <v>2.5073107750038623E-12</v>
      </c>
      <c r="CX111" s="62">
        <f t="shared" si="68"/>
        <v>293.33333333333582</v>
      </c>
      <c r="CY111" s="62">
        <f ca="1">AVERAGE(OFFSET($CX$3,0,0,'Données projet'!$E$13+1,1))-AVERAGE(OFFSET($H$3,0,0,'Données projet'!$E$13+1,1))</f>
        <v>292.57482726862594</v>
      </c>
      <c r="CZ111" s="62">
        <f t="shared" si="96"/>
        <v>283.48738729114024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-1.7053025658242404E-13</v>
      </c>
      <c r="DP111" s="18">
        <f>DO111*VLOOKUP('Données projet'!$B$14,Paramètres!$A$1:$I$89,3,0)*VLOOKUP('Données projet'!$B$14,Paramètres!$A$1:$I$89,5,0)</f>
        <v>-1.3567387213697657E-13</v>
      </c>
      <c r="DQ111" s="14" t="e">
        <f t="shared" si="97"/>
        <v>#NUM!</v>
      </c>
      <c r="DR111" s="22" t="e">
        <f t="shared" si="70"/>
        <v>#NUM!</v>
      </c>
      <c r="DS111" s="62" t="e">
        <f t="shared" si="71"/>
        <v>#NUM!</v>
      </c>
      <c r="DT111" s="62">
        <f ca="1">AVERAGE(OFFSET($DS$3,0,0,'Données projet'!$E$14+1,1))-AVERAGE(OFFSET($H$3,0,0,'Données projet'!$E$14+1,1))</f>
        <v>312.53381881960331</v>
      </c>
      <c r="DU111" s="62">
        <f t="shared" si="98"/>
        <v>342.06887933351783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3.0769230769230802</v>
      </c>
      <c r="EJ111" s="13">
        <f>IF('Données projet'!$A$192&gt;35,EJ110+EI111-ER110,IF(A111&lt;'Données projet'!$A$192,$EG$205^A111,IF(A111='Données projet'!$A$192,'Données projet'!$B$192,EJ110+EI111-ER110)))</f>
        <v>247.05128205128216</v>
      </c>
      <c r="EK111" s="18">
        <f>EJ111*VLOOKUP('Données projet'!$B$15,Paramètres!$A$1:$I$89,3,0)*VLOOKUP('Données projet'!$B$15,Paramètres!$A$1:$I$89,5,0)</f>
        <v>235.09400000000011</v>
      </c>
      <c r="EL111" s="14">
        <f t="shared" si="99"/>
        <v>57.382715232787383</v>
      </c>
      <c r="EM111" s="22">
        <f t="shared" si="73"/>
        <v>509.39694569710491</v>
      </c>
      <c r="EN111" s="62">
        <f t="shared" si="74"/>
        <v>802.73027903043817</v>
      </c>
      <c r="EO111" s="62">
        <f ca="1">AVERAGE(OFFSET($EN$3,0,0,'Données projet'!$E$15+1,1))-AVERAGE(OFFSET($H$3,0,0,'Données projet'!$E$15+1,1))</f>
        <v>363.37916970915211</v>
      </c>
      <c r="EP111" s="62">
        <f t="shared" si="100"/>
        <v>281.52963027844595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5.4600000000000026</v>
      </c>
      <c r="FE111" s="13">
        <f>IF('Données projet'!$A$218&gt;35,FE110+FD111-FM110,IF(A111&lt;'Données projet'!$A$218,$FB$205^A111,IF(A111='Données projet'!$A$218,'Données projet'!$B$218,FE110+FD111-FM110)))</f>
        <v>250.63230769230708</v>
      </c>
      <c r="FF111" s="18">
        <f>FE111*VLOOKUP('Données projet'!$B$16,Paramètres!$A$1:$I$89,3,0)*VLOOKUP('Données projet'!$B$16,Paramètres!$A$1:$I$89,5,0)</f>
        <v>117.29591999999971</v>
      </c>
      <c r="FG111" s="14">
        <f t="shared" si="101"/>
        <v>31.043482893881698</v>
      </c>
      <c r="FH111" s="22">
        <f t="shared" si="76"/>
        <v>258.35779337351011</v>
      </c>
      <c r="FI111" s="62">
        <f t="shared" si="77"/>
        <v>551.69112670684342</v>
      </c>
      <c r="FJ111" s="62">
        <f ca="1">AVERAGE(OFFSET($FI$3,0,0,'Données projet'!$E$16+1,1))-AVERAGE(OFFSET($H$3,0,0,'Données projet'!$E$16+1,1))</f>
        <v>245.47494516762282</v>
      </c>
      <c r="FK111" s="62">
        <f t="shared" si="102"/>
        <v>145.54897745089966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4.4000000000000004</v>
      </c>
      <c r="FZ111" s="13">
        <f>IF('Données projet'!$A$244&gt;35,FZ110+FY111-GH110,IF(A111&lt;'Données projet'!$A$244,$FW$205^A111,IF(A111='Données projet'!$A$244,'Données projet'!$B$244,FZ110+FY111-GH110)))</f>
        <v>296.19999999999965</v>
      </c>
      <c r="GA111" s="18">
        <f>FZ111*VLOOKUP('Données projet'!$B$17,Paramètres!$A$1:$I$89,3,0)*VLOOKUP('Données projet'!$B$17,Paramètres!$A$1:$I$89,5,0)</f>
        <v>286.48463999999967</v>
      </c>
      <c r="GB111" s="14">
        <f t="shared" si="103"/>
        <v>68.335568330677432</v>
      </c>
      <c r="GC111" s="22">
        <f t="shared" si="79"/>
        <v>617.97852950926267</v>
      </c>
      <c r="GD111" s="62">
        <f t="shared" si="80"/>
        <v>911.31186284259593</v>
      </c>
      <c r="GE111" s="62">
        <f ca="1">AVERAGE(OFFSET($GD$3,0,0,'Données projet'!$E$17+1,1))-AVERAGE(OFFSET($H$3,0,0,'Données projet'!$E$17+1,1))</f>
        <v>455.50822833641354</v>
      </c>
      <c r="GF111" s="62">
        <f t="shared" si="104"/>
        <v>261.14722581688039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3.333333333333337</v>
      </c>
      <c r="GU111" s="13">
        <f>IF('Données projet'!$A$270&gt;35,GU110+GT111-HC110,IF(A111&lt;'Données projet'!$A$270,$GR$205^A111,IF(A111='Données projet'!$A$270,'Données projet'!$B$270,GU110+GT111-HC110)))</f>
        <v>311.2820512820515</v>
      </c>
      <c r="GV111" s="18">
        <f>GU111*VLOOKUP('Données projet'!$B$18,Paramètres!$A$1:$I$89,3,0)*VLOOKUP('Données projet'!$B$18,Paramètres!$A$1:$I$89,5,0)</f>
        <v>208.80800000000013</v>
      </c>
      <c r="GW111" s="14">
        <f t="shared" si="105"/>
        <v>51.675017474362051</v>
      </c>
      <c r="GX111" s="22">
        <f t="shared" si="82"/>
        <v>453.67458876784752</v>
      </c>
      <c r="GY111" s="62">
        <f t="shared" si="83"/>
        <v>747.00792210118084</v>
      </c>
      <c r="GZ111" s="62">
        <f ca="1">AVERAGE(OFFSET($GY$3,0,0,'Données projet'!$E$18+1,1))-AVERAGE(OFFSET($H$3,0,0,'Données projet'!$E$18+1,1))</f>
        <v>312.06797204903796</v>
      </c>
      <c r="HA111" s="62">
        <f t="shared" si="106"/>
        <v>258.20189001775151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projet'!$B$18,Paramètres!$A$1:$I$89,3,0)*0.475*44/12</f>
        <v>0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84"/>
        <v>0</v>
      </c>
    </row>
    <row r="112" spans="1:218" s="5" customFormat="1" x14ac:dyDescent="0.25">
      <c r="A112" s="11">
        <f t="shared" si="85"/>
        <v>109</v>
      </c>
      <c r="B112" s="76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9">
        <f t="shared" si="56"/>
        <v>256.66666666666669</v>
      </c>
      <c r="I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2.2737367544323206E-13</v>
      </c>
      <c r="O112" s="14">
        <f>N112*VLOOKUP('Données projet'!$B$9,Paramètres!$A$1:$I$89,3,0)*VLOOKUP('Données projet'!$B$9,Paramètres!$A$1:$I$89,5,0)</f>
        <v>1.2710188457276673E-13</v>
      </c>
      <c r="P112" s="14">
        <f t="shared" si="87"/>
        <v>1.856866851063998E-12</v>
      </c>
      <c r="Q112" s="22">
        <f t="shared" si="107"/>
        <v>3.4554122145673649E-12</v>
      </c>
      <c r="R112" s="62">
        <f t="shared" si="55"/>
        <v>293.33333333333678</v>
      </c>
      <c r="S112" s="62">
        <f ca="1">AVERAGE(OFFSET($R$3,0,0,'Données projet'!$E$9+1,1))-AVERAGE(OFFSET($H$3,0,0,'Données projet'!$E$9+1,1))</f>
        <v>323.98185264074681</v>
      </c>
      <c r="T112" s="62">
        <f t="shared" si="88"/>
        <v>301.22207291854005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0.9334543974059285</v>
      </c>
      <c r="AA112" s="23">
        <f>EXP(-LN(2)/25)*AA111+(1-EXP(-LN(2)/25))/(LN(2)/25)*Calculateur!V112*Calculateur!X112*VLOOKUP('Données projet'!$B$9,Paramètres!$A$1:$I$89,3,0)*0.475*44/12</f>
        <v>0.92269249327792913</v>
      </c>
      <c r="AB112" s="23">
        <f>EXP(-LN(2)/2)*AB111+(1-EXP(-LN(2)/2))/(LN(2)/2)*V112*Y112*VLOOKUP('Données projet'!$B$9,Paramètres!$A$1:$I$89,3,0)*0.475*44/12</f>
        <v>7.8302577808500294E-12</v>
      </c>
      <c r="AC112" s="24">
        <f t="shared" si="57"/>
        <v>1.8561468906916878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-2.8421709430404007E-13</v>
      </c>
      <c r="AJ112" s="14">
        <f>AI112*VLOOKUP('Données projet'!$B$10,Paramètres!$A$1:$I$89,3,0)*VLOOKUP('Données projet'!$B$10,Paramètres!$A$1:$I$89,5,0)</f>
        <v>-1.69961822393816E-13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289.12367833861299</v>
      </c>
      <c r="AO112" s="62">
        <f t="shared" si="90"/>
        <v>229.06617320689003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5.3337411448120134E-12</v>
      </c>
      <c r="AX112" s="23">
        <f t="shared" si="60"/>
        <v>5.3337411448120134E-12</v>
      </c>
      <c r="AY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4.4000000000000004</v>
      </c>
      <c r="BD112" s="13">
        <f>IF('Données projet'!$A$88&gt;35,BD111+BC112-BL111,IF(A112&lt;'Données projet'!$A$88,$BA$205^A112,IF(A112='Données projet'!$A$88,'Données projet'!$B$88,BD111+BC112-BL111)))</f>
        <v>300.59999999999962</v>
      </c>
      <c r="BE112" s="14">
        <f>BD112*VLOOKUP('Données projet'!$B$11,Paramètres!$A$1:$I$89,3,0)*VLOOKUP('Données projet'!$B$11,Paramètres!$A$1:$I$89,5,0)</f>
        <v>271.98287999999962</v>
      </c>
      <c r="BF112" s="14">
        <f t="shared" si="91"/>
        <v>65.269907092018684</v>
      </c>
      <c r="BG112" s="22">
        <f t="shared" si="61"/>
        <v>587.38193751859842</v>
      </c>
      <c r="BH112" s="62">
        <f t="shared" si="62"/>
        <v>880.71527085193179</v>
      </c>
      <c r="BI112" s="62">
        <f ca="1">AVERAGE(OFFSET($BH$3,0,0,'Données projet'!$E$11+1,1))-AVERAGE(OFFSET($H$3,0,0,'Données projet'!$E$11+1,1))</f>
        <v>428.8489304403459</v>
      </c>
      <c r="BJ112" s="62">
        <f t="shared" si="92"/>
        <v>247.01165577562966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-1.7053025658242404E-13</v>
      </c>
      <c r="BZ112" s="14">
        <f>BY112*VLOOKUP('Données projet'!$B$12,Paramètres!$A$1:$I$89,3,0)*VLOOKUP('Données projet'!$B$12,Paramètres!$A$1:$I$89,5,0)</f>
        <v>-1.250327841262333E-13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290.85271051443431</v>
      </c>
      <c r="CE112" s="62">
        <f t="shared" si="94"/>
        <v>318.66958823451142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1.1368683772161603E-13</v>
      </c>
      <c r="CU112" s="18">
        <f>CT112*VLOOKUP('Données projet'!$B$13,Paramètres!$A$1:$I$89,3,0)*VLOOKUP('Données projet'!$B$13,Paramètres!$A$1:$I$89,5,0)</f>
        <v>8.8675733422860506E-14</v>
      </c>
      <c r="CV112" s="14">
        <f t="shared" si="95"/>
        <v>1.3509285393066301E-12</v>
      </c>
      <c r="CW112" s="22">
        <f t="shared" si="67"/>
        <v>2.5073107750038623E-12</v>
      </c>
      <c r="CX112" s="62">
        <f t="shared" si="68"/>
        <v>293.33333333333582</v>
      </c>
      <c r="CY112" s="62">
        <f ca="1">AVERAGE(OFFSET($CX$3,0,0,'Données projet'!$E$13+1,1))-AVERAGE(OFFSET($H$3,0,0,'Données projet'!$E$13+1,1))</f>
        <v>292.57482726862594</v>
      </c>
      <c r="CZ112" s="62">
        <f t="shared" si="96"/>
        <v>283.48738729114024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-1.7053025658242404E-13</v>
      </c>
      <c r="DP112" s="18">
        <f>DO112*VLOOKUP('Données projet'!$B$14,Paramètres!$A$1:$I$89,3,0)*VLOOKUP('Données projet'!$B$14,Paramètres!$A$1:$I$89,5,0)</f>
        <v>-1.3567387213697657E-13</v>
      </c>
      <c r="DQ112" s="14" t="e">
        <f t="shared" si="97"/>
        <v>#NUM!</v>
      </c>
      <c r="DR112" s="22" t="e">
        <f t="shared" si="70"/>
        <v>#NUM!</v>
      </c>
      <c r="DS112" s="62" t="e">
        <f t="shared" si="71"/>
        <v>#NUM!</v>
      </c>
      <c r="DT112" s="62">
        <f ca="1">AVERAGE(OFFSET($DS$3,0,0,'Données projet'!$E$14+1,1))-AVERAGE(OFFSET($H$3,0,0,'Données projet'!$E$14+1,1))</f>
        <v>312.53381881960331</v>
      </c>
      <c r="DU112" s="62">
        <f t="shared" si="98"/>
        <v>342.06887933351783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3.0769230769230802</v>
      </c>
      <c r="EJ112" s="13">
        <f>IF('Données projet'!$A$192&gt;35,EJ111+EI112-ER111,IF(A112&lt;'Données projet'!$A$192,$EG$205^A112,IF(A112='Données projet'!$A$192,'Données projet'!$B$192,EJ111+EI112-ER111)))</f>
        <v>250.12820512820525</v>
      </c>
      <c r="EK112" s="18">
        <f>EJ112*VLOOKUP('Données projet'!$B$15,Paramètres!$A$1:$I$89,3,0)*VLOOKUP('Données projet'!$B$15,Paramètres!$A$1:$I$89,5,0)</f>
        <v>238.02200000000013</v>
      </c>
      <c r="EL112" s="14">
        <f t="shared" si="99"/>
        <v>58.013749383704898</v>
      </c>
      <c r="EM112" s="22">
        <f t="shared" si="73"/>
        <v>515.59559684328622</v>
      </c>
      <c r="EN112" s="62">
        <f t="shared" si="74"/>
        <v>808.92893017661959</v>
      </c>
      <c r="EO112" s="62">
        <f ca="1">AVERAGE(OFFSET($EN$3,0,0,'Données projet'!$E$15+1,1))-AVERAGE(OFFSET($H$3,0,0,'Données projet'!$E$15+1,1))</f>
        <v>363.37916970915211</v>
      </c>
      <c r="EP112" s="62">
        <f t="shared" si="100"/>
        <v>281.52963027844595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>
        <f>VLOOKUP(A112,'Données projet'!$A$217:$I$237,2,0)</f>
        <v>256.09230769230771</v>
      </c>
      <c r="FC112" s="13">
        <f>VLOOKUP(A112,'Données projet'!$A$217:$I$237,9,0)</f>
        <v>5.4600000000000026</v>
      </c>
      <c r="FD112" s="13">
        <f t="array" ref="FD112">INDEX(FC:FC,MIN(IF(ISNUMBER(FC112:FC308),ROW(FC112:FC308),"")))</f>
        <v>5.4600000000000026</v>
      </c>
      <c r="FE112" s="13">
        <f>IF('Données projet'!$A$218&gt;35,FE111+FD112-FM111,IF(A112&lt;'Données projet'!$A$218,$FB$205^A112,IF(A112='Données projet'!$A$218,'Données projet'!$B$218,FE111+FD112-FM111)))</f>
        <v>256.09230769230709</v>
      </c>
      <c r="FF112" s="18">
        <f>FE112*VLOOKUP('Données projet'!$B$16,Paramètres!$A$1:$I$89,3,0)*VLOOKUP('Données projet'!$B$16,Paramètres!$A$1:$I$89,5,0)</f>
        <v>119.85119999999972</v>
      </c>
      <c r="FG112" s="14">
        <f t="shared" si="101"/>
        <v>31.640291631938162</v>
      </c>
      <c r="FH112" s="22">
        <f t="shared" si="76"/>
        <v>263.84768125895852</v>
      </c>
      <c r="FI112" s="62">
        <f t="shared" si="77"/>
        <v>557.18101459229183</v>
      </c>
      <c r="FJ112" s="62">
        <f ca="1">AVERAGE(OFFSET($FI$3,0,0,'Données projet'!$E$16+1,1))-AVERAGE(OFFSET($H$3,0,0,'Données projet'!$E$16+1,1))</f>
        <v>245.47494516762282</v>
      </c>
      <c r="FK112" s="62">
        <f t="shared" si="102"/>
        <v>145.54897745089966</v>
      </c>
      <c r="FL112" s="16">
        <f>IF(ISNA(VLOOKUP(A112,'Données projet'!$A$217:$I$237,3,0)),0,VLOOKUP(A112,'Données projet'!$A$217:$I$237,3,0))</f>
        <v>6</v>
      </c>
      <c r="FM112" s="16">
        <f>IF(ISNA(VLOOKUP(A112,'Données projet'!$A$217:$I$237,4,0)),0,VLOOKUP(A112,'Données projet'!$A$217:$I$237,4,0))</f>
        <v>256.09230769230771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4.4000000000000004</v>
      </c>
      <c r="FZ112" s="13">
        <f>IF('Données projet'!$A$244&gt;35,FZ111+FY112-GH111,IF(A112&lt;'Données projet'!$A$244,$FW$205^A112,IF(A112='Données projet'!$A$244,'Données projet'!$B$244,FZ111+FY112-GH111)))</f>
        <v>300.59999999999962</v>
      </c>
      <c r="GA112" s="18">
        <f>FZ112*VLOOKUP('Données projet'!$B$17,Paramètres!$A$1:$I$89,3,0)*VLOOKUP('Données projet'!$B$17,Paramètres!$A$1:$I$89,5,0)</f>
        <v>290.74031999999966</v>
      </c>
      <c r="GB112" s="14">
        <f t="shared" si="103"/>
        <v>69.231751058085507</v>
      </c>
      <c r="GC112" s="22">
        <f t="shared" si="79"/>
        <v>626.95135709283159</v>
      </c>
      <c r="GD112" s="62">
        <f t="shared" si="80"/>
        <v>920.28469042616484</v>
      </c>
      <c r="GE112" s="62">
        <f ca="1">AVERAGE(OFFSET($GD$3,0,0,'Données projet'!$E$17+1,1))-AVERAGE(OFFSET($H$3,0,0,'Données projet'!$E$17+1,1))</f>
        <v>455.50822833641354</v>
      </c>
      <c r="GF112" s="62">
        <f t="shared" si="104"/>
        <v>261.14722581688039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3.333333333333337</v>
      </c>
      <c r="GU112" s="13">
        <f>IF('Données projet'!$A$270&gt;35,GU111+GT112-HC111,IF(A112&lt;'Données projet'!$A$270,$GR$205^A112,IF(A112='Données projet'!$A$270,'Données projet'!$B$270,GU111+GT112-HC111)))</f>
        <v>314.61538461538481</v>
      </c>
      <c r="GV112" s="18">
        <f>GU112*VLOOKUP('Données projet'!$B$18,Paramètres!$A$1:$I$89,3,0)*VLOOKUP('Données projet'!$B$18,Paramètres!$A$1:$I$89,5,0)</f>
        <v>211.04400000000015</v>
      </c>
      <c r="GW112" s="14">
        <f t="shared" si="105"/>
        <v>52.163660077304868</v>
      </c>
      <c r="GX112" s="22">
        <f t="shared" si="82"/>
        <v>458.42000796797294</v>
      </c>
      <c r="GY112" s="62">
        <f t="shared" si="83"/>
        <v>751.75334130130625</v>
      </c>
      <c r="GZ112" s="62">
        <f ca="1">AVERAGE(OFFSET($GY$3,0,0,'Données projet'!$E$18+1,1))-AVERAGE(OFFSET($H$3,0,0,'Données projet'!$E$18+1,1))</f>
        <v>312.06797204903796</v>
      </c>
      <c r="HA112" s="62">
        <f t="shared" si="106"/>
        <v>258.20189001775151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projet'!$B$18,Paramètres!$A$1:$I$89,3,0)*0.475*44/12</f>
        <v>0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84"/>
        <v>0</v>
      </c>
    </row>
    <row r="113" spans="1:218" s="5" customFormat="1" x14ac:dyDescent="0.25">
      <c r="A113" s="11">
        <f t="shared" si="85"/>
        <v>110</v>
      </c>
      <c r="B113" s="76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9">
        <f t="shared" si="56"/>
        <v>256.66666666666669</v>
      </c>
      <c r="I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2.2737367544323206E-13</v>
      </c>
      <c r="O113" s="14">
        <f>N113*VLOOKUP('Données projet'!$B$9,Paramètres!$A$1:$I$89,3,0)*VLOOKUP('Données projet'!$B$9,Paramètres!$A$1:$I$89,5,0)</f>
        <v>1.2710188457276673E-13</v>
      </c>
      <c r="P113" s="14">
        <f t="shared" si="87"/>
        <v>1.856866851063998E-12</v>
      </c>
      <c r="Q113" s="22">
        <f t="shared" si="107"/>
        <v>3.4554122145673649E-12</v>
      </c>
      <c r="R113" s="62">
        <f t="shared" si="55"/>
        <v>293.33333333333678</v>
      </c>
      <c r="S113" s="62">
        <f ca="1">AVERAGE(OFFSET($R$3,0,0,'Données projet'!$E$9+1,1))-AVERAGE(OFFSET($H$3,0,0,'Données projet'!$E$9+1,1))</f>
        <v>323.98185264074681</v>
      </c>
      <c r="T113" s="62">
        <f t="shared" si="88"/>
        <v>301.22207291854005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0.91514992602376188</v>
      </c>
      <c r="AA113" s="23">
        <f>EXP(-LN(2)/25)*AA112+(1-EXP(-LN(2)/25))/(LN(2)/25)*Calculateur!V113*Calculateur!X113*VLOOKUP('Données projet'!$B$9,Paramètres!$A$1:$I$89,3,0)*0.475*44/12</f>
        <v>0.89746141852695482</v>
      </c>
      <c r="AB113" s="23">
        <f>EXP(-LN(2)/2)*AB112+(1-EXP(-LN(2)/2))/(LN(2)/2)*V113*Y113*VLOOKUP('Données projet'!$B$9,Paramètres!$A$1:$I$89,3,0)*0.475*44/12</f>
        <v>5.5368283752777831E-12</v>
      </c>
      <c r="AC113" s="24">
        <f t="shared" si="57"/>
        <v>1.8126113445562537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-2.8421709430404007E-13</v>
      </c>
      <c r="AJ113" s="14">
        <f>AI113*VLOOKUP('Données projet'!$B$10,Paramètres!$A$1:$I$89,3,0)*VLOOKUP('Données projet'!$B$10,Paramètres!$A$1:$I$89,5,0)</f>
        <v>-1.69961822393816E-13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289.12367833861299</v>
      </c>
      <c r="AO113" s="62">
        <f t="shared" si="90"/>
        <v>229.06617320689003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3.7715245325902738E-12</v>
      </c>
      <c r="AX113" s="23">
        <f t="shared" si="60"/>
        <v>3.7715245325902738E-12</v>
      </c>
      <c r="AY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305</v>
      </c>
      <c r="BB113" s="13">
        <f>VLOOKUP(A113,'Données projet'!$A$87:$I$107,9,0)</f>
        <v>4.4000000000000004</v>
      </c>
      <c r="BC113" s="13">
        <f t="array" ref="BC113">INDEX(BB:BB,MIN(IF(ISNUMBER(BB113:BB309),ROW(BB113:BB309),"")))</f>
        <v>4.4000000000000004</v>
      </c>
      <c r="BD113" s="13">
        <f>IF('Données projet'!$A$88&gt;35,BD112+BC113-BL112,IF(A113&lt;'Données projet'!$A$88,$BA$205^A113,IF(A113='Données projet'!$A$88,'Données projet'!$B$88,BD112+BC113-BL112)))</f>
        <v>304.9999999999996</v>
      </c>
      <c r="BE113" s="14">
        <f>BD113*VLOOKUP('Données projet'!$B$11,Paramètres!$A$1:$I$89,3,0)*VLOOKUP('Données projet'!$B$11,Paramètres!$A$1:$I$89,5,0)</f>
        <v>275.9639999999996</v>
      </c>
      <c r="BF113" s="14">
        <f t="shared" si="91"/>
        <v>66.113366665488797</v>
      </c>
      <c r="BG113" s="22">
        <f t="shared" si="61"/>
        <v>595.7847469423923</v>
      </c>
      <c r="BH113" s="62">
        <f t="shared" si="62"/>
        <v>889.11808027572556</v>
      </c>
      <c r="BI113" s="62">
        <f ca="1">AVERAGE(OFFSET($BH$3,0,0,'Données projet'!$E$11+1,1))-AVERAGE(OFFSET($H$3,0,0,'Données projet'!$E$11+1,1))</f>
        <v>428.8489304403459</v>
      </c>
      <c r="BJ113" s="62">
        <f t="shared" si="92"/>
        <v>247.01165577562966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39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-1.7053025658242404E-13</v>
      </c>
      <c r="BZ113" s="14">
        <f>BY113*VLOOKUP('Données projet'!$B$12,Paramètres!$A$1:$I$89,3,0)*VLOOKUP('Données projet'!$B$12,Paramètres!$A$1:$I$89,5,0)</f>
        <v>-1.250327841262333E-13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290.85271051443431</v>
      </c>
      <c r="CE113" s="62">
        <f t="shared" si="94"/>
        <v>318.66958823451142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1.1368683772161603E-13</v>
      </c>
      <c r="CU113" s="18">
        <f>CT113*VLOOKUP('Données projet'!$B$13,Paramètres!$A$1:$I$89,3,0)*VLOOKUP('Données projet'!$B$13,Paramètres!$A$1:$I$89,5,0)</f>
        <v>8.8675733422860506E-14</v>
      </c>
      <c r="CV113" s="14">
        <f t="shared" si="95"/>
        <v>1.3509285393066301E-12</v>
      </c>
      <c r="CW113" s="22">
        <f t="shared" si="67"/>
        <v>2.5073107750038623E-12</v>
      </c>
      <c r="CX113" s="62">
        <f t="shared" si="68"/>
        <v>293.33333333333582</v>
      </c>
      <c r="CY113" s="62">
        <f ca="1">AVERAGE(OFFSET($CX$3,0,0,'Données projet'!$E$13+1,1))-AVERAGE(OFFSET($H$3,0,0,'Données projet'!$E$13+1,1))</f>
        <v>292.57482726862594</v>
      </c>
      <c r="CZ113" s="62">
        <f t="shared" si="96"/>
        <v>283.48738729114024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-1.7053025658242404E-13</v>
      </c>
      <c r="DP113" s="18">
        <f>DO113*VLOOKUP('Données projet'!$B$14,Paramètres!$A$1:$I$89,3,0)*VLOOKUP('Données projet'!$B$14,Paramètres!$A$1:$I$89,5,0)</f>
        <v>-1.3567387213697657E-13</v>
      </c>
      <c r="DQ113" s="14" t="e">
        <f t="shared" si="97"/>
        <v>#NUM!</v>
      </c>
      <c r="DR113" s="22" t="e">
        <f t="shared" si="70"/>
        <v>#NUM!</v>
      </c>
      <c r="DS113" s="62" t="e">
        <f t="shared" si="71"/>
        <v>#NUM!</v>
      </c>
      <c r="DT113" s="62">
        <f ca="1">AVERAGE(OFFSET($DS$3,0,0,'Données projet'!$E$14+1,1))-AVERAGE(OFFSET($H$3,0,0,'Données projet'!$E$14+1,1))</f>
        <v>312.53381881960331</v>
      </c>
      <c r="DU113" s="62">
        <f t="shared" si="98"/>
        <v>342.06887933351783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253.2051282051282</v>
      </c>
      <c r="EH113" s="13">
        <f>VLOOKUP(A113,'Données projet'!$A$191:$I$211,9,0)</f>
        <v>3.0769230769230802</v>
      </c>
      <c r="EI113" s="13">
        <f t="array" ref="EI113">INDEX(EH:EH,MIN(IF(ISNUMBER(EH113:EH309),ROW(EH113:EH309),"")))</f>
        <v>3.0769230769230802</v>
      </c>
      <c r="EJ113" s="13">
        <f>IF('Données projet'!$A$192&gt;35,EJ112+EI113-ER112,IF(A113&lt;'Données projet'!$A$192,$EG$205^A113,IF(A113='Données projet'!$A$192,'Données projet'!$B$192,EJ112+EI113-ER112)))</f>
        <v>253.20512820512835</v>
      </c>
      <c r="EK113" s="18">
        <f>EJ113*VLOOKUP('Données projet'!$B$15,Paramètres!$A$1:$I$89,3,0)*VLOOKUP('Données projet'!$B$15,Paramètres!$A$1:$I$89,5,0)</f>
        <v>240.95000000000013</v>
      </c>
      <c r="EL113" s="14">
        <f t="shared" si="99"/>
        <v>58.643880591265685</v>
      </c>
      <c r="EM113" s="22">
        <f t="shared" si="73"/>
        <v>521.79267536312125</v>
      </c>
      <c r="EN113" s="62">
        <f t="shared" si="74"/>
        <v>815.12600869645462</v>
      </c>
      <c r="EO113" s="62">
        <f ca="1">AVERAGE(OFFSET($EN$3,0,0,'Données projet'!$E$15+1,1))-AVERAGE(OFFSET($H$3,0,0,'Données projet'!$E$15+1,1))</f>
        <v>363.37916970915211</v>
      </c>
      <c r="EP113" s="62">
        <f t="shared" si="100"/>
        <v>281.52963027844595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22.435897435897434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-6.2527760746888816E-13</v>
      </c>
      <c r="FF113" s="18">
        <f>FE113*VLOOKUP('Données projet'!$B$16,Paramètres!$A$1:$I$89,3,0)*VLOOKUP('Données projet'!$B$16,Paramètres!$A$1:$I$89,5,0)</f>
        <v>-2.9262992029543964E-13</v>
      </c>
      <c r="FG113" s="14" t="e">
        <f t="shared" si="101"/>
        <v>#NUM!</v>
      </c>
      <c r="FH113" s="22" t="e">
        <f t="shared" si="76"/>
        <v>#NUM!</v>
      </c>
      <c r="FI113" s="62" t="e">
        <f t="shared" si="77"/>
        <v>#NUM!</v>
      </c>
      <c r="FJ113" s="62">
        <f ca="1">AVERAGE(OFFSET($FI$3,0,0,'Données projet'!$E$16+1,1))-AVERAGE(OFFSET($H$3,0,0,'Données projet'!$E$16+1,1))</f>
        <v>245.47494516762282</v>
      </c>
      <c r="FK113" s="62">
        <f t="shared" si="102"/>
        <v>145.54897745089966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>
        <f>VLOOKUP(A113,'Données projet'!$A$243:$I$263,2,0)</f>
        <v>305</v>
      </c>
      <c r="FX113" s="13">
        <f>VLOOKUP(A113,'Données projet'!$A$243:$I$263,9,0)</f>
        <v>4.4000000000000004</v>
      </c>
      <c r="FY113" s="13">
        <f t="array" ref="FY113">INDEX(FX:FX,MIN(IF(ISNUMBER(FX113:FX309),ROW(FX113:FX309),"")))</f>
        <v>4.4000000000000004</v>
      </c>
      <c r="FZ113" s="13">
        <f>IF('Données projet'!$A$244&gt;35,FZ112+FY113-GH112,IF(A113&lt;'Données projet'!$A$244,$FW$205^A113,IF(A113='Données projet'!$A$244,'Données projet'!$B$244,FZ112+FY113-GH112)))</f>
        <v>304.9999999999996</v>
      </c>
      <c r="GA113" s="18">
        <f>FZ113*VLOOKUP('Données projet'!$B$17,Paramètres!$A$1:$I$89,3,0)*VLOOKUP('Données projet'!$B$17,Paramètres!$A$1:$I$89,5,0)</f>
        <v>294.99599999999958</v>
      </c>
      <c r="GB113" s="14">
        <f t="shared" si="103"/>
        <v>70.126408118585317</v>
      </c>
      <c r="GC113" s="22">
        <f t="shared" si="79"/>
        <v>635.92152747320199</v>
      </c>
      <c r="GD113" s="62">
        <f t="shared" si="80"/>
        <v>929.25486080653536</v>
      </c>
      <c r="GE113" s="62">
        <f ca="1">AVERAGE(OFFSET($GD$3,0,0,'Données projet'!$E$17+1,1))-AVERAGE(OFFSET($H$3,0,0,'Données projet'!$E$17+1,1))</f>
        <v>455.50822833641354</v>
      </c>
      <c r="GF113" s="62">
        <f t="shared" si="104"/>
        <v>261.14722581688039</v>
      </c>
      <c r="GG113" s="16">
        <f>IF(ISNA(VLOOKUP(A113,'Données projet'!$A$243:$I$263,3,0)),0,VLOOKUP(A113,'Données projet'!$A$243:$I$263,3,0))</f>
        <v>9</v>
      </c>
      <c r="GH113" s="16">
        <f>IF(ISNA(VLOOKUP(A113,'Données projet'!$A$243:$I$263,4,0)),0,VLOOKUP(A113,'Données projet'!$A$243:$I$263,4,0))</f>
        <v>39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>
        <f>VLOOKUP(A113,'Données projet'!$A$269:$I$289,2,0)</f>
        <v>317.94871794871796</v>
      </c>
      <c r="GS113" s="13">
        <f>VLOOKUP(A113,'Données projet'!$A$269:$I$289,9,0)</f>
        <v>3.333333333333337</v>
      </c>
      <c r="GT113" s="13">
        <f t="array" ref="GT113">INDEX(GS:GS,MIN(IF(ISNUMBER(GS113:GS309),ROW(GS113:GS309),"")))</f>
        <v>3.333333333333337</v>
      </c>
      <c r="GU113" s="13">
        <f>IF('Données projet'!$A$270&gt;35,GU112+GT113-HC112,IF(A113&lt;'Données projet'!$A$270,$GR$205^A113,IF(A113='Données projet'!$A$270,'Données projet'!$B$270,GU112+GT113-HC112)))</f>
        <v>317.94871794871813</v>
      </c>
      <c r="GV113" s="18">
        <f>GU113*VLOOKUP('Données projet'!$B$18,Paramètres!$A$1:$I$89,3,0)*VLOOKUP('Données projet'!$B$18,Paramètres!$A$1:$I$89,5,0)</f>
        <v>213.28000000000011</v>
      </c>
      <c r="GW113" s="14">
        <f t="shared" si="105"/>
        <v>52.651700420383257</v>
      </c>
      <c r="GX113" s="22">
        <f t="shared" si="82"/>
        <v>463.16437823216773</v>
      </c>
      <c r="GY113" s="62">
        <f t="shared" si="83"/>
        <v>756.49771156550105</v>
      </c>
      <c r="GZ113" s="62">
        <f ca="1">AVERAGE(OFFSET($GY$3,0,0,'Données projet'!$E$18+1,1))-AVERAGE(OFFSET($H$3,0,0,'Données projet'!$E$18+1,1))</f>
        <v>312.06797204903796</v>
      </c>
      <c r="HA113" s="62">
        <f t="shared" si="106"/>
        <v>258.20189001775151</v>
      </c>
      <c r="HB113" s="16">
        <f>IF(ISNA(VLOOKUP(A113,'Données projet'!$A$269:$I$289,3,0)),0,VLOOKUP(A113,'Données projet'!$A$269:$I$289,3,0))</f>
        <v>10</v>
      </c>
      <c r="HC113" s="16">
        <f>IF(ISNA(VLOOKUP(A113,'Données projet'!$A$269:$I$289,4,0)),0,VLOOKUP(A113,'Données projet'!$A$269:$I$289,4,0))</f>
        <v>317.94871794871796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projet'!$B$18,Paramètres!$A$1:$I$89,3,0)*0.475*44/12</f>
        <v>0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84"/>
        <v>0</v>
      </c>
    </row>
    <row r="114" spans="1:218" s="5" customFormat="1" x14ac:dyDescent="0.25">
      <c r="A114" s="11">
        <f t="shared" si="85"/>
        <v>111</v>
      </c>
      <c r="B114" s="76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9">
        <f t="shared" si="56"/>
        <v>256.66666666666669</v>
      </c>
      <c r="I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2.2737367544323206E-13</v>
      </c>
      <c r="O114" s="14">
        <f>N114*VLOOKUP('Données projet'!$B$9,Paramètres!$A$1:$I$89,3,0)*VLOOKUP('Données projet'!$B$9,Paramètres!$A$1:$I$89,5,0)</f>
        <v>1.2710188457276673E-13</v>
      </c>
      <c r="P114" s="14">
        <f t="shared" si="87"/>
        <v>1.856866851063998E-12</v>
      </c>
      <c r="Q114" s="22">
        <f t="shared" si="107"/>
        <v>3.4554122145673649E-12</v>
      </c>
      <c r="R114" s="62">
        <f t="shared" si="55"/>
        <v>293.33333333333678</v>
      </c>
      <c r="S114" s="62">
        <f ca="1">AVERAGE(OFFSET($R$3,0,0,'Données projet'!$E$9+1,1))-AVERAGE(OFFSET($H$3,0,0,'Données projet'!$E$9+1,1))</f>
        <v>323.98185264074681</v>
      </c>
      <c r="T114" s="62">
        <f t="shared" si="88"/>
        <v>301.22207291854005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0.89720439416077447</v>
      </c>
      <c r="AA114" s="23">
        <f>EXP(-LN(2)/25)*AA113+(1-EXP(-LN(2)/25))/(LN(2)/25)*Calculateur!V114*Calculateur!X114*VLOOKUP('Données projet'!$B$9,Paramètres!$A$1:$I$89,3,0)*0.475*44/12</f>
        <v>0.87292028884189043</v>
      </c>
      <c r="AB114" s="23">
        <f>EXP(-LN(2)/2)*AB113+(1-EXP(-LN(2)/2))/(LN(2)/2)*V114*Y114*VLOOKUP('Données projet'!$B$9,Paramètres!$A$1:$I$89,3,0)*0.475*44/12</f>
        <v>3.9151288904250147E-12</v>
      </c>
      <c r="AC114" s="24">
        <f t="shared" si="57"/>
        <v>1.77012468300658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-2.8421709430404007E-13</v>
      </c>
      <c r="AJ114" s="14">
        <f>AI114*VLOOKUP('Données projet'!$B$10,Paramètres!$A$1:$I$89,3,0)*VLOOKUP('Données projet'!$B$10,Paramètres!$A$1:$I$89,5,0)</f>
        <v>-1.69961822393816E-13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289.12367833861299</v>
      </c>
      <c r="AO114" s="62">
        <f t="shared" si="90"/>
        <v>229.06617320689003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2.6668705724060067E-12</v>
      </c>
      <c r="AX114" s="23">
        <f t="shared" si="60"/>
        <v>2.6668705724060067E-12</v>
      </c>
      <c r="AY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3.7</v>
      </c>
      <c r="BD114" s="13">
        <f>IF('Données projet'!$A$88&gt;35,BD113+BC114-BL113,IF(A114&lt;'Données projet'!$A$88,$BA$205^A114,IF(A114='Données projet'!$A$88,'Données projet'!$B$88,BD113+BC114-BL113)))</f>
        <v>269.69999999999959</v>
      </c>
      <c r="BE114" s="14">
        <f>BD114*VLOOKUP('Données projet'!$B$11,Paramètres!$A$1:$I$89,3,0)*VLOOKUP('Données projet'!$B$11,Paramètres!$A$1:$I$89,5,0)</f>
        <v>244.02455999999964</v>
      </c>
      <c r="BF114" s="14">
        <f t="shared" si="91"/>
        <v>59.304594314969229</v>
      </c>
      <c r="BG114" s="22">
        <f t="shared" si="61"/>
        <v>528.29827709857079</v>
      </c>
      <c r="BH114" s="62">
        <f t="shared" si="62"/>
        <v>821.63161043190416</v>
      </c>
      <c r="BI114" s="62">
        <f ca="1">AVERAGE(OFFSET($BH$3,0,0,'Données projet'!$E$11+1,1))-AVERAGE(OFFSET($H$3,0,0,'Données projet'!$E$11+1,1))</f>
        <v>428.8489304403459</v>
      </c>
      <c r="BJ114" s="62">
        <f t="shared" si="92"/>
        <v>247.01165577562966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-1.7053025658242404E-13</v>
      </c>
      <c r="BZ114" s="14">
        <f>BY114*VLOOKUP('Données projet'!$B$12,Paramètres!$A$1:$I$89,3,0)*VLOOKUP('Données projet'!$B$12,Paramètres!$A$1:$I$89,5,0)</f>
        <v>-1.250327841262333E-13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290.85271051443431</v>
      </c>
      <c r="CE114" s="62">
        <f t="shared" si="94"/>
        <v>318.66958823451142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1.1368683772161603E-13</v>
      </c>
      <c r="CU114" s="18">
        <f>CT114*VLOOKUP('Données projet'!$B$13,Paramètres!$A$1:$I$89,3,0)*VLOOKUP('Données projet'!$B$13,Paramètres!$A$1:$I$89,5,0)</f>
        <v>8.8675733422860506E-14</v>
      </c>
      <c r="CV114" s="14">
        <f t="shared" si="95"/>
        <v>1.3509285393066301E-12</v>
      </c>
      <c r="CW114" s="22">
        <f t="shared" si="67"/>
        <v>2.5073107750038623E-12</v>
      </c>
      <c r="CX114" s="62">
        <f t="shared" si="68"/>
        <v>293.33333333333582</v>
      </c>
      <c r="CY114" s="62">
        <f ca="1">AVERAGE(OFFSET($CX$3,0,0,'Données projet'!$E$13+1,1))-AVERAGE(OFFSET($H$3,0,0,'Données projet'!$E$13+1,1))</f>
        <v>292.57482726862594</v>
      </c>
      <c r="CZ114" s="62">
        <f t="shared" si="96"/>
        <v>283.48738729114024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-1.7053025658242404E-13</v>
      </c>
      <c r="DP114" s="18">
        <f>DO114*VLOOKUP('Données projet'!$B$14,Paramètres!$A$1:$I$89,3,0)*VLOOKUP('Données projet'!$B$14,Paramètres!$A$1:$I$89,5,0)</f>
        <v>-1.3567387213697657E-13</v>
      </c>
      <c r="DQ114" s="14" t="e">
        <f t="shared" si="97"/>
        <v>#NUM!</v>
      </c>
      <c r="DR114" s="22" t="e">
        <f t="shared" si="70"/>
        <v>#NUM!</v>
      </c>
      <c r="DS114" s="62" t="e">
        <f t="shared" si="71"/>
        <v>#NUM!</v>
      </c>
      <c r="DT114" s="62">
        <f ca="1">AVERAGE(OFFSET($DS$3,0,0,'Données projet'!$E$14+1,1))-AVERAGE(OFFSET($H$3,0,0,'Données projet'!$E$14+1,1))</f>
        <v>312.53381881960331</v>
      </c>
      <c r="DU114" s="62">
        <f t="shared" si="98"/>
        <v>342.06887933351783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2.884615384615381</v>
      </c>
      <c r="EJ114" s="13">
        <f>IF('Données projet'!$A$192&gt;35,EJ113+EI114-ER113,IF(A114&lt;'Données projet'!$A$192,$EG$205^A114,IF(A114='Données projet'!$A$192,'Données projet'!$B$192,EJ113+EI114-ER113)))</f>
        <v>233.65384615384627</v>
      </c>
      <c r="EK114" s="18">
        <f>EJ114*VLOOKUP('Données projet'!$B$15,Paramètres!$A$1:$I$89,3,0)*VLOOKUP('Données projet'!$B$15,Paramètres!$A$1:$I$89,5,0)</f>
        <v>222.34500000000011</v>
      </c>
      <c r="EL114" s="14">
        <f t="shared" si="99"/>
        <v>54.624244950543464</v>
      </c>
      <c r="EM114" s="22">
        <f t="shared" si="73"/>
        <v>482.38810162219664</v>
      </c>
      <c r="EN114" s="62">
        <f t="shared" si="74"/>
        <v>775.72143495552996</v>
      </c>
      <c r="EO114" s="62">
        <f ca="1">AVERAGE(OFFSET($EN$3,0,0,'Données projet'!$E$15+1,1))-AVERAGE(OFFSET($H$3,0,0,'Données projet'!$E$15+1,1))</f>
        <v>363.37916970915211</v>
      </c>
      <c r="EP114" s="62">
        <f t="shared" si="100"/>
        <v>281.52963027844595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-6.2527760746888816E-13</v>
      </c>
      <c r="FF114" s="18">
        <f>FE114*VLOOKUP('Données projet'!$B$16,Paramètres!$A$1:$I$89,3,0)*VLOOKUP('Données projet'!$B$16,Paramètres!$A$1:$I$89,5,0)</f>
        <v>-2.9262992029543964E-13</v>
      </c>
      <c r="FG114" s="14" t="e">
        <f t="shared" si="101"/>
        <v>#NUM!</v>
      </c>
      <c r="FH114" s="22" t="e">
        <f t="shared" si="76"/>
        <v>#NUM!</v>
      </c>
      <c r="FI114" s="62" t="e">
        <f t="shared" si="77"/>
        <v>#NUM!</v>
      </c>
      <c r="FJ114" s="62">
        <f ca="1">AVERAGE(OFFSET($FI$3,0,0,'Données projet'!$E$16+1,1))-AVERAGE(OFFSET($H$3,0,0,'Données projet'!$E$16+1,1))</f>
        <v>245.47494516762282</v>
      </c>
      <c r="FK114" s="62">
        <f t="shared" si="102"/>
        <v>145.54897745089966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3.7</v>
      </c>
      <c r="FZ114" s="13">
        <f>IF('Données projet'!$A$244&gt;35,FZ113+FY114-GH113,IF(A114&lt;'Données projet'!$A$244,$FW$205^A114,IF(A114='Données projet'!$A$244,'Données projet'!$B$244,FZ113+FY114-GH113)))</f>
        <v>269.69999999999959</v>
      </c>
      <c r="GA114" s="18">
        <f>FZ114*VLOOKUP('Données projet'!$B$17,Paramètres!$A$1:$I$89,3,0)*VLOOKUP('Données projet'!$B$17,Paramètres!$A$1:$I$89,5,0)</f>
        <v>260.85383999999959</v>
      </c>
      <c r="GB114" s="14">
        <f t="shared" si="103"/>
        <v>62.904347395903649</v>
      </c>
      <c r="GC114" s="22">
        <f t="shared" si="79"/>
        <v>563.87884304786473</v>
      </c>
      <c r="GD114" s="62">
        <f t="shared" si="80"/>
        <v>857.21217638119811</v>
      </c>
      <c r="GE114" s="62">
        <f ca="1">AVERAGE(OFFSET($GD$3,0,0,'Données projet'!$E$17+1,1))-AVERAGE(OFFSET($H$3,0,0,'Données projet'!$E$17+1,1))</f>
        <v>455.50822833641354</v>
      </c>
      <c r="GF114" s="62">
        <f t="shared" si="104"/>
        <v>261.14722581688039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1.7053025658242404E-13</v>
      </c>
      <c r="GV114" s="18">
        <f>GU114*VLOOKUP('Données projet'!$B$18,Paramètres!$A$1:$I$89,3,0)*VLOOKUP('Données projet'!$B$18,Paramètres!$A$1:$I$89,5,0)</f>
        <v>1.1439169611549005E-13</v>
      </c>
      <c r="GW114" s="14">
        <f t="shared" si="105"/>
        <v>1.6918016515029816E-12</v>
      </c>
      <c r="GX114" s="22">
        <f t="shared" si="82"/>
        <v>3.1457867471021712E-12</v>
      </c>
      <c r="GY114" s="62">
        <f t="shared" si="83"/>
        <v>293.33333333333644</v>
      </c>
      <c r="GZ114" s="62">
        <f ca="1">AVERAGE(OFFSET($GY$3,0,0,'Données projet'!$E$18+1,1))-AVERAGE(OFFSET($H$3,0,0,'Données projet'!$E$18+1,1))</f>
        <v>312.06797204903796</v>
      </c>
      <c r="HA114" s="62">
        <f t="shared" si="106"/>
        <v>258.20189001775151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projet'!$B$18,Paramètres!$A$1:$I$89,3,0)*0.475*44/12</f>
        <v>0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84"/>
        <v>0</v>
      </c>
    </row>
    <row r="115" spans="1:218" s="5" customFormat="1" x14ac:dyDescent="0.25">
      <c r="A115" s="11">
        <f t="shared" si="85"/>
        <v>112</v>
      </c>
      <c r="B115" s="76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9">
        <f t="shared" si="56"/>
        <v>256.66666666666669</v>
      </c>
      <c r="I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2.2737367544323206E-13</v>
      </c>
      <c r="O115" s="14">
        <f>N115*VLOOKUP('Données projet'!$B$9,Paramètres!$A$1:$I$89,3,0)*VLOOKUP('Données projet'!$B$9,Paramètres!$A$1:$I$89,5,0)</f>
        <v>1.2710188457276673E-13</v>
      </c>
      <c r="P115" s="14">
        <f t="shared" si="87"/>
        <v>1.856866851063998E-12</v>
      </c>
      <c r="Q115" s="22">
        <f t="shared" si="107"/>
        <v>3.4554122145673649E-12</v>
      </c>
      <c r="R115" s="62">
        <f t="shared" si="55"/>
        <v>293.33333333333678</v>
      </c>
      <c r="S115" s="62">
        <f ca="1">AVERAGE(OFFSET($R$3,0,0,'Données projet'!$E$9+1,1))-AVERAGE(OFFSET($H$3,0,0,'Données projet'!$E$9+1,1))</f>
        <v>323.98185264074681</v>
      </c>
      <c r="T115" s="62">
        <f t="shared" si="88"/>
        <v>301.22207291854005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0.87961076323192655</v>
      </c>
      <c r="AA115" s="23">
        <f>EXP(-LN(2)/25)*AA114+(1-EXP(-LN(2)/25))/(LN(2)/25)*Calculateur!V115*Calculateur!X115*VLOOKUP('Données projet'!$B$9,Paramètres!$A$1:$I$89,3,0)*0.475*44/12</f>
        <v>0.84905023763862608</v>
      </c>
      <c r="AB115" s="23">
        <f>EXP(-LN(2)/2)*AB114+(1-EXP(-LN(2)/2))/(LN(2)/2)*V115*Y115*VLOOKUP('Données projet'!$B$9,Paramètres!$A$1:$I$89,3,0)*0.475*44/12</f>
        <v>2.7684141876388915E-12</v>
      </c>
      <c r="AC115" s="24">
        <f t="shared" si="57"/>
        <v>1.7286610008733212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-2.8421709430404007E-13</v>
      </c>
      <c r="AJ115" s="14">
        <f>AI115*VLOOKUP('Données projet'!$B$10,Paramètres!$A$1:$I$89,3,0)*VLOOKUP('Données projet'!$B$10,Paramètres!$A$1:$I$89,5,0)</f>
        <v>-1.69961822393816E-13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289.12367833861299</v>
      </c>
      <c r="AO115" s="62">
        <f t="shared" si="90"/>
        <v>229.06617320689003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1.8857622662951369E-12</v>
      </c>
      <c r="AX115" s="23">
        <f t="shared" si="60"/>
        <v>1.8857622662951369E-12</v>
      </c>
      <c r="AY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3.7</v>
      </c>
      <c r="BD115" s="13">
        <f>IF('Données projet'!$A$88&gt;35,BD114+BC115-BL114,IF(A115&lt;'Données projet'!$A$88,$BA$205^A115,IF(A115='Données projet'!$A$88,'Données projet'!$B$88,BD114+BC115-BL114)))</f>
        <v>273.39999999999958</v>
      </c>
      <c r="BE115" s="14">
        <f>BD115*VLOOKUP('Données projet'!$B$11,Paramètres!$A$1:$I$89,3,0)*VLOOKUP('Données projet'!$B$11,Paramètres!$A$1:$I$89,5,0)</f>
        <v>247.3723199999996</v>
      </c>
      <c r="BF115" s="14">
        <f t="shared" si="91"/>
        <v>60.022917171130942</v>
      </c>
      <c r="BG115" s="22">
        <f t="shared" si="61"/>
        <v>535.38003807305233</v>
      </c>
      <c r="BH115" s="62">
        <f t="shared" si="62"/>
        <v>828.7133714063857</v>
      </c>
      <c r="BI115" s="62">
        <f ca="1">AVERAGE(OFFSET($BH$3,0,0,'Données projet'!$E$11+1,1))-AVERAGE(OFFSET($H$3,0,0,'Données projet'!$E$11+1,1))</f>
        <v>428.8489304403459</v>
      </c>
      <c r="BJ115" s="62">
        <f t="shared" si="92"/>
        <v>247.01165577562966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-1.7053025658242404E-13</v>
      </c>
      <c r="BZ115" s="14">
        <f>BY115*VLOOKUP('Données projet'!$B$12,Paramètres!$A$1:$I$89,3,0)*VLOOKUP('Données projet'!$B$12,Paramètres!$A$1:$I$89,5,0)</f>
        <v>-1.250327841262333E-13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290.85271051443431</v>
      </c>
      <c r="CE115" s="62">
        <f t="shared" si="94"/>
        <v>318.66958823451142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1.1368683772161603E-13</v>
      </c>
      <c r="CU115" s="18">
        <f>CT115*VLOOKUP('Données projet'!$B$13,Paramètres!$A$1:$I$89,3,0)*VLOOKUP('Données projet'!$B$13,Paramètres!$A$1:$I$89,5,0)</f>
        <v>8.8675733422860506E-14</v>
      </c>
      <c r="CV115" s="14">
        <f t="shared" si="95"/>
        <v>1.3509285393066301E-12</v>
      </c>
      <c r="CW115" s="22">
        <f t="shared" si="67"/>
        <v>2.5073107750038623E-12</v>
      </c>
      <c r="CX115" s="62">
        <f t="shared" si="68"/>
        <v>293.33333333333582</v>
      </c>
      <c r="CY115" s="62">
        <f ca="1">AVERAGE(OFFSET($CX$3,0,0,'Données projet'!$E$13+1,1))-AVERAGE(OFFSET($H$3,0,0,'Données projet'!$E$13+1,1))</f>
        <v>292.57482726862594</v>
      </c>
      <c r="CZ115" s="62">
        <f t="shared" si="96"/>
        <v>283.48738729114024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-1.7053025658242404E-13</v>
      </c>
      <c r="DP115" s="18">
        <f>DO115*VLOOKUP('Données projet'!$B$14,Paramètres!$A$1:$I$89,3,0)*VLOOKUP('Données projet'!$B$14,Paramètres!$A$1:$I$89,5,0)</f>
        <v>-1.3567387213697657E-13</v>
      </c>
      <c r="DQ115" s="14" t="e">
        <f t="shared" si="97"/>
        <v>#NUM!</v>
      </c>
      <c r="DR115" s="22" t="e">
        <f t="shared" si="70"/>
        <v>#NUM!</v>
      </c>
      <c r="DS115" s="62" t="e">
        <f t="shared" si="71"/>
        <v>#NUM!</v>
      </c>
      <c r="DT115" s="62">
        <f ca="1">AVERAGE(OFFSET($DS$3,0,0,'Données projet'!$E$14+1,1))-AVERAGE(OFFSET($H$3,0,0,'Données projet'!$E$14+1,1))</f>
        <v>312.53381881960331</v>
      </c>
      <c r="DU115" s="62">
        <f t="shared" si="98"/>
        <v>342.06887933351783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2.884615384615381</v>
      </c>
      <c r="EJ115" s="13">
        <f>IF('Données projet'!$A$192&gt;35,EJ114+EI115-ER114,IF(A115&lt;'Données projet'!$A$192,$EG$205^A115,IF(A115='Données projet'!$A$192,'Données projet'!$B$192,EJ114+EI115-ER114)))</f>
        <v>236.53846153846166</v>
      </c>
      <c r="EK115" s="18">
        <f>EJ115*VLOOKUP('Données projet'!$B$15,Paramètres!$A$1:$I$89,3,0)*VLOOKUP('Données projet'!$B$15,Paramètres!$A$1:$I$89,5,0)</f>
        <v>225.09000000000012</v>
      </c>
      <c r="EL115" s="14">
        <f t="shared" si="99"/>
        <v>55.21969508796591</v>
      </c>
      <c r="EM115" s="22">
        <f t="shared" si="73"/>
        <v>488.20605227820744</v>
      </c>
      <c r="EN115" s="62">
        <f t="shared" si="74"/>
        <v>781.53938561154075</v>
      </c>
      <c r="EO115" s="62">
        <f ca="1">AVERAGE(OFFSET($EN$3,0,0,'Données projet'!$E$15+1,1))-AVERAGE(OFFSET($H$3,0,0,'Données projet'!$E$15+1,1))</f>
        <v>363.37916970915211</v>
      </c>
      <c r="EP115" s="62">
        <f t="shared" si="100"/>
        <v>281.52963027844595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-6.2527760746888816E-13</v>
      </c>
      <c r="FF115" s="18">
        <f>FE115*VLOOKUP('Données projet'!$B$16,Paramètres!$A$1:$I$89,3,0)*VLOOKUP('Données projet'!$B$16,Paramètres!$A$1:$I$89,5,0)</f>
        <v>-2.9262992029543964E-13</v>
      </c>
      <c r="FG115" s="14" t="e">
        <f t="shared" si="101"/>
        <v>#NUM!</v>
      </c>
      <c r="FH115" s="22" t="e">
        <f t="shared" si="76"/>
        <v>#NUM!</v>
      </c>
      <c r="FI115" s="62" t="e">
        <f t="shared" si="77"/>
        <v>#NUM!</v>
      </c>
      <c r="FJ115" s="62">
        <f ca="1">AVERAGE(OFFSET($FI$3,0,0,'Données projet'!$E$16+1,1))-AVERAGE(OFFSET($H$3,0,0,'Données projet'!$E$16+1,1))</f>
        <v>245.47494516762282</v>
      </c>
      <c r="FK115" s="62">
        <f t="shared" si="102"/>
        <v>145.54897745089966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3.7</v>
      </c>
      <c r="FZ115" s="13">
        <f>IF('Données projet'!$A$244&gt;35,FZ114+FY115-GH114,IF(A115&lt;'Données projet'!$A$244,$FW$205^A115,IF(A115='Données projet'!$A$244,'Données projet'!$B$244,FZ114+FY115-GH114)))</f>
        <v>273.39999999999958</v>
      </c>
      <c r="GA115" s="18">
        <f>FZ115*VLOOKUP('Données projet'!$B$17,Paramètres!$A$1:$I$89,3,0)*VLOOKUP('Données projet'!$B$17,Paramètres!$A$1:$I$89,5,0)</f>
        <v>264.4324799999996</v>
      </c>
      <c r="GB115" s="14">
        <f t="shared" si="103"/>
        <v>63.666272015882292</v>
      </c>
      <c r="GC115" s="22">
        <f t="shared" si="79"/>
        <v>571.43865976099426</v>
      </c>
      <c r="GD115" s="62">
        <f t="shared" si="80"/>
        <v>864.77199309432763</v>
      </c>
      <c r="GE115" s="62">
        <f ca="1">AVERAGE(OFFSET($GD$3,0,0,'Données projet'!$E$17+1,1))-AVERAGE(OFFSET($H$3,0,0,'Données projet'!$E$17+1,1))</f>
        <v>455.50822833641354</v>
      </c>
      <c r="GF115" s="62">
        <f t="shared" si="104"/>
        <v>261.14722581688039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1.7053025658242404E-13</v>
      </c>
      <c r="GV115" s="18">
        <f>GU115*VLOOKUP('Données projet'!$B$18,Paramètres!$A$1:$I$89,3,0)*VLOOKUP('Données projet'!$B$18,Paramètres!$A$1:$I$89,5,0)</f>
        <v>1.1439169611549005E-13</v>
      </c>
      <c r="GW115" s="14">
        <f t="shared" si="105"/>
        <v>1.6918016515029816E-12</v>
      </c>
      <c r="GX115" s="22">
        <f t="shared" si="82"/>
        <v>3.1457867471021712E-12</v>
      </c>
      <c r="GY115" s="62">
        <f t="shared" si="83"/>
        <v>293.33333333333644</v>
      </c>
      <c r="GZ115" s="62">
        <f ca="1">AVERAGE(OFFSET($GY$3,0,0,'Données projet'!$E$18+1,1))-AVERAGE(OFFSET($H$3,0,0,'Données projet'!$E$18+1,1))</f>
        <v>312.06797204903796</v>
      </c>
      <c r="HA115" s="62">
        <f t="shared" si="106"/>
        <v>258.20189001775151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projet'!$B$18,Paramètres!$A$1:$I$89,3,0)*0.475*44/12</f>
        <v>0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84"/>
        <v>0</v>
      </c>
    </row>
    <row r="116" spans="1:218" s="5" customFormat="1" x14ac:dyDescent="0.25">
      <c r="A116" s="11">
        <f t="shared" si="85"/>
        <v>113</v>
      </c>
      <c r="B116" s="76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9">
        <f t="shared" si="56"/>
        <v>256.66666666666669</v>
      </c>
      <c r="I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2.2737367544323206E-13</v>
      </c>
      <c r="O116" s="14">
        <f>N116*VLOOKUP('Données projet'!$B$9,Paramètres!$A$1:$I$89,3,0)*VLOOKUP('Données projet'!$B$9,Paramètres!$A$1:$I$89,5,0)</f>
        <v>1.2710188457276673E-13</v>
      </c>
      <c r="P116" s="14">
        <f t="shared" si="87"/>
        <v>1.856866851063998E-12</v>
      </c>
      <c r="Q116" s="22">
        <f t="shared" si="107"/>
        <v>3.4554122145673649E-12</v>
      </c>
      <c r="R116" s="62">
        <f t="shared" si="55"/>
        <v>293.33333333333678</v>
      </c>
      <c r="S116" s="62">
        <f ca="1">AVERAGE(OFFSET($R$3,0,0,'Données projet'!$E$9+1,1))-AVERAGE(OFFSET($H$3,0,0,'Données projet'!$E$9+1,1))</f>
        <v>323.98185264074681</v>
      </c>
      <c r="T116" s="62">
        <f t="shared" si="88"/>
        <v>301.22207291854005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0.8623621326745381</v>
      </c>
      <c r="AA116" s="23">
        <f>EXP(-LN(2)/25)*AA115+(1-EXP(-LN(2)/25))/(LN(2)/25)*Calculateur!V116*Calculateur!X116*VLOOKUP('Données projet'!$B$9,Paramètres!$A$1:$I$89,3,0)*0.475*44/12</f>
        <v>0.82583291424078642</v>
      </c>
      <c r="AB116" s="23">
        <f>EXP(-LN(2)/2)*AB115+(1-EXP(-LN(2)/2))/(LN(2)/2)*V116*Y116*VLOOKUP('Données projet'!$B$9,Paramètres!$A$1:$I$89,3,0)*0.475*44/12</f>
        <v>1.9575644452125074E-12</v>
      </c>
      <c r="AC116" s="24">
        <f t="shared" si="57"/>
        <v>1.6881950469172819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-2.8421709430404007E-13</v>
      </c>
      <c r="AJ116" s="14">
        <f>AI116*VLOOKUP('Données projet'!$B$10,Paramètres!$A$1:$I$89,3,0)*VLOOKUP('Données projet'!$B$10,Paramètres!$A$1:$I$89,5,0)</f>
        <v>-1.69961822393816E-13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289.12367833861299</v>
      </c>
      <c r="AO116" s="62">
        <f t="shared" si="90"/>
        <v>229.06617320689003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1.3334352862030033E-12</v>
      </c>
      <c r="AX116" s="23">
        <f t="shared" si="60"/>
        <v>1.3334352862030033E-12</v>
      </c>
      <c r="AY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3.7</v>
      </c>
      <c r="BD116" s="13">
        <f>IF('Données projet'!$A$88&gt;35,BD115+BC116-BL115,IF(A116&lt;'Données projet'!$A$88,$BA$205^A116,IF(A116='Données projet'!$A$88,'Données projet'!$B$88,BD115+BC116-BL115)))</f>
        <v>277.09999999999957</v>
      </c>
      <c r="BE116" s="14">
        <f>BD116*VLOOKUP('Données projet'!$B$11,Paramètres!$A$1:$I$89,3,0)*VLOOKUP('Données projet'!$B$11,Paramètres!$A$1:$I$89,5,0)</f>
        <v>250.7200799999996</v>
      </c>
      <c r="BF116" s="14">
        <f t="shared" si="91"/>
        <v>60.740109326032709</v>
      </c>
      <c r="BG116" s="22">
        <f t="shared" si="61"/>
        <v>542.45982974283959</v>
      </c>
      <c r="BH116" s="62">
        <f t="shared" si="62"/>
        <v>835.79316307617296</v>
      </c>
      <c r="BI116" s="62">
        <f ca="1">AVERAGE(OFFSET($BH$3,0,0,'Données projet'!$E$11+1,1))-AVERAGE(OFFSET($H$3,0,0,'Données projet'!$E$11+1,1))</f>
        <v>428.8489304403459</v>
      </c>
      <c r="BJ116" s="62">
        <f t="shared" si="92"/>
        <v>247.01165577562966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-1.7053025658242404E-13</v>
      </c>
      <c r="BZ116" s="14">
        <f>BY116*VLOOKUP('Données projet'!$B$12,Paramètres!$A$1:$I$89,3,0)*VLOOKUP('Données projet'!$B$12,Paramètres!$A$1:$I$89,5,0)</f>
        <v>-1.250327841262333E-13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290.85271051443431</v>
      </c>
      <c r="CE116" s="62">
        <f t="shared" si="94"/>
        <v>318.66958823451142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1.1368683772161603E-13</v>
      </c>
      <c r="CU116" s="18">
        <f>CT116*VLOOKUP('Données projet'!$B$13,Paramètres!$A$1:$I$89,3,0)*VLOOKUP('Données projet'!$B$13,Paramètres!$A$1:$I$89,5,0)</f>
        <v>8.8675733422860506E-14</v>
      </c>
      <c r="CV116" s="14">
        <f t="shared" si="95"/>
        <v>1.3509285393066301E-12</v>
      </c>
      <c r="CW116" s="22">
        <f t="shared" si="67"/>
        <v>2.5073107750038623E-12</v>
      </c>
      <c r="CX116" s="62">
        <f t="shared" si="68"/>
        <v>293.33333333333582</v>
      </c>
      <c r="CY116" s="62">
        <f ca="1">AVERAGE(OFFSET($CX$3,0,0,'Données projet'!$E$13+1,1))-AVERAGE(OFFSET($H$3,0,0,'Données projet'!$E$13+1,1))</f>
        <v>292.57482726862594</v>
      </c>
      <c r="CZ116" s="62">
        <f t="shared" si="96"/>
        <v>283.48738729114024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-1.7053025658242404E-13</v>
      </c>
      <c r="DP116" s="18">
        <f>DO116*VLOOKUP('Données projet'!$B$14,Paramètres!$A$1:$I$89,3,0)*VLOOKUP('Données projet'!$B$14,Paramètres!$A$1:$I$89,5,0)</f>
        <v>-1.3567387213697657E-13</v>
      </c>
      <c r="DQ116" s="14" t="e">
        <f t="shared" si="97"/>
        <v>#NUM!</v>
      </c>
      <c r="DR116" s="22" t="e">
        <f t="shared" si="70"/>
        <v>#NUM!</v>
      </c>
      <c r="DS116" s="62" t="e">
        <f t="shared" si="71"/>
        <v>#NUM!</v>
      </c>
      <c r="DT116" s="62">
        <f ca="1">AVERAGE(OFFSET($DS$3,0,0,'Données projet'!$E$14+1,1))-AVERAGE(OFFSET($H$3,0,0,'Données projet'!$E$14+1,1))</f>
        <v>312.53381881960331</v>
      </c>
      <c r="DU116" s="62">
        <f t="shared" si="98"/>
        <v>342.06887933351783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2.884615384615381</v>
      </c>
      <c r="EJ116" s="13">
        <f>IF('Données projet'!$A$192&gt;35,EJ115+EI116-ER115,IF(A116&lt;'Données projet'!$A$192,$EG$205^A116,IF(A116='Données projet'!$A$192,'Données projet'!$B$192,EJ115+EI116-ER115)))</f>
        <v>239.42307692307705</v>
      </c>
      <c r="EK116" s="18">
        <f>EJ116*VLOOKUP('Données projet'!$B$15,Paramètres!$A$1:$I$89,3,0)*VLOOKUP('Données projet'!$B$15,Paramètres!$A$1:$I$89,5,0)</f>
        <v>227.83500000000012</v>
      </c>
      <c r="EL116" s="14">
        <f t="shared" si="99"/>
        <v>55.814300554153057</v>
      </c>
      <c r="EM116" s="22">
        <f t="shared" si="73"/>
        <v>494.02253179848339</v>
      </c>
      <c r="EN116" s="62">
        <f t="shared" si="74"/>
        <v>787.3558651318167</v>
      </c>
      <c r="EO116" s="62">
        <f ca="1">AVERAGE(OFFSET($EN$3,0,0,'Données projet'!$E$15+1,1))-AVERAGE(OFFSET($H$3,0,0,'Données projet'!$E$15+1,1))</f>
        <v>363.37916970915211</v>
      </c>
      <c r="EP116" s="62">
        <f t="shared" si="100"/>
        <v>281.52963027844595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-6.2527760746888816E-13</v>
      </c>
      <c r="FF116" s="18">
        <f>FE116*VLOOKUP('Données projet'!$B$16,Paramètres!$A$1:$I$89,3,0)*VLOOKUP('Données projet'!$B$16,Paramètres!$A$1:$I$89,5,0)</f>
        <v>-2.9262992029543964E-13</v>
      </c>
      <c r="FG116" s="14" t="e">
        <f t="shared" si="101"/>
        <v>#NUM!</v>
      </c>
      <c r="FH116" s="22" t="e">
        <f t="shared" si="76"/>
        <v>#NUM!</v>
      </c>
      <c r="FI116" s="62" t="e">
        <f t="shared" si="77"/>
        <v>#NUM!</v>
      </c>
      <c r="FJ116" s="62">
        <f ca="1">AVERAGE(OFFSET($FI$3,0,0,'Données projet'!$E$16+1,1))-AVERAGE(OFFSET($H$3,0,0,'Données projet'!$E$16+1,1))</f>
        <v>245.47494516762282</v>
      </c>
      <c r="FK116" s="62">
        <f t="shared" si="102"/>
        <v>145.54897745089966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3.7</v>
      </c>
      <c r="FZ116" s="13">
        <f>IF('Données projet'!$A$244&gt;35,FZ115+FY116-GH115,IF(A116&lt;'Données projet'!$A$244,$FW$205^A116,IF(A116='Données projet'!$A$244,'Données projet'!$B$244,FZ115+FY116-GH115)))</f>
        <v>277.09999999999957</v>
      </c>
      <c r="GA116" s="18">
        <f>FZ116*VLOOKUP('Données projet'!$B$17,Paramètres!$A$1:$I$89,3,0)*VLOOKUP('Données projet'!$B$17,Paramètres!$A$1:$I$89,5,0)</f>
        <v>268.01111999999961</v>
      </c>
      <c r="GB116" s="14">
        <f t="shared" si="103"/>
        <v>64.426997301716796</v>
      </c>
      <c r="GC116" s="22">
        <f t="shared" si="79"/>
        <v>578.99638763382268</v>
      </c>
      <c r="GD116" s="62">
        <f t="shared" si="80"/>
        <v>872.32972096715594</v>
      </c>
      <c r="GE116" s="62">
        <f ca="1">AVERAGE(OFFSET($GD$3,0,0,'Données projet'!$E$17+1,1))-AVERAGE(OFFSET($H$3,0,0,'Données projet'!$E$17+1,1))</f>
        <v>455.50822833641354</v>
      </c>
      <c r="GF116" s="62">
        <f t="shared" si="104"/>
        <v>261.14722581688039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1.7053025658242404E-13</v>
      </c>
      <c r="GV116" s="18">
        <f>GU116*VLOOKUP('Données projet'!$B$18,Paramètres!$A$1:$I$89,3,0)*VLOOKUP('Données projet'!$B$18,Paramètres!$A$1:$I$89,5,0)</f>
        <v>1.1439169611549005E-13</v>
      </c>
      <c r="GW116" s="14">
        <f t="shared" si="105"/>
        <v>1.6918016515029816E-12</v>
      </c>
      <c r="GX116" s="22">
        <f t="shared" si="82"/>
        <v>3.1457867471021712E-12</v>
      </c>
      <c r="GY116" s="62">
        <f t="shared" si="83"/>
        <v>293.33333333333644</v>
      </c>
      <c r="GZ116" s="62">
        <f ca="1">AVERAGE(OFFSET($GY$3,0,0,'Données projet'!$E$18+1,1))-AVERAGE(OFFSET($H$3,0,0,'Données projet'!$E$18+1,1))</f>
        <v>312.06797204903796</v>
      </c>
      <c r="HA116" s="62">
        <f t="shared" si="106"/>
        <v>258.20189001775151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projet'!$B$18,Paramètres!$A$1:$I$89,3,0)*0.475*44/12</f>
        <v>0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84"/>
        <v>0</v>
      </c>
    </row>
    <row r="117" spans="1:218" s="5" customFormat="1" x14ac:dyDescent="0.25">
      <c r="A117" s="11">
        <f t="shared" si="85"/>
        <v>114</v>
      </c>
      <c r="B117" s="76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9">
        <f t="shared" si="56"/>
        <v>256.66666666666669</v>
      </c>
      <c r="I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2.2737367544323206E-13</v>
      </c>
      <c r="O117" s="14">
        <f>N117*VLOOKUP('Données projet'!$B$9,Paramètres!$A$1:$I$89,3,0)*VLOOKUP('Données projet'!$B$9,Paramètres!$A$1:$I$89,5,0)</f>
        <v>1.2710188457276673E-13</v>
      </c>
      <c r="P117" s="14">
        <f t="shared" si="87"/>
        <v>1.856866851063998E-12</v>
      </c>
      <c r="Q117" s="22">
        <f t="shared" si="107"/>
        <v>3.4554122145673649E-12</v>
      </c>
      <c r="R117" s="62">
        <f t="shared" si="55"/>
        <v>293.33333333333678</v>
      </c>
      <c r="S117" s="62">
        <f ca="1">AVERAGE(OFFSET($R$3,0,0,'Données projet'!$E$9+1,1))-AVERAGE(OFFSET($H$3,0,0,'Données projet'!$E$9+1,1))</f>
        <v>323.98185264074681</v>
      </c>
      <c r="T117" s="62">
        <f t="shared" si="88"/>
        <v>301.22207291854005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0.84545173724175426</v>
      </c>
      <c r="AA117" s="23">
        <f>EXP(-LN(2)/25)*AA116+(1-EXP(-LN(2)/25))/(LN(2)/25)*Calculateur!V117*Calculateur!X117*VLOOKUP('Données projet'!$B$9,Paramètres!$A$1:$I$89,3,0)*0.475*44/12</f>
        <v>0.8032504697722066</v>
      </c>
      <c r="AB117" s="23">
        <f>EXP(-LN(2)/2)*AB116+(1-EXP(-LN(2)/2))/(LN(2)/2)*V117*Y117*VLOOKUP('Données projet'!$B$9,Paramètres!$A$1:$I$89,3,0)*0.475*44/12</f>
        <v>1.3842070938194458E-12</v>
      </c>
      <c r="AC117" s="24">
        <f t="shared" si="57"/>
        <v>1.648702207015345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-2.8421709430404007E-13</v>
      </c>
      <c r="AJ117" s="14">
        <f>AI117*VLOOKUP('Données projet'!$B$10,Paramètres!$A$1:$I$89,3,0)*VLOOKUP('Données projet'!$B$10,Paramètres!$A$1:$I$89,5,0)</f>
        <v>-1.69961822393816E-13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289.12367833861299</v>
      </c>
      <c r="AO117" s="62">
        <f t="shared" si="90"/>
        <v>229.06617320689003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9.4288113314756844E-13</v>
      </c>
      <c r="AX117" s="23">
        <f t="shared" si="60"/>
        <v>9.4288113314756844E-13</v>
      </c>
      <c r="AY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3.7</v>
      </c>
      <c r="BD117" s="13">
        <f>IF('Données projet'!$A$88&gt;35,BD116+BC117-BL116,IF(A117&lt;'Données projet'!$A$88,$BA$205^A117,IF(A117='Données projet'!$A$88,'Données projet'!$B$88,BD116+BC117-BL116)))</f>
        <v>280.79999999999956</v>
      </c>
      <c r="BE117" s="14">
        <f>BD117*VLOOKUP('Données projet'!$B$11,Paramètres!$A$1:$I$89,3,0)*VLOOKUP('Données projet'!$B$11,Paramètres!$A$1:$I$89,5,0)</f>
        <v>254.06783999999956</v>
      </c>
      <c r="BF117" s="14">
        <f t="shared" si="91"/>
        <v>61.456187622750669</v>
      </c>
      <c r="BG117" s="22">
        <f t="shared" si="61"/>
        <v>549.53768144295657</v>
      </c>
      <c r="BH117" s="62">
        <f t="shared" si="62"/>
        <v>842.87101477628994</v>
      </c>
      <c r="BI117" s="62">
        <f ca="1">AVERAGE(OFFSET($BH$3,0,0,'Données projet'!$E$11+1,1))-AVERAGE(OFFSET($H$3,0,0,'Données projet'!$E$11+1,1))</f>
        <v>428.8489304403459</v>
      </c>
      <c r="BJ117" s="62">
        <f t="shared" si="92"/>
        <v>247.01165577562966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-1.7053025658242404E-13</v>
      </c>
      <c r="BZ117" s="14">
        <f>BY117*VLOOKUP('Données projet'!$B$12,Paramètres!$A$1:$I$89,3,0)*VLOOKUP('Données projet'!$B$12,Paramètres!$A$1:$I$89,5,0)</f>
        <v>-1.250327841262333E-13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290.85271051443431</v>
      </c>
      <c r="CE117" s="62">
        <f t="shared" si="94"/>
        <v>318.66958823451142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1.1368683772161603E-13</v>
      </c>
      <c r="CU117" s="18">
        <f>CT117*VLOOKUP('Données projet'!$B$13,Paramètres!$A$1:$I$89,3,0)*VLOOKUP('Données projet'!$B$13,Paramètres!$A$1:$I$89,5,0)</f>
        <v>8.8675733422860506E-14</v>
      </c>
      <c r="CV117" s="14">
        <f t="shared" si="95"/>
        <v>1.3509285393066301E-12</v>
      </c>
      <c r="CW117" s="22">
        <f t="shared" si="67"/>
        <v>2.5073107750038623E-12</v>
      </c>
      <c r="CX117" s="62">
        <f t="shared" si="68"/>
        <v>293.33333333333582</v>
      </c>
      <c r="CY117" s="62">
        <f ca="1">AVERAGE(OFFSET($CX$3,0,0,'Données projet'!$E$13+1,1))-AVERAGE(OFFSET($H$3,0,0,'Données projet'!$E$13+1,1))</f>
        <v>292.57482726862594</v>
      </c>
      <c r="CZ117" s="62">
        <f t="shared" si="96"/>
        <v>283.48738729114024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-1.7053025658242404E-13</v>
      </c>
      <c r="DP117" s="18">
        <f>DO117*VLOOKUP('Données projet'!$B$14,Paramètres!$A$1:$I$89,3,0)*VLOOKUP('Données projet'!$B$14,Paramètres!$A$1:$I$89,5,0)</f>
        <v>-1.3567387213697657E-13</v>
      </c>
      <c r="DQ117" s="14" t="e">
        <f t="shared" si="97"/>
        <v>#NUM!</v>
      </c>
      <c r="DR117" s="22" t="e">
        <f t="shared" si="70"/>
        <v>#NUM!</v>
      </c>
      <c r="DS117" s="62" t="e">
        <f t="shared" si="71"/>
        <v>#NUM!</v>
      </c>
      <c r="DT117" s="62">
        <f ca="1">AVERAGE(OFFSET($DS$3,0,0,'Données projet'!$E$14+1,1))-AVERAGE(OFFSET($H$3,0,0,'Données projet'!$E$14+1,1))</f>
        <v>312.53381881960331</v>
      </c>
      <c r="DU117" s="62">
        <f t="shared" si="98"/>
        <v>342.06887933351783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2.884615384615381</v>
      </c>
      <c r="EJ117" s="13">
        <f>IF('Données projet'!$A$192&gt;35,EJ116+EI117-ER116,IF(A117&lt;'Données projet'!$A$192,$EG$205^A117,IF(A117='Données projet'!$A$192,'Données projet'!$B$192,EJ116+EI117-ER116)))</f>
        <v>242.30769230769243</v>
      </c>
      <c r="EK117" s="18">
        <f>EJ117*VLOOKUP('Données projet'!$B$15,Paramètres!$A$1:$I$89,3,0)*VLOOKUP('Données projet'!$B$15,Paramètres!$A$1:$I$89,5,0)</f>
        <v>230.58000000000013</v>
      </c>
      <c r="EL117" s="14">
        <f t="shared" si="99"/>
        <v>56.408072703031351</v>
      </c>
      <c r="EM117" s="22">
        <f t="shared" si="73"/>
        <v>499.83755995777983</v>
      </c>
      <c r="EN117" s="62">
        <f t="shared" si="74"/>
        <v>793.17089329111309</v>
      </c>
      <c r="EO117" s="62">
        <f ca="1">AVERAGE(OFFSET($EN$3,0,0,'Données projet'!$E$15+1,1))-AVERAGE(OFFSET($H$3,0,0,'Données projet'!$E$15+1,1))</f>
        <v>363.37916970915211</v>
      </c>
      <c r="EP117" s="62">
        <f t="shared" si="100"/>
        <v>281.52963027844595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-6.2527760746888816E-13</v>
      </c>
      <c r="FF117" s="18">
        <f>FE117*VLOOKUP('Données projet'!$B$16,Paramètres!$A$1:$I$89,3,0)*VLOOKUP('Données projet'!$B$16,Paramètres!$A$1:$I$89,5,0)</f>
        <v>-2.9262992029543964E-13</v>
      </c>
      <c r="FG117" s="14" t="e">
        <f t="shared" si="101"/>
        <v>#NUM!</v>
      </c>
      <c r="FH117" s="22" t="e">
        <f t="shared" si="76"/>
        <v>#NUM!</v>
      </c>
      <c r="FI117" s="62" t="e">
        <f t="shared" si="77"/>
        <v>#NUM!</v>
      </c>
      <c r="FJ117" s="62">
        <f ca="1">AVERAGE(OFFSET($FI$3,0,0,'Données projet'!$E$16+1,1))-AVERAGE(OFFSET($H$3,0,0,'Données projet'!$E$16+1,1))</f>
        <v>245.47494516762282</v>
      </c>
      <c r="FK117" s="62">
        <f t="shared" si="102"/>
        <v>145.54897745089966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3.7</v>
      </c>
      <c r="FZ117" s="13">
        <f>IF('Données projet'!$A$244&gt;35,FZ116+FY117-GH116,IF(A117&lt;'Données projet'!$A$244,$FW$205^A117,IF(A117='Données projet'!$A$244,'Données projet'!$B$244,FZ116+FY117-GH116)))</f>
        <v>280.79999999999956</v>
      </c>
      <c r="GA117" s="18">
        <f>FZ117*VLOOKUP('Données projet'!$B$17,Paramètres!$A$1:$I$89,3,0)*VLOOKUP('Données projet'!$B$17,Paramètres!$A$1:$I$89,5,0)</f>
        <v>271.58975999999956</v>
      </c>
      <c r="GB117" s="14">
        <f t="shared" si="103"/>
        <v>65.186541118848012</v>
      </c>
      <c r="GC117" s="22">
        <f t="shared" si="79"/>
        <v>586.55205778199286</v>
      </c>
      <c r="GD117" s="62">
        <f t="shared" si="80"/>
        <v>879.88539111532623</v>
      </c>
      <c r="GE117" s="62">
        <f ca="1">AVERAGE(OFFSET($GD$3,0,0,'Données projet'!$E$17+1,1))-AVERAGE(OFFSET($H$3,0,0,'Données projet'!$E$17+1,1))</f>
        <v>455.50822833641354</v>
      </c>
      <c r="GF117" s="62">
        <f t="shared" si="104"/>
        <v>261.14722581688039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1.7053025658242404E-13</v>
      </c>
      <c r="GV117" s="18">
        <f>GU117*VLOOKUP('Données projet'!$B$18,Paramètres!$A$1:$I$89,3,0)*VLOOKUP('Données projet'!$B$18,Paramètres!$A$1:$I$89,5,0)</f>
        <v>1.1439169611549005E-13</v>
      </c>
      <c r="GW117" s="14">
        <f t="shared" si="105"/>
        <v>1.6918016515029816E-12</v>
      </c>
      <c r="GX117" s="22">
        <f t="shared" si="82"/>
        <v>3.1457867471021712E-12</v>
      </c>
      <c r="GY117" s="62">
        <f t="shared" si="83"/>
        <v>293.33333333333644</v>
      </c>
      <c r="GZ117" s="62">
        <f ca="1">AVERAGE(OFFSET($GY$3,0,0,'Données projet'!$E$18+1,1))-AVERAGE(OFFSET($H$3,0,0,'Données projet'!$E$18+1,1))</f>
        <v>312.06797204903796</v>
      </c>
      <c r="HA117" s="62">
        <f t="shared" si="106"/>
        <v>258.20189001775151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projet'!$B$18,Paramètres!$A$1:$I$89,3,0)*0.475*44/12</f>
        <v>0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84"/>
        <v>0</v>
      </c>
    </row>
    <row r="118" spans="1:218" s="5" customFormat="1" x14ac:dyDescent="0.25">
      <c r="A118" s="11">
        <f t="shared" si="85"/>
        <v>115</v>
      </c>
      <c r="B118" s="76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9">
        <f t="shared" si="56"/>
        <v>256.66666666666669</v>
      </c>
      <c r="I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2.2737367544323206E-13</v>
      </c>
      <c r="O118" s="14">
        <f>N118*VLOOKUP('Données projet'!$B$9,Paramètres!$A$1:$I$89,3,0)*VLOOKUP('Données projet'!$B$9,Paramètres!$A$1:$I$89,5,0)</f>
        <v>1.2710188457276673E-13</v>
      </c>
      <c r="P118" s="14">
        <f t="shared" si="87"/>
        <v>1.856866851063998E-12</v>
      </c>
      <c r="Q118" s="22">
        <f t="shared" si="107"/>
        <v>3.4554122145673649E-12</v>
      </c>
      <c r="R118" s="62">
        <f t="shared" si="55"/>
        <v>293.33333333333678</v>
      </c>
      <c r="S118" s="62">
        <f ca="1">AVERAGE(OFFSET($R$3,0,0,'Données projet'!$E$9+1,1))-AVERAGE(OFFSET($H$3,0,0,'Données projet'!$E$9+1,1))</f>
        <v>323.98185264074681</v>
      </c>
      <c r="T118" s="62">
        <f t="shared" si="88"/>
        <v>301.22207291854005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0.82887294434908454</v>
      </c>
      <c r="AA118" s="23">
        <f>EXP(-LN(2)/25)*AA117+(1-EXP(-LN(2)/25))/(LN(2)/25)*Calculateur!V118*Calculateur!X118*VLOOKUP('Données projet'!$B$9,Paramètres!$A$1:$I$89,3,0)*0.475*44/12</f>
        <v>0.78128554343517931</v>
      </c>
      <c r="AB118" s="23">
        <f>EXP(-LN(2)/2)*AB117+(1-EXP(-LN(2)/2))/(LN(2)/2)*V118*Y118*VLOOKUP('Données projet'!$B$9,Paramètres!$A$1:$I$89,3,0)*0.475*44/12</f>
        <v>9.7878222260625368E-13</v>
      </c>
      <c r="AC118" s="24">
        <f t="shared" si="57"/>
        <v>1.6101584877852426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-2.8421709430404007E-13</v>
      </c>
      <c r="AJ118" s="14">
        <f>AI118*VLOOKUP('Données projet'!$B$10,Paramètres!$A$1:$I$89,3,0)*VLOOKUP('Données projet'!$B$10,Paramètres!$A$1:$I$89,5,0)</f>
        <v>-1.69961822393816E-13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289.12367833861299</v>
      </c>
      <c r="AO118" s="62">
        <f t="shared" si="90"/>
        <v>229.06617320689003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6.6671764310150167E-13</v>
      </c>
      <c r="AX118" s="23">
        <f t="shared" si="60"/>
        <v>6.6671764310150167E-13</v>
      </c>
      <c r="AY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3.7</v>
      </c>
      <c r="BD118" s="13">
        <f>IF('Données projet'!$A$88&gt;35,BD117+BC118-BL117,IF(A118&lt;'Données projet'!$A$88,$BA$205^A118,IF(A118='Données projet'!$A$88,'Données projet'!$B$88,BD117+BC118-BL117)))</f>
        <v>284.49999999999955</v>
      </c>
      <c r="BE118" s="14">
        <f>BD118*VLOOKUP('Données projet'!$B$11,Paramètres!$A$1:$I$89,3,0)*VLOOKUP('Données projet'!$B$11,Paramètres!$A$1:$I$89,5,0)</f>
        <v>257.41559999999959</v>
      </c>
      <c r="BF118" s="14">
        <f t="shared" si="91"/>
        <v>62.171168434977062</v>
      </c>
      <c r="BG118" s="22">
        <f t="shared" si="61"/>
        <v>556.61362169091774</v>
      </c>
      <c r="BH118" s="62">
        <f t="shared" si="62"/>
        <v>849.94695502425111</v>
      </c>
      <c r="BI118" s="62">
        <f ca="1">AVERAGE(OFFSET($BH$3,0,0,'Données projet'!$E$11+1,1))-AVERAGE(OFFSET($H$3,0,0,'Données projet'!$E$11+1,1))</f>
        <v>428.8489304403459</v>
      </c>
      <c r="BJ118" s="62">
        <f t="shared" si="92"/>
        <v>247.01165577562966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-1.7053025658242404E-13</v>
      </c>
      <c r="BZ118" s="14">
        <f>BY118*VLOOKUP('Données projet'!$B$12,Paramètres!$A$1:$I$89,3,0)*VLOOKUP('Données projet'!$B$12,Paramètres!$A$1:$I$89,5,0)</f>
        <v>-1.250327841262333E-13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290.85271051443431</v>
      </c>
      <c r="CE118" s="62">
        <f t="shared" si="94"/>
        <v>318.66958823451142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1.1368683772161603E-13</v>
      </c>
      <c r="CU118" s="18">
        <f>CT118*VLOOKUP('Données projet'!$B$13,Paramètres!$A$1:$I$89,3,0)*VLOOKUP('Données projet'!$B$13,Paramètres!$A$1:$I$89,5,0)</f>
        <v>8.8675733422860506E-14</v>
      </c>
      <c r="CV118" s="14">
        <f t="shared" si="95"/>
        <v>1.3509285393066301E-12</v>
      </c>
      <c r="CW118" s="22">
        <f t="shared" si="67"/>
        <v>2.5073107750038623E-12</v>
      </c>
      <c r="CX118" s="62">
        <f t="shared" si="68"/>
        <v>293.33333333333582</v>
      </c>
      <c r="CY118" s="62">
        <f ca="1">AVERAGE(OFFSET($CX$3,0,0,'Données projet'!$E$13+1,1))-AVERAGE(OFFSET($H$3,0,0,'Données projet'!$E$13+1,1))</f>
        <v>292.57482726862594</v>
      </c>
      <c r="CZ118" s="62">
        <f t="shared" si="96"/>
        <v>283.48738729114024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-1.7053025658242404E-13</v>
      </c>
      <c r="DP118" s="18">
        <f>DO118*VLOOKUP('Données projet'!$B$14,Paramètres!$A$1:$I$89,3,0)*VLOOKUP('Données projet'!$B$14,Paramètres!$A$1:$I$89,5,0)</f>
        <v>-1.3567387213697657E-13</v>
      </c>
      <c r="DQ118" s="14" t="e">
        <f t="shared" si="97"/>
        <v>#NUM!</v>
      </c>
      <c r="DR118" s="22" t="e">
        <f t="shared" si="70"/>
        <v>#NUM!</v>
      </c>
      <c r="DS118" s="62" t="e">
        <f t="shared" si="71"/>
        <v>#NUM!</v>
      </c>
      <c r="DT118" s="62">
        <f ca="1">AVERAGE(OFFSET($DS$3,0,0,'Données projet'!$E$14+1,1))-AVERAGE(OFFSET($H$3,0,0,'Données projet'!$E$14+1,1))</f>
        <v>312.53381881960331</v>
      </c>
      <c r="DU118" s="62">
        <f t="shared" si="98"/>
        <v>342.06887933351783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2.884615384615381</v>
      </c>
      <c r="EJ118" s="13">
        <f>IF('Données projet'!$A$192&gt;35,EJ117+EI118-ER117,IF(A118&lt;'Données projet'!$A$192,$EG$205^A118,IF(A118='Données projet'!$A$192,'Données projet'!$B$192,EJ117+EI118-ER117)))</f>
        <v>245.19230769230782</v>
      </c>
      <c r="EK118" s="18">
        <f>EJ118*VLOOKUP('Données projet'!$B$15,Paramètres!$A$1:$I$89,3,0)*VLOOKUP('Données projet'!$B$15,Paramètres!$A$1:$I$89,5,0)</f>
        <v>233.32500000000013</v>
      </c>
      <c r="EL118" s="14">
        <f t="shared" si="99"/>
        <v>57.001022602640226</v>
      </c>
      <c r="EM118" s="22">
        <f t="shared" si="73"/>
        <v>505.65115603293197</v>
      </c>
      <c r="EN118" s="62">
        <f t="shared" si="74"/>
        <v>798.98448936626528</v>
      </c>
      <c r="EO118" s="62">
        <f ca="1">AVERAGE(OFFSET($EN$3,0,0,'Données projet'!$E$15+1,1))-AVERAGE(OFFSET($H$3,0,0,'Données projet'!$E$15+1,1))</f>
        <v>363.37916970915211</v>
      </c>
      <c r="EP118" s="62">
        <f t="shared" si="100"/>
        <v>281.52963027844595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-6.2527760746888816E-13</v>
      </c>
      <c r="FF118" s="18">
        <f>FE118*VLOOKUP('Données projet'!$B$16,Paramètres!$A$1:$I$89,3,0)*VLOOKUP('Données projet'!$B$16,Paramètres!$A$1:$I$89,5,0)</f>
        <v>-2.9262992029543964E-13</v>
      </c>
      <c r="FG118" s="14" t="e">
        <f t="shared" si="101"/>
        <v>#NUM!</v>
      </c>
      <c r="FH118" s="22" t="e">
        <f t="shared" si="76"/>
        <v>#NUM!</v>
      </c>
      <c r="FI118" s="62" t="e">
        <f t="shared" si="77"/>
        <v>#NUM!</v>
      </c>
      <c r="FJ118" s="62">
        <f ca="1">AVERAGE(OFFSET($FI$3,0,0,'Données projet'!$E$16+1,1))-AVERAGE(OFFSET($H$3,0,0,'Données projet'!$E$16+1,1))</f>
        <v>245.47494516762282</v>
      </c>
      <c r="FK118" s="62">
        <f t="shared" si="102"/>
        <v>145.54897745089966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3.7</v>
      </c>
      <c r="FZ118" s="13">
        <f>IF('Données projet'!$A$244&gt;35,FZ117+FY118-GH117,IF(A118&lt;'Données projet'!$A$244,$FW$205^A118,IF(A118='Données projet'!$A$244,'Données projet'!$B$244,FZ117+FY118-GH117)))</f>
        <v>284.49999999999955</v>
      </c>
      <c r="GA118" s="18">
        <f>FZ118*VLOOKUP('Données projet'!$B$17,Paramètres!$A$1:$I$89,3,0)*VLOOKUP('Données projet'!$B$17,Paramètres!$A$1:$I$89,5,0)</f>
        <v>275.16839999999956</v>
      </c>
      <c r="GB118" s="14">
        <f t="shared" si="103"/>
        <v>65.944920834841554</v>
      </c>
      <c r="GC118" s="22">
        <f t="shared" si="79"/>
        <v>594.10570045401494</v>
      </c>
      <c r="GD118" s="62">
        <f t="shared" si="80"/>
        <v>887.43903378734831</v>
      </c>
      <c r="GE118" s="62">
        <f ca="1">AVERAGE(OFFSET($GD$3,0,0,'Données projet'!$E$17+1,1))-AVERAGE(OFFSET($H$3,0,0,'Données projet'!$E$17+1,1))</f>
        <v>455.50822833641354</v>
      </c>
      <c r="GF118" s="62">
        <f t="shared" si="104"/>
        <v>261.14722581688039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1.7053025658242404E-13</v>
      </c>
      <c r="GV118" s="18">
        <f>GU118*VLOOKUP('Données projet'!$B$18,Paramètres!$A$1:$I$89,3,0)*VLOOKUP('Données projet'!$B$18,Paramètres!$A$1:$I$89,5,0)</f>
        <v>1.1439169611549005E-13</v>
      </c>
      <c r="GW118" s="14">
        <f t="shared" si="105"/>
        <v>1.6918016515029816E-12</v>
      </c>
      <c r="GX118" s="22">
        <f t="shared" si="82"/>
        <v>3.1457867471021712E-12</v>
      </c>
      <c r="GY118" s="62">
        <f t="shared" si="83"/>
        <v>293.33333333333644</v>
      </c>
      <c r="GZ118" s="62">
        <f ca="1">AVERAGE(OFFSET($GY$3,0,0,'Données projet'!$E$18+1,1))-AVERAGE(OFFSET($H$3,0,0,'Données projet'!$E$18+1,1))</f>
        <v>312.06797204903796</v>
      </c>
      <c r="HA118" s="62">
        <f t="shared" si="106"/>
        <v>258.20189001775151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projet'!$B$18,Paramètres!$A$1:$I$89,3,0)*0.475*44/12</f>
        <v>0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84"/>
        <v>0</v>
      </c>
    </row>
    <row r="119" spans="1:218" s="5" customFormat="1" x14ac:dyDescent="0.25">
      <c r="A119" s="11">
        <f t="shared" si="85"/>
        <v>116</v>
      </c>
      <c r="B119" s="76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9">
        <f t="shared" si="56"/>
        <v>256.66666666666669</v>
      </c>
      <c r="I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2.2737367544323206E-13</v>
      </c>
      <c r="O119" s="14">
        <f>N119*VLOOKUP('Données projet'!$B$9,Paramètres!$A$1:$I$89,3,0)*VLOOKUP('Données projet'!$B$9,Paramètres!$A$1:$I$89,5,0)</f>
        <v>1.2710188457276673E-13</v>
      </c>
      <c r="P119" s="14">
        <f t="shared" si="87"/>
        <v>1.856866851063998E-12</v>
      </c>
      <c r="Q119" s="22">
        <f t="shared" si="107"/>
        <v>3.4554122145673649E-12</v>
      </c>
      <c r="R119" s="62">
        <f t="shared" si="55"/>
        <v>293.33333333333678</v>
      </c>
      <c r="S119" s="62">
        <f ca="1">AVERAGE(OFFSET($R$3,0,0,'Données projet'!$E$9+1,1))-AVERAGE(OFFSET($H$3,0,0,'Données projet'!$E$9+1,1))</f>
        <v>323.98185264074681</v>
      </c>
      <c r="T119" s="62">
        <f t="shared" si="88"/>
        <v>301.22207291854005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0.81261925147297487</v>
      </c>
      <c r="AA119" s="23">
        <f>EXP(-LN(2)/25)*AA118+(1-EXP(-LN(2)/25))/(LN(2)/25)*Calculateur!V119*Calculateur!X119*VLOOKUP('Données projet'!$B$9,Paramètres!$A$1:$I$89,3,0)*0.475*44/12</f>
        <v>0.75992124916392323</v>
      </c>
      <c r="AB119" s="23">
        <f>EXP(-LN(2)/2)*AB118+(1-EXP(-LN(2)/2))/(LN(2)/2)*V119*Y119*VLOOKUP('Données projet'!$B$9,Paramètres!$A$1:$I$89,3,0)*0.475*44/12</f>
        <v>6.9210354690972288E-13</v>
      </c>
      <c r="AC119" s="24">
        <f t="shared" si="57"/>
        <v>1.5725405006375903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-2.8421709430404007E-13</v>
      </c>
      <c r="AJ119" s="14">
        <f>AI119*VLOOKUP('Données projet'!$B$10,Paramètres!$A$1:$I$89,3,0)*VLOOKUP('Données projet'!$B$10,Paramètres!$A$1:$I$89,5,0)</f>
        <v>-1.69961822393816E-13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289.12367833861299</v>
      </c>
      <c r="AO119" s="62">
        <f t="shared" si="90"/>
        <v>229.06617320689003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4.7144056657378422E-13</v>
      </c>
      <c r="AX119" s="23">
        <f t="shared" si="60"/>
        <v>4.7144056657378422E-13</v>
      </c>
      <c r="AY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3.7</v>
      </c>
      <c r="BD119" s="13">
        <f>IF('Données projet'!$A$88&gt;35,BD118+BC119-BL118,IF(A119&lt;'Données projet'!$A$88,$BA$205^A119,IF(A119='Données projet'!$A$88,'Données projet'!$B$88,BD118+BC119-BL118)))</f>
        <v>288.19999999999953</v>
      </c>
      <c r="BE119" s="14">
        <f>BD119*VLOOKUP('Données projet'!$B$11,Paramètres!$A$1:$I$89,3,0)*VLOOKUP('Données projet'!$B$11,Paramètres!$A$1:$I$89,5,0)</f>
        <v>260.76335999999958</v>
      </c>
      <c r="BF119" s="14">
        <f t="shared" si="91"/>
        <v>62.885067686031896</v>
      </c>
      <c r="BG119" s="22">
        <f t="shared" si="61"/>
        <v>563.68767821983818</v>
      </c>
      <c r="BH119" s="62">
        <f t="shared" si="62"/>
        <v>857.02101155317155</v>
      </c>
      <c r="BI119" s="62">
        <f ca="1">AVERAGE(OFFSET($BH$3,0,0,'Données projet'!$E$11+1,1))-AVERAGE(OFFSET($H$3,0,0,'Données projet'!$E$11+1,1))</f>
        <v>428.8489304403459</v>
      </c>
      <c r="BJ119" s="62">
        <f t="shared" si="92"/>
        <v>247.01165577562966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-1.7053025658242404E-13</v>
      </c>
      <c r="BZ119" s="14">
        <f>BY119*VLOOKUP('Données projet'!$B$12,Paramètres!$A$1:$I$89,3,0)*VLOOKUP('Données projet'!$B$12,Paramètres!$A$1:$I$89,5,0)</f>
        <v>-1.250327841262333E-13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290.85271051443431</v>
      </c>
      <c r="CE119" s="62">
        <f t="shared" si="94"/>
        <v>318.66958823451142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1.1368683772161603E-13</v>
      </c>
      <c r="CU119" s="18">
        <f>CT119*VLOOKUP('Données projet'!$B$13,Paramètres!$A$1:$I$89,3,0)*VLOOKUP('Données projet'!$B$13,Paramètres!$A$1:$I$89,5,0)</f>
        <v>8.8675733422860506E-14</v>
      </c>
      <c r="CV119" s="14">
        <f t="shared" si="95"/>
        <v>1.3509285393066301E-12</v>
      </c>
      <c r="CW119" s="22">
        <f t="shared" si="67"/>
        <v>2.5073107750038623E-12</v>
      </c>
      <c r="CX119" s="62">
        <f t="shared" si="68"/>
        <v>293.33333333333582</v>
      </c>
      <c r="CY119" s="62">
        <f ca="1">AVERAGE(OFFSET($CX$3,0,0,'Données projet'!$E$13+1,1))-AVERAGE(OFFSET($H$3,0,0,'Données projet'!$E$13+1,1))</f>
        <v>292.57482726862594</v>
      </c>
      <c r="CZ119" s="62">
        <f t="shared" si="96"/>
        <v>283.48738729114024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-1.7053025658242404E-13</v>
      </c>
      <c r="DP119" s="18">
        <f>DO119*VLOOKUP('Données projet'!$B$14,Paramètres!$A$1:$I$89,3,0)*VLOOKUP('Données projet'!$B$14,Paramètres!$A$1:$I$89,5,0)</f>
        <v>-1.3567387213697657E-13</v>
      </c>
      <c r="DQ119" s="14" t="e">
        <f t="shared" si="97"/>
        <v>#NUM!</v>
      </c>
      <c r="DR119" s="22" t="e">
        <f t="shared" si="70"/>
        <v>#NUM!</v>
      </c>
      <c r="DS119" s="62" t="e">
        <f t="shared" si="71"/>
        <v>#NUM!</v>
      </c>
      <c r="DT119" s="62">
        <f ca="1">AVERAGE(OFFSET($DS$3,0,0,'Données projet'!$E$14+1,1))-AVERAGE(OFFSET($H$3,0,0,'Données projet'!$E$14+1,1))</f>
        <v>312.53381881960331</v>
      </c>
      <c r="DU119" s="62">
        <f t="shared" si="98"/>
        <v>342.06887933351783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2.884615384615381</v>
      </c>
      <c r="EJ119" s="13">
        <f>IF('Données projet'!$A$192&gt;35,EJ118+EI119-ER118,IF(A119&lt;'Données projet'!$A$192,$EG$205^A119,IF(A119='Données projet'!$A$192,'Données projet'!$B$192,EJ118+EI119-ER118)))</f>
        <v>248.07692307692321</v>
      </c>
      <c r="EK119" s="18">
        <f>EJ119*VLOOKUP('Données projet'!$B$15,Paramètres!$A$1:$I$89,3,0)*VLOOKUP('Données projet'!$B$15,Paramètres!$A$1:$I$89,5,0)</f>
        <v>236.07000000000014</v>
      </c>
      <c r="EL119" s="14">
        <f t="shared" si="99"/>
        <v>57.593161045607886</v>
      </c>
      <c r="EM119" s="22">
        <f t="shared" si="73"/>
        <v>511.46333882110065</v>
      </c>
      <c r="EN119" s="62">
        <f t="shared" si="74"/>
        <v>804.79667215443396</v>
      </c>
      <c r="EO119" s="62">
        <f ca="1">AVERAGE(OFFSET($EN$3,0,0,'Données projet'!$E$15+1,1))-AVERAGE(OFFSET($H$3,0,0,'Données projet'!$E$15+1,1))</f>
        <v>363.37916970915211</v>
      </c>
      <c r="EP119" s="62">
        <f t="shared" si="100"/>
        <v>281.52963027844595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-6.2527760746888816E-13</v>
      </c>
      <c r="FF119" s="18">
        <f>FE119*VLOOKUP('Données projet'!$B$16,Paramètres!$A$1:$I$89,3,0)*VLOOKUP('Données projet'!$B$16,Paramètres!$A$1:$I$89,5,0)</f>
        <v>-2.9262992029543964E-13</v>
      </c>
      <c r="FG119" s="14" t="e">
        <f t="shared" si="101"/>
        <v>#NUM!</v>
      </c>
      <c r="FH119" s="22" t="e">
        <f t="shared" si="76"/>
        <v>#NUM!</v>
      </c>
      <c r="FI119" s="62" t="e">
        <f t="shared" si="77"/>
        <v>#NUM!</v>
      </c>
      <c r="FJ119" s="62">
        <f ca="1">AVERAGE(OFFSET($FI$3,0,0,'Données projet'!$E$16+1,1))-AVERAGE(OFFSET($H$3,0,0,'Données projet'!$E$16+1,1))</f>
        <v>245.47494516762282</v>
      </c>
      <c r="FK119" s="62">
        <f t="shared" si="102"/>
        <v>145.54897745089966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3.7</v>
      </c>
      <c r="FZ119" s="13">
        <f>IF('Données projet'!$A$244&gt;35,FZ118+FY119-GH118,IF(A119&lt;'Données projet'!$A$244,$FW$205^A119,IF(A119='Données projet'!$A$244,'Données projet'!$B$244,FZ118+FY119-GH118)))</f>
        <v>288.19999999999953</v>
      </c>
      <c r="GA119" s="18">
        <f>FZ119*VLOOKUP('Données projet'!$B$17,Paramètres!$A$1:$I$89,3,0)*VLOOKUP('Données projet'!$B$17,Paramètres!$A$1:$I$89,5,0)</f>
        <v>278.74703999999957</v>
      </c>
      <c r="GB119" s="14">
        <f t="shared" si="103"/>
        <v>66.702153339553135</v>
      </c>
      <c r="GC119" s="22">
        <f t="shared" si="79"/>
        <v>601.65734506638762</v>
      </c>
      <c r="GD119" s="62">
        <f t="shared" si="80"/>
        <v>894.99067839972099</v>
      </c>
      <c r="GE119" s="62">
        <f ca="1">AVERAGE(OFFSET($GD$3,0,0,'Données projet'!$E$17+1,1))-AVERAGE(OFFSET($H$3,0,0,'Données projet'!$E$17+1,1))</f>
        <v>455.50822833641354</v>
      </c>
      <c r="GF119" s="62">
        <f t="shared" si="104"/>
        <v>261.14722581688039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1.7053025658242404E-13</v>
      </c>
      <c r="GV119" s="18">
        <f>GU119*VLOOKUP('Données projet'!$B$18,Paramètres!$A$1:$I$89,3,0)*VLOOKUP('Données projet'!$B$18,Paramètres!$A$1:$I$89,5,0)</f>
        <v>1.1439169611549005E-13</v>
      </c>
      <c r="GW119" s="14">
        <f t="shared" si="105"/>
        <v>1.6918016515029816E-12</v>
      </c>
      <c r="GX119" s="22">
        <f t="shared" si="82"/>
        <v>3.1457867471021712E-12</v>
      </c>
      <c r="GY119" s="62">
        <f t="shared" si="83"/>
        <v>293.33333333333644</v>
      </c>
      <c r="GZ119" s="62">
        <f ca="1">AVERAGE(OFFSET($GY$3,0,0,'Données projet'!$E$18+1,1))-AVERAGE(OFFSET($H$3,0,0,'Données projet'!$E$18+1,1))</f>
        <v>312.06797204903796</v>
      </c>
      <c r="HA119" s="62">
        <f t="shared" si="106"/>
        <v>258.20189001775151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projet'!$B$18,Paramètres!$A$1:$I$89,3,0)*0.475*44/12</f>
        <v>0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84"/>
        <v>0</v>
      </c>
    </row>
    <row r="120" spans="1:218" s="5" customFormat="1" x14ac:dyDescent="0.25">
      <c r="A120" s="11">
        <f t="shared" si="85"/>
        <v>117</v>
      </c>
      <c r="B120" s="76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9">
        <f t="shared" si="56"/>
        <v>256.66666666666669</v>
      </c>
      <c r="I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2.2737367544323206E-13</v>
      </c>
      <c r="O120" s="14">
        <f>N120*VLOOKUP('Données projet'!$B$9,Paramètres!$A$1:$I$89,3,0)*VLOOKUP('Données projet'!$B$9,Paramètres!$A$1:$I$89,5,0)</f>
        <v>1.2710188457276673E-13</v>
      </c>
      <c r="P120" s="14">
        <f t="shared" si="87"/>
        <v>1.856866851063998E-12</v>
      </c>
      <c r="Q120" s="22">
        <f t="shared" si="107"/>
        <v>3.4554122145673649E-12</v>
      </c>
      <c r="R120" s="62">
        <f t="shared" si="55"/>
        <v>293.33333333333678</v>
      </c>
      <c r="S120" s="62">
        <f ca="1">AVERAGE(OFFSET($R$3,0,0,'Données projet'!$E$9+1,1))-AVERAGE(OFFSET($H$3,0,0,'Données projet'!$E$9+1,1))</f>
        <v>323.98185264074681</v>
      </c>
      <c r="T120" s="62">
        <f t="shared" si="88"/>
        <v>301.22207291854005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0.79668428360039201</v>
      </c>
      <c r="AA120" s="23">
        <f>EXP(-LN(2)/25)*AA119+(1-EXP(-LN(2)/25))/(LN(2)/25)*Calculateur!V120*Calculateur!X120*VLOOKUP('Données projet'!$B$9,Paramètres!$A$1:$I$89,3,0)*0.475*44/12</f>
        <v>0.7391411626430141</v>
      </c>
      <c r="AB120" s="23">
        <f>EXP(-LN(2)/2)*AB119+(1-EXP(-LN(2)/2))/(LN(2)/2)*V120*Y120*VLOOKUP('Données projet'!$B$9,Paramètres!$A$1:$I$89,3,0)*0.475*44/12</f>
        <v>4.8939111130312684E-13</v>
      </c>
      <c r="AC120" s="24">
        <f t="shared" si="57"/>
        <v>1.5358254462438956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-2.8421709430404007E-13</v>
      </c>
      <c r="AJ120" s="14">
        <f>AI120*VLOOKUP('Données projet'!$B$10,Paramètres!$A$1:$I$89,3,0)*VLOOKUP('Données projet'!$B$10,Paramètres!$A$1:$I$89,5,0)</f>
        <v>-1.69961822393816E-13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289.12367833861299</v>
      </c>
      <c r="AO120" s="62">
        <f t="shared" si="90"/>
        <v>229.06617320689003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3.3335882155075084E-13</v>
      </c>
      <c r="AX120" s="23">
        <f t="shared" si="60"/>
        <v>3.3335882155075084E-13</v>
      </c>
      <c r="AY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3.7</v>
      </c>
      <c r="BD120" s="13">
        <f>IF('Données projet'!$A$88&gt;35,BD119+BC120-BL119,IF(A120&lt;'Données projet'!$A$88,$BA$205^A120,IF(A120='Données projet'!$A$88,'Données projet'!$B$88,BD119+BC120-BL119)))</f>
        <v>291.89999999999952</v>
      </c>
      <c r="BE120" s="14">
        <f>BD120*VLOOKUP('Données projet'!$B$11,Paramètres!$A$1:$I$89,3,0)*VLOOKUP('Données projet'!$B$11,Paramètres!$A$1:$I$89,5,0)</f>
        <v>264.11111999999957</v>
      </c>
      <c r="BF120" s="14">
        <f t="shared" si="91"/>
        <v>63.597900866870546</v>
      </c>
      <c r="BG120" s="22">
        <f t="shared" si="61"/>
        <v>570.75987800979885</v>
      </c>
      <c r="BH120" s="62">
        <f t="shared" si="62"/>
        <v>864.09321134313223</v>
      </c>
      <c r="BI120" s="62">
        <f ca="1">AVERAGE(OFFSET($BH$3,0,0,'Données projet'!$E$11+1,1))-AVERAGE(OFFSET($H$3,0,0,'Données projet'!$E$11+1,1))</f>
        <v>428.8489304403459</v>
      </c>
      <c r="BJ120" s="62">
        <f t="shared" si="92"/>
        <v>247.01165577562966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-1.7053025658242404E-13</v>
      </c>
      <c r="BZ120" s="14">
        <f>BY120*VLOOKUP('Données projet'!$B$12,Paramètres!$A$1:$I$89,3,0)*VLOOKUP('Données projet'!$B$12,Paramètres!$A$1:$I$89,5,0)</f>
        <v>-1.250327841262333E-13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290.85271051443431</v>
      </c>
      <c r="CE120" s="62">
        <f t="shared" si="94"/>
        <v>318.66958823451142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1.1368683772161603E-13</v>
      </c>
      <c r="CU120" s="18">
        <f>CT120*VLOOKUP('Données projet'!$B$13,Paramètres!$A$1:$I$89,3,0)*VLOOKUP('Données projet'!$B$13,Paramètres!$A$1:$I$89,5,0)</f>
        <v>8.8675733422860506E-14</v>
      </c>
      <c r="CV120" s="14">
        <f t="shared" si="95"/>
        <v>1.3509285393066301E-12</v>
      </c>
      <c r="CW120" s="22">
        <f t="shared" si="67"/>
        <v>2.5073107750038623E-12</v>
      </c>
      <c r="CX120" s="62">
        <f t="shared" si="68"/>
        <v>293.33333333333582</v>
      </c>
      <c r="CY120" s="62">
        <f ca="1">AVERAGE(OFFSET($CX$3,0,0,'Données projet'!$E$13+1,1))-AVERAGE(OFFSET($H$3,0,0,'Données projet'!$E$13+1,1))</f>
        <v>292.57482726862594</v>
      </c>
      <c r="CZ120" s="62">
        <f t="shared" si="96"/>
        <v>283.48738729114024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-1.7053025658242404E-13</v>
      </c>
      <c r="DP120" s="18">
        <f>DO120*VLOOKUP('Données projet'!$B$14,Paramètres!$A$1:$I$89,3,0)*VLOOKUP('Données projet'!$B$14,Paramètres!$A$1:$I$89,5,0)</f>
        <v>-1.3567387213697657E-13</v>
      </c>
      <c r="DQ120" s="14" t="e">
        <f t="shared" si="97"/>
        <v>#NUM!</v>
      </c>
      <c r="DR120" s="22" t="e">
        <f t="shared" si="70"/>
        <v>#NUM!</v>
      </c>
      <c r="DS120" s="62" t="e">
        <f t="shared" si="71"/>
        <v>#NUM!</v>
      </c>
      <c r="DT120" s="62">
        <f ca="1">AVERAGE(OFFSET($DS$3,0,0,'Données projet'!$E$14+1,1))-AVERAGE(OFFSET($H$3,0,0,'Données projet'!$E$14+1,1))</f>
        <v>312.53381881960331</v>
      </c>
      <c r="DU120" s="62">
        <f t="shared" si="98"/>
        <v>342.06887933351783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2.884615384615381</v>
      </c>
      <c r="EJ120" s="13">
        <f>IF('Données projet'!$A$192&gt;35,EJ119+EI120-ER119,IF(A120&lt;'Données projet'!$A$192,$EG$205^A120,IF(A120='Données projet'!$A$192,'Données projet'!$B$192,EJ119+EI120-ER119)))</f>
        <v>250.96153846153859</v>
      </c>
      <c r="EK120" s="18">
        <f>EJ120*VLOOKUP('Données projet'!$B$15,Paramètres!$A$1:$I$89,3,0)*VLOOKUP('Données projet'!$B$15,Paramètres!$A$1:$I$89,5,0)</f>
        <v>238.81500000000014</v>
      </c>
      <c r="EL120" s="14">
        <f t="shared" si="99"/>
        <v>58.184498559125089</v>
      </c>
      <c r="EM120" s="22">
        <f t="shared" si="73"/>
        <v>517.27412665714303</v>
      </c>
      <c r="EN120" s="62">
        <f t="shared" si="74"/>
        <v>810.6074599904764</v>
      </c>
      <c r="EO120" s="62">
        <f ca="1">AVERAGE(OFFSET($EN$3,0,0,'Données projet'!$E$15+1,1))-AVERAGE(OFFSET($H$3,0,0,'Données projet'!$E$15+1,1))</f>
        <v>363.37916970915211</v>
      </c>
      <c r="EP120" s="62">
        <f t="shared" si="100"/>
        <v>281.52963027844595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-6.2527760746888816E-13</v>
      </c>
      <c r="FF120" s="18">
        <f>FE120*VLOOKUP('Données projet'!$B$16,Paramètres!$A$1:$I$89,3,0)*VLOOKUP('Données projet'!$B$16,Paramètres!$A$1:$I$89,5,0)</f>
        <v>-2.9262992029543964E-13</v>
      </c>
      <c r="FG120" s="14" t="e">
        <f t="shared" si="101"/>
        <v>#NUM!</v>
      </c>
      <c r="FH120" s="22" t="e">
        <f t="shared" si="76"/>
        <v>#NUM!</v>
      </c>
      <c r="FI120" s="62" t="e">
        <f t="shared" si="77"/>
        <v>#NUM!</v>
      </c>
      <c r="FJ120" s="62">
        <f ca="1">AVERAGE(OFFSET($FI$3,0,0,'Données projet'!$E$16+1,1))-AVERAGE(OFFSET($H$3,0,0,'Données projet'!$E$16+1,1))</f>
        <v>245.47494516762282</v>
      </c>
      <c r="FK120" s="62">
        <f t="shared" si="102"/>
        <v>145.54897745089966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3.7</v>
      </c>
      <c r="FZ120" s="13">
        <f>IF('Données projet'!$A$244&gt;35,FZ119+FY120-GH119,IF(A120&lt;'Données projet'!$A$244,$FW$205^A120,IF(A120='Données projet'!$A$244,'Données projet'!$B$244,FZ119+FY120-GH119)))</f>
        <v>291.89999999999952</v>
      </c>
      <c r="GA120" s="18">
        <f>FZ120*VLOOKUP('Données projet'!$B$17,Paramètres!$A$1:$I$89,3,0)*VLOOKUP('Données projet'!$B$17,Paramètres!$A$1:$I$89,5,0)</f>
        <v>282.32567999999952</v>
      </c>
      <c r="GB120" s="14">
        <f t="shared" si="103"/>
        <v>67.458255064229917</v>
      </c>
      <c r="GC120" s="22">
        <f t="shared" si="79"/>
        <v>609.20702023686624</v>
      </c>
      <c r="GD120" s="62">
        <f t="shared" si="80"/>
        <v>902.54035357019961</v>
      </c>
      <c r="GE120" s="62">
        <f ca="1">AVERAGE(OFFSET($GD$3,0,0,'Données projet'!$E$17+1,1))-AVERAGE(OFFSET($H$3,0,0,'Données projet'!$E$17+1,1))</f>
        <v>455.50822833641354</v>
      </c>
      <c r="GF120" s="62">
        <f t="shared" si="104"/>
        <v>261.14722581688039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1.7053025658242404E-13</v>
      </c>
      <c r="GV120" s="18">
        <f>GU120*VLOOKUP('Données projet'!$B$18,Paramètres!$A$1:$I$89,3,0)*VLOOKUP('Données projet'!$B$18,Paramètres!$A$1:$I$89,5,0)</f>
        <v>1.1439169611549005E-13</v>
      </c>
      <c r="GW120" s="14">
        <f t="shared" si="105"/>
        <v>1.6918016515029816E-12</v>
      </c>
      <c r="GX120" s="22">
        <f t="shared" si="82"/>
        <v>3.1457867471021712E-12</v>
      </c>
      <c r="GY120" s="62">
        <f t="shared" si="83"/>
        <v>293.33333333333644</v>
      </c>
      <c r="GZ120" s="62">
        <f ca="1">AVERAGE(OFFSET($GY$3,0,0,'Données projet'!$E$18+1,1))-AVERAGE(OFFSET($H$3,0,0,'Données projet'!$E$18+1,1))</f>
        <v>312.06797204903796</v>
      </c>
      <c r="HA120" s="62">
        <f t="shared" si="106"/>
        <v>258.20189001775151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projet'!$B$18,Paramètres!$A$1:$I$89,3,0)*0.475*44/12</f>
        <v>0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84"/>
        <v>0</v>
      </c>
    </row>
    <row r="121" spans="1:218" s="5" customFormat="1" x14ac:dyDescent="0.25">
      <c r="A121" s="11">
        <f t="shared" si="85"/>
        <v>118</v>
      </c>
      <c r="B121" s="76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9">
        <f t="shared" si="56"/>
        <v>256.66666666666669</v>
      </c>
      <c r="I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2.2737367544323206E-13</v>
      </c>
      <c r="O121" s="14">
        <f>N121*VLOOKUP('Données projet'!$B$9,Paramètres!$A$1:$I$89,3,0)*VLOOKUP('Données projet'!$B$9,Paramètres!$A$1:$I$89,5,0)</f>
        <v>1.2710188457276673E-13</v>
      </c>
      <c r="P121" s="14">
        <f t="shared" si="87"/>
        <v>1.856866851063998E-12</v>
      </c>
      <c r="Q121" s="22">
        <f t="shared" si="107"/>
        <v>3.4554122145673649E-12</v>
      </c>
      <c r="R121" s="62">
        <f t="shared" si="55"/>
        <v>293.33333333333678</v>
      </c>
      <c r="S121" s="62">
        <f ca="1">AVERAGE(OFFSET($R$3,0,0,'Données projet'!$E$9+1,1))-AVERAGE(OFFSET($H$3,0,0,'Données projet'!$E$9+1,1))</f>
        <v>323.98185264074681</v>
      </c>
      <c r="T121" s="62">
        <f t="shared" si="88"/>
        <v>301.22207291854005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0.78106179072841975</v>
      </c>
      <c r="AA121" s="23">
        <f>EXP(-LN(2)/25)*AA120+(1-EXP(-LN(2)/25))/(LN(2)/25)*Calculateur!V121*Calculateur!X121*VLOOKUP('Données projet'!$B$9,Paramètres!$A$1:$I$89,3,0)*0.475*44/12</f>
        <v>0.71892930868079652</v>
      </c>
      <c r="AB121" s="23">
        <f>EXP(-LN(2)/2)*AB120+(1-EXP(-LN(2)/2))/(LN(2)/2)*V121*Y121*VLOOKUP('Données projet'!$B$9,Paramètres!$A$1:$I$89,3,0)*0.475*44/12</f>
        <v>3.4605177345486144E-13</v>
      </c>
      <c r="AC121" s="24">
        <f t="shared" si="57"/>
        <v>1.4999910994095622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-2.8421709430404007E-13</v>
      </c>
      <c r="AJ121" s="14">
        <f>AI121*VLOOKUP('Données projet'!$B$10,Paramètres!$A$1:$I$89,3,0)*VLOOKUP('Données projet'!$B$10,Paramètres!$A$1:$I$89,5,0)</f>
        <v>-1.69961822393816E-13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289.12367833861299</v>
      </c>
      <c r="AO121" s="62">
        <f t="shared" si="90"/>
        <v>229.06617320689003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2.3572028328689211E-13</v>
      </c>
      <c r="AX121" s="23">
        <f t="shared" si="60"/>
        <v>2.3572028328689211E-13</v>
      </c>
      <c r="AY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3.7</v>
      </c>
      <c r="BD121" s="13">
        <f>IF('Données projet'!$A$88&gt;35,BD120+BC121-BL120,IF(A121&lt;'Données projet'!$A$88,$BA$205^A121,IF(A121='Données projet'!$A$88,'Données projet'!$B$88,BD120+BC121-BL120)))</f>
        <v>295.59999999999951</v>
      </c>
      <c r="BE121" s="14">
        <f>BD121*VLOOKUP('Données projet'!$B$11,Paramètres!$A$1:$I$89,3,0)*VLOOKUP('Données projet'!$B$11,Paramètres!$A$1:$I$89,5,0)</f>
        <v>267.45887999999951</v>
      </c>
      <c r="BF121" s="14">
        <f t="shared" si="91"/>
        <v>64.309683053152327</v>
      </c>
      <c r="BG121" s="22">
        <f t="shared" si="61"/>
        <v>577.8302473175728</v>
      </c>
      <c r="BH121" s="62">
        <f t="shared" si="62"/>
        <v>871.16358065090617</v>
      </c>
      <c r="BI121" s="62">
        <f ca="1">AVERAGE(OFFSET($BH$3,0,0,'Données projet'!$E$11+1,1))-AVERAGE(OFFSET($H$3,0,0,'Données projet'!$E$11+1,1))</f>
        <v>428.8489304403459</v>
      </c>
      <c r="BJ121" s="62">
        <f t="shared" si="92"/>
        <v>247.01165577562966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-1.7053025658242404E-13</v>
      </c>
      <c r="BZ121" s="14">
        <f>BY121*VLOOKUP('Données projet'!$B$12,Paramètres!$A$1:$I$89,3,0)*VLOOKUP('Données projet'!$B$12,Paramètres!$A$1:$I$89,5,0)</f>
        <v>-1.250327841262333E-13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290.85271051443431</v>
      </c>
      <c r="CE121" s="62">
        <f t="shared" si="94"/>
        <v>318.66958823451142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1.1368683772161603E-13</v>
      </c>
      <c r="CU121" s="18">
        <f>CT121*VLOOKUP('Données projet'!$B$13,Paramètres!$A$1:$I$89,3,0)*VLOOKUP('Données projet'!$B$13,Paramètres!$A$1:$I$89,5,0)</f>
        <v>8.8675733422860506E-14</v>
      </c>
      <c r="CV121" s="14">
        <f t="shared" si="95"/>
        <v>1.3509285393066301E-12</v>
      </c>
      <c r="CW121" s="22">
        <f t="shared" si="67"/>
        <v>2.5073107750038623E-12</v>
      </c>
      <c r="CX121" s="62">
        <f t="shared" si="68"/>
        <v>293.33333333333582</v>
      </c>
      <c r="CY121" s="62">
        <f ca="1">AVERAGE(OFFSET($CX$3,0,0,'Données projet'!$E$13+1,1))-AVERAGE(OFFSET($H$3,0,0,'Données projet'!$E$13+1,1))</f>
        <v>292.57482726862594</v>
      </c>
      <c r="CZ121" s="62">
        <f t="shared" si="96"/>
        <v>283.48738729114024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-1.7053025658242404E-13</v>
      </c>
      <c r="DP121" s="18">
        <f>DO121*VLOOKUP('Données projet'!$B$14,Paramètres!$A$1:$I$89,3,0)*VLOOKUP('Données projet'!$B$14,Paramètres!$A$1:$I$89,5,0)</f>
        <v>-1.3567387213697657E-13</v>
      </c>
      <c r="DQ121" s="14" t="e">
        <f t="shared" si="97"/>
        <v>#NUM!</v>
      </c>
      <c r="DR121" s="22" t="e">
        <f t="shared" si="70"/>
        <v>#NUM!</v>
      </c>
      <c r="DS121" s="62" t="e">
        <f t="shared" si="71"/>
        <v>#NUM!</v>
      </c>
      <c r="DT121" s="62">
        <f ca="1">AVERAGE(OFFSET($DS$3,0,0,'Données projet'!$E$14+1,1))-AVERAGE(OFFSET($H$3,0,0,'Données projet'!$E$14+1,1))</f>
        <v>312.53381881960331</v>
      </c>
      <c r="DU121" s="62">
        <f t="shared" si="98"/>
        <v>342.06887933351783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2.884615384615381</v>
      </c>
      <c r="EJ121" s="13">
        <f>IF('Données projet'!$A$192&gt;35,EJ120+EI121-ER120,IF(A121&lt;'Données projet'!$A$192,$EG$205^A121,IF(A121='Données projet'!$A$192,'Données projet'!$B$192,EJ120+EI121-ER120)))</f>
        <v>253.84615384615398</v>
      </c>
      <c r="EK121" s="18">
        <f>EJ121*VLOOKUP('Données projet'!$B$15,Paramètres!$A$1:$I$89,3,0)*VLOOKUP('Données projet'!$B$15,Paramètres!$A$1:$I$89,5,0)</f>
        <v>241.56000000000014</v>
      </c>
      <c r="EL121" s="14">
        <f t="shared" si="99"/>
        <v>58.775045414448314</v>
      </c>
      <c r="EM121" s="22">
        <f t="shared" si="73"/>
        <v>523.08353743016437</v>
      </c>
      <c r="EN121" s="62">
        <f t="shared" si="74"/>
        <v>816.41687076349763</v>
      </c>
      <c r="EO121" s="62">
        <f ca="1">AVERAGE(OFFSET($EN$3,0,0,'Données projet'!$E$15+1,1))-AVERAGE(OFFSET($H$3,0,0,'Données projet'!$E$15+1,1))</f>
        <v>363.37916970915211</v>
      </c>
      <c r="EP121" s="62">
        <f t="shared" si="100"/>
        <v>281.52963027844595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-6.2527760746888816E-13</v>
      </c>
      <c r="FF121" s="18">
        <f>FE121*VLOOKUP('Données projet'!$B$16,Paramètres!$A$1:$I$89,3,0)*VLOOKUP('Données projet'!$B$16,Paramètres!$A$1:$I$89,5,0)</f>
        <v>-2.9262992029543964E-13</v>
      </c>
      <c r="FG121" s="14" t="e">
        <f t="shared" si="101"/>
        <v>#NUM!</v>
      </c>
      <c r="FH121" s="22" t="e">
        <f t="shared" si="76"/>
        <v>#NUM!</v>
      </c>
      <c r="FI121" s="62" t="e">
        <f t="shared" si="77"/>
        <v>#NUM!</v>
      </c>
      <c r="FJ121" s="62">
        <f ca="1">AVERAGE(OFFSET($FI$3,0,0,'Données projet'!$E$16+1,1))-AVERAGE(OFFSET($H$3,0,0,'Données projet'!$E$16+1,1))</f>
        <v>245.47494516762282</v>
      </c>
      <c r="FK121" s="62">
        <f t="shared" si="102"/>
        <v>145.54897745089966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3.7</v>
      </c>
      <c r="FZ121" s="13">
        <f>IF('Données projet'!$A$244&gt;35,FZ120+FY121-GH120,IF(A121&lt;'Données projet'!$A$244,$FW$205^A121,IF(A121='Données projet'!$A$244,'Données projet'!$B$244,FZ120+FY121-GH120)))</f>
        <v>295.59999999999951</v>
      </c>
      <c r="GA121" s="18">
        <f>FZ121*VLOOKUP('Données projet'!$B$17,Paramètres!$A$1:$I$89,3,0)*VLOOKUP('Données projet'!$B$17,Paramètres!$A$1:$I$89,5,0)</f>
        <v>285.90431999999953</v>
      </c>
      <c r="GB121" s="14">
        <f t="shared" si="103"/>
        <v>68.213241999614453</v>
      </c>
      <c r="GC121" s="22">
        <f t="shared" si="79"/>
        <v>616.75475381599438</v>
      </c>
      <c r="GD121" s="62">
        <f t="shared" si="80"/>
        <v>910.08808714932775</v>
      </c>
      <c r="GE121" s="62">
        <f ca="1">AVERAGE(OFFSET($GD$3,0,0,'Données projet'!$E$17+1,1))-AVERAGE(OFFSET($H$3,0,0,'Données projet'!$E$17+1,1))</f>
        <v>455.50822833641354</v>
      </c>
      <c r="GF121" s="62">
        <f t="shared" si="104"/>
        <v>261.14722581688039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1.7053025658242404E-13</v>
      </c>
      <c r="GV121" s="18">
        <f>GU121*VLOOKUP('Données projet'!$B$18,Paramètres!$A$1:$I$89,3,0)*VLOOKUP('Données projet'!$B$18,Paramètres!$A$1:$I$89,5,0)</f>
        <v>1.1439169611549005E-13</v>
      </c>
      <c r="GW121" s="14">
        <f t="shared" si="105"/>
        <v>1.6918016515029816E-12</v>
      </c>
      <c r="GX121" s="22">
        <f t="shared" si="82"/>
        <v>3.1457867471021712E-12</v>
      </c>
      <c r="GY121" s="62">
        <f t="shared" si="83"/>
        <v>293.33333333333644</v>
      </c>
      <c r="GZ121" s="62">
        <f ca="1">AVERAGE(OFFSET($GY$3,0,0,'Données projet'!$E$18+1,1))-AVERAGE(OFFSET($H$3,0,0,'Données projet'!$E$18+1,1))</f>
        <v>312.06797204903796</v>
      </c>
      <c r="HA121" s="62">
        <f t="shared" si="106"/>
        <v>258.20189001775151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projet'!$B$18,Paramètres!$A$1:$I$89,3,0)*0.475*44/12</f>
        <v>0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84"/>
        <v>0</v>
      </c>
    </row>
    <row r="122" spans="1:218" s="5" customFormat="1" x14ac:dyDescent="0.25">
      <c r="A122" s="11">
        <f t="shared" si="85"/>
        <v>119</v>
      </c>
      <c r="B122" s="76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9">
        <f t="shared" si="56"/>
        <v>256.66666666666669</v>
      </c>
      <c r="I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2.2737367544323206E-13</v>
      </c>
      <c r="O122" s="14">
        <f>N122*VLOOKUP('Données projet'!$B$9,Paramètres!$A$1:$I$89,3,0)*VLOOKUP('Données projet'!$B$9,Paramètres!$A$1:$I$89,5,0)</f>
        <v>1.2710188457276673E-13</v>
      </c>
      <c r="P122" s="14">
        <f t="shared" si="87"/>
        <v>1.856866851063998E-12</v>
      </c>
      <c r="Q122" s="22">
        <f t="shared" si="107"/>
        <v>3.4554122145673649E-12</v>
      </c>
      <c r="R122" s="62">
        <f t="shared" si="55"/>
        <v>293.33333333333678</v>
      </c>
      <c r="S122" s="62">
        <f ca="1">AVERAGE(OFFSET($R$3,0,0,'Données projet'!$E$9+1,1))-AVERAGE(OFFSET($H$3,0,0,'Données projet'!$E$9+1,1))</f>
        <v>323.98185264074681</v>
      </c>
      <c r="T122" s="62">
        <f t="shared" si="88"/>
        <v>301.22207291854005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0.76574564541288714</v>
      </c>
      <c r="AA122" s="23">
        <f>EXP(-LN(2)/25)*AA121+(1-EXP(-LN(2)/25))/(LN(2)/25)*Calculateur!V122*Calculateur!X122*VLOOKUP('Données projet'!$B$9,Paramètres!$A$1:$I$89,3,0)*0.475*44/12</f>
        <v>0.69927014892807093</v>
      </c>
      <c r="AB122" s="23">
        <f>EXP(-LN(2)/2)*AB121+(1-EXP(-LN(2)/2))/(LN(2)/2)*V122*Y122*VLOOKUP('Données projet'!$B$9,Paramètres!$A$1:$I$89,3,0)*0.475*44/12</f>
        <v>2.4469555565156342E-13</v>
      </c>
      <c r="AC122" s="24">
        <f t="shared" si="57"/>
        <v>1.4650157943412028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-2.8421709430404007E-13</v>
      </c>
      <c r="AJ122" s="14">
        <f>AI122*VLOOKUP('Données projet'!$B$10,Paramètres!$A$1:$I$89,3,0)*VLOOKUP('Données projet'!$B$10,Paramètres!$A$1:$I$89,5,0)</f>
        <v>-1.69961822393816E-13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289.12367833861299</v>
      </c>
      <c r="AO122" s="62">
        <f t="shared" si="90"/>
        <v>229.06617320689003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1.6667941077537542E-13</v>
      </c>
      <c r="AX122" s="23">
        <f t="shared" si="60"/>
        <v>1.6667941077537542E-13</v>
      </c>
      <c r="AY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3.7</v>
      </c>
      <c r="BD122" s="13">
        <f>IF('Données projet'!$A$88&gt;35,BD121+BC122-BL121,IF(A122&lt;'Données projet'!$A$88,$BA$205^A122,IF(A122='Données projet'!$A$88,'Données projet'!$B$88,BD121+BC122-BL121)))</f>
        <v>299.2999999999995</v>
      </c>
      <c r="BE122" s="14">
        <f>BD122*VLOOKUP('Données projet'!$B$11,Paramètres!$A$1:$I$89,3,0)*VLOOKUP('Données projet'!$B$11,Paramètres!$A$1:$I$89,5,0)</f>
        <v>270.80663999999956</v>
      </c>
      <c r="BF122" s="14">
        <f t="shared" si="91"/>
        <v>65.020428921429911</v>
      </c>
      <c r="BG122" s="22">
        <f t="shared" si="61"/>
        <v>584.89881170482306</v>
      </c>
      <c r="BH122" s="62">
        <f t="shared" si="62"/>
        <v>878.23214503815643</v>
      </c>
      <c r="BI122" s="62">
        <f ca="1">AVERAGE(OFFSET($BH$3,0,0,'Données projet'!$E$11+1,1))-AVERAGE(OFFSET($H$3,0,0,'Données projet'!$E$11+1,1))</f>
        <v>428.8489304403459</v>
      </c>
      <c r="BJ122" s="62">
        <f t="shared" si="92"/>
        <v>247.01165577562966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-1.7053025658242404E-13</v>
      </c>
      <c r="BZ122" s="14">
        <f>BY122*VLOOKUP('Données projet'!$B$12,Paramètres!$A$1:$I$89,3,0)*VLOOKUP('Données projet'!$B$12,Paramètres!$A$1:$I$89,5,0)</f>
        <v>-1.250327841262333E-13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290.85271051443431</v>
      </c>
      <c r="CE122" s="62">
        <f t="shared" si="94"/>
        <v>318.66958823451142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1.1368683772161603E-13</v>
      </c>
      <c r="CU122" s="18">
        <f>CT122*VLOOKUP('Données projet'!$B$13,Paramètres!$A$1:$I$89,3,0)*VLOOKUP('Données projet'!$B$13,Paramètres!$A$1:$I$89,5,0)</f>
        <v>8.8675733422860506E-14</v>
      </c>
      <c r="CV122" s="14">
        <f t="shared" si="95"/>
        <v>1.3509285393066301E-12</v>
      </c>
      <c r="CW122" s="22">
        <f t="shared" si="67"/>
        <v>2.5073107750038623E-12</v>
      </c>
      <c r="CX122" s="62">
        <f t="shared" si="68"/>
        <v>293.33333333333582</v>
      </c>
      <c r="CY122" s="62">
        <f ca="1">AVERAGE(OFFSET($CX$3,0,0,'Données projet'!$E$13+1,1))-AVERAGE(OFFSET($H$3,0,0,'Données projet'!$E$13+1,1))</f>
        <v>292.57482726862594</v>
      </c>
      <c r="CZ122" s="62">
        <f t="shared" si="96"/>
        <v>283.48738729114024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-1.7053025658242404E-13</v>
      </c>
      <c r="DP122" s="18">
        <f>DO122*VLOOKUP('Données projet'!$B$14,Paramètres!$A$1:$I$89,3,0)*VLOOKUP('Données projet'!$B$14,Paramètres!$A$1:$I$89,5,0)</f>
        <v>-1.3567387213697657E-13</v>
      </c>
      <c r="DQ122" s="14" t="e">
        <f t="shared" si="97"/>
        <v>#NUM!</v>
      </c>
      <c r="DR122" s="22" t="e">
        <f t="shared" si="70"/>
        <v>#NUM!</v>
      </c>
      <c r="DS122" s="62" t="e">
        <f t="shared" si="71"/>
        <v>#NUM!</v>
      </c>
      <c r="DT122" s="62">
        <f ca="1">AVERAGE(OFFSET($DS$3,0,0,'Données projet'!$E$14+1,1))-AVERAGE(OFFSET($H$3,0,0,'Données projet'!$E$14+1,1))</f>
        <v>312.53381881960331</v>
      </c>
      <c r="DU122" s="62">
        <f t="shared" si="98"/>
        <v>342.06887933351783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2.884615384615381</v>
      </c>
      <c r="EJ122" s="13">
        <f>IF('Données projet'!$A$192&gt;35,EJ121+EI122-ER121,IF(A122&lt;'Données projet'!$A$192,$EG$205^A122,IF(A122='Données projet'!$A$192,'Données projet'!$B$192,EJ121+EI122-ER121)))</f>
        <v>256.73076923076934</v>
      </c>
      <c r="EK122" s="18">
        <f>EJ122*VLOOKUP('Données projet'!$B$15,Paramètres!$A$1:$I$89,3,0)*VLOOKUP('Données projet'!$B$15,Paramètres!$A$1:$I$89,5,0)</f>
        <v>244.30500000000009</v>
      </c>
      <c r="EL122" s="14">
        <f t="shared" si="99"/>
        <v>59.364811635957629</v>
      </c>
      <c r="EM122" s="22">
        <f t="shared" si="73"/>
        <v>528.89158859929296</v>
      </c>
      <c r="EN122" s="62">
        <f t="shared" si="74"/>
        <v>822.22492193262633</v>
      </c>
      <c r="EO122" s="62">
        <f ca="1">AVERAGE(OFFSET($EN$3,0,0,'Données projet'!$E$15+1,1))-AVERAGE(OFFSET($H$3,0,0,'Données projet'!$E$15+1,1))</f>
        <v>363.37916970915211</v>
      </c>
      <c r="EP122" s="62">
        <f t="shared" si="100"/>
        <v>281.52963027844595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-6.2527760746888816E-13</v>
      </c>
      <c r="FF122" s="18">
        <f>FE122*VLOOKUP('Données projet'!$B$16,Paramètres!$A$1:$I$89,3,0)*VLOOKUP('Données projet'!$B$16,Paramètres!$A$1:$I$89,5,0)</f>
        <v>-2.9262992029543964E-13</v>
      </c>
      <c r="FG122" s="14" t="e">
        <f t="shared" si="101"/>
        <v>#NUM!</v>
      </c>
      <c r="FH122" s="22" t="e">
        <f t="shared" si="76"/>
        <v>#NUM!</v>
      </c>
      <c r="FI122" s="62" t="e">
        <f t="shared" si="77"/>
        <v>#NUM!</v>
      </c>
      <c r="FJ122" s="62">
        <f ca="1">AVERAGE(OFFSET($FI$3,0,0,'Données projet'!$E$16+1,1))-AVERAGE(OFFSET($H$3,0,0,'Données projet'!$E$16+1,1))</f>
        <v>245.47494516762282</v>
      </c>
      <c r="FK122" s="62">
        <f t="shared" si="102"/>
        <v>145.54897745089966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3.7</v>
      </c>
      <c r="FZ122" s="13">
        <f>IF('Données projet'!$A$244&gt;35,FZ121+FY122-GH121,IF(A122&lt;'Données projet'!$A$244,$FW$205^A122,IF(A122='Données projet'!$A$244,'Données projet'!$B$244,FZ121+FY122-GH121)))</f>
        <v>299.2999999999995</v>
      </c>
      <c r="GA122" s="18">
        <f>FZ122*VLOOKUP('Données projet'!$B$17,Paramètres!$A$1:$I$89,3,0)*VLOOKUP('Données projet'!$B$17,Paramètres!$A$1:$I$89,5,0)</f>
        <v>289.48295999999954</v>
      </c>
      <c r="GB122" s="14">
        <f t="shared" si="103"/>
        <v>68.967129713117401</v>
      </c>
      <c r="GC122" s="22">
        <f t="shared" si="79"/>
        <v>624.300572917012</v>
      </c>
      <c r="GD122" s="62">
        <f t="shared" si="80"/>
        <v>917.63390625034526</v>
      </c>
      <c r="GE122" s="62">
        <f ca="1">AVERAGE(OFFSET($GD$3,0,0,'Données projet'!$E$17+1,1))-AVERAGE(OFFSET($H$3,0,0,'Données projet'!$E$17+1,1))</f>
        <v>455.50822833641354</v>
      </c>
      <c r="GF122" s="62">
        <f t="shared" si="104"/>
        <v>261.14722581688039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1.7053025658242404E-13</v>
      </c>
      <c r="GV122" s="18">
        <f>GU122*VLOOKUP('Données projet'!$B$18,Paramètres!$A$1:$I$89,3,0)*VLOOKUP('Données projet'!$B$18,Paramètres!$A$1:$I$89,5,0)</f>
        <v>1.1439169611549005E-13</v>
      </c>
      <c r="GW122" s="14">
        <f t="shared" si="105"/>
        <v>1.6918016515029816E-12</v>
      </c>
      <c r="GX122" s="22">
        <f t="shared" si="82"/>
        <v>3.1457867471021712E-12</v>
      </c>
      <c r="GY122" s="62">
        <f t="shared" si="83"/>
        <v>293.33333333333644</v>
      </c>
      <c r="GZ122" s="62">
        <f ca="1">AVERAGE(OFFSET($GY$3,0,0,'Données projet'!$E$18+1,1))-AVERAGE(OFFSET($H$3,0,0,'Données projet'!$E$18+1,1))</f>
        <v>312.06797204903796</v>
      </c>
      <c r="HA122" s="62">
        <f t="shared" si="106"/>
        <v>258.20189001775151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projet'!$B$18,Paramètres!$A$1:$I$89,3,0)*0.475*44/12</f>
        <v>0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84"/>
        <v>0</v>
      </c>
    </row>
    <row r="123" spans="1:218" s="5" customFormat="1" x14ac:dyDescent="0.25">
      <c r="A123" s="11">
        <f t="shared" si="85"/>
        <v>120</v>
      </c>
      <c r="B123" s="76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9">
        <f t="shared" si="56"/>
        <v>256.66666666666669</v>
      </c>
      <c r="I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2.2737367544323206E-13</v>
      </c>
      <c r="O123" s="14">
        <f>N123*VLOOKUP('Données projet'!$B$9,Paramètres!$A$1:$I$89,3,0)*VLOOKUP('Données projet'!$B$9,Paramètres!$A$1:$I$89,5,0)</f>
        <v>1.2710188457276673E-13</v>
      </c>
      <c r="P123" s="14">
        <f t="shared" si="87"/>
        <v>1.856866851063998E-12</v>
      </c>
      <c r="Q123" s="22">
        <f t="shared" si="107"/>
        <v>3.4554122145673649E-12</v>
      </c>
      <c r="R123" s="62">
        <f t="shared" si="55"/>
        <v>293.33333333333678</v>
      </c>
      <c r="S123" s="62">
        <f ca="1">AVERAGE(OFFSET($R$3,0,0,'Données projet'!$E$9+1,1))-AVERAGE(OFFSET($H$3,0,0,'Données projet'!$E$9+1,1))</f>
        <v>323.98185264074681</v>
      </c>
      <c r="T123" s="62">
        <f t="shared" si="88"/>
        <v>301.22207291854005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0.75072984036506596</v>
      </c>
      <c r="AA123" s="23">
        <f>EXP(-LN(2)/25)*AA122+(1-EXP(-LN(2)/25))/(LN(2)/25)*Calculateur!V123*Calculateur!X123*VLOOKUP('Données projet'!$B$9,Paramètres!$A$1:$I$89,3,0)*0.475*44/12</f>
        <v>0.68014856993261386</v>
      </c>
      <c r="AB123" s="23">
        <f>EXP(-LN(2)/2)*AB122+(1-EXP(-LN(2)/2))/(LN(2)/2)*V123*Y123*VLOOKUP('Données projet'!$B$9,Paramètres!$A$1:$I$89,3,0)*0.475*44/12</f>
        <v>1.7302588672743072E-13</v>
      </c>
      <c r="AC123" s="24">
        <f t="shared" si="57"/>
        <v>1.4308784102978527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-2.8421709430404007E-13</v>
      </c>
      <c r="AJ123" s="14">
        <f>AI123*VLOOKUP('Données projet'!$B$10,Paramètres!$A$1:$I$89,3,0)*VLOOKUP('Données projet'!$B$10,Paramètres!$A$1:$I$89,5,0)</f>
        <v>-1.69961822393816E-13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289.12367833861299</v>
      </c>
      <c r="AO123" s="62">
        <f t="shared" si="90"/>
        <v>229.06617320689003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1.1786014164344606E-13</v>
      </c>
      <c r="AX123" s="23">
        <f t="shared" si="60"/>
        <v>1.1786014164344606E-13</v>
      </c>
      <c r="AY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303</v>
      </c>
      <c r="BB123" s="13">
        <f>VLOOKUP(A123,'Données projet'!$A$87:$I$107,9,0)</f>
        <v>3.7</v>
      </c>
      <c r="BC123" s="13">
        <f t="array" ref="BC123">INDEX(BB:BB,MIN(IF(ISNUMBER(BB123:BB319),ROW(BB123:BB319),"")))</f>
        <v>3.7</v>
      </c>
      <c r="BD123" s="13">
        <f>IF('Données projet'!$A$88&gt;35,BD122+BC123-BL122,IF(A123&lt;'Données projet'!$A$88,$BA$205^A123,IF(A123='Données projet'!$A$88,'Données projet'!$B$88,BD122+BC123-BL122)))</f>
        <v>302.99999999999949</v>
      </c>
      <c r="BE123" s="14">
        <f>BD123*VLOOKUP('Données projet'!$B$11,Paramètres!$A$1:$I$89,3,0)*VLOOKUP('Données projet'!$B$11,Paramètres!$A$1:$I$89,5,0)</f>
        <v>274.15439999999955</v>
      </c>
      <c r="BF123" s="14">
        <f t="shared" si="91"/>
        <v>65.730152764515779</v>
      </c>
      <c r="BG123" s="22">
        <f t="shared" si="61"/>
        <v>591.96559606486414</v>
      </c>
      <c r="BH123" s="62">
        <f t="shared" si="62"/>
        <v>885.29892939819752</v>
      </c>
      <c r="BI123" s="62">
        <f ca="1">AVERAGE(OFFSET($BH$3,0,0,'Données projet'!$E$11+1,1))-AVERAGE(OFFSET($H$3,0,0,'Données projet'!$E$11+1,1))</f>
        <v>428.8489304403459</v>
      </c>
      <c r="BJ123" s="62">
        <f t="shared" si="92"/>
        <v>247.01165577562966</v>
      </c>
      <c r="BK123" s="16">
        <f>IF(ISNA(VLOOKUP(A123,'Données projet'!$A$87:$I$107,3,0)),0,VLOOKUP(A123,'Données projet'!$A$87:$I$107,3,0))</f>
        <v>10</v>
      </c>
      <c r="BL123" s="16">
        <f>IF(ISNA(VLOOKUP(A123,'Données projet'!$A$87:$I$107,4,0)),0,VLOOKUP(A123,'Données projet'!$A$87:$I$107,4,0))</f>
        <v>35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-1.7053025658242404E-13</v>
      </c>
      <c r="BZ123" s="14">
        <f>BY123*VLOOKUP('Données projet'!$B$12,Paramètres!$A$1:$I$89,3,0)*VLOOKUP('Données projet'!$B$12,Paramètres!$A$1:$I$89,5,0)</f>
        <v>-1.250327841262333E-13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290.85271051443431</v>
      </c>
      <c r="CE123" s="62">
        <f t="shared" si="94"/>
        <v>318.66958823451142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1.1368683772161603E-13</v>
      </c>
      <c r="CU123" s="18">
        <f>CT123*VLOOKUP('Données projet'!$B$13,Paramètres!$A$1:$I$89,3,0)*VLOOKUP('Données projet'!$B$13,Paramètres!$A$1:$I$89,5,0)</f>
        <v>8.8675733422860506E-14</v>
      </c>
      <c r="CV123" s="14">
        <f t="shared" si="95"/>
        <v>1.3509285393066301E-12</v>
      </c>
      <c r="CW123" s="22">
        <f t="shared" si="67"/>
        <v>2.5073107750038623E-12</v>
      </c>
      <c r="CX123" s="62">
        <f t="shared" si="68"/>
        <v>293.33333333333582</v>
      </c>
      <c r="CY123" s="62">
        <f ca="1">AVERAGE(OFFSET($CX$3,0,0,'Données projet'!$E$13+1,1))-AVERAGE(OFFSET($H$3,0,0,'Données projet'!$E$13+1,1))</f>
        <v>292.57482726862594</v>
      </c>
      <c r="CZ123" s="62">
        <f t="shared" si="96"/>
        <v>283.48738729114024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-1.7053025658242404E-13</v>
      </c>
      <c r="DP123" s="18">
        <f>DO123*VLOOKUP('Données projet'!$B$14,Paramètres!$A$1:$I$89,3,0)*VLOOKUP('Données projet'!$B$14,Paramètres!$A$1:$I$89,5,0)</f>
        <v>-1.3567387213697657E-13</v>
      </c>
      <c r="DQ123" s="14" t="e">
        <f t="shared" si="97"/>
        <v>#NUM!</v>
      </c>
      <c r="DR123" s="22" t="e">
        <f t="shared" si="70"/>
        <v>#NUM!</v>
      </c>
      <c r="DS123" s="62" t="e">
        <f t="shared" si="71"/>
        <v>#NUM!</v>
      </c>
      <c r="DT123" s="62">
        <f ca="1">AVERAGE(OFFSET($DS$3,0,0,'Données projet'!$E$14+1,1))-AVERAGE(OFFSET($H$3,0,0,'Données projet'!$E$14+1,1))</f>
        <v>312.53381881960331</v>
      </c>
      <c r="DU123" s="62">
        <f t="shared" si="98"/>
        <v>342.06887933351783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projet'!$A$191:$I$211,2,0)</f>
        <v>259.61538461538458</v>
      </c>
      <c r="EH123" s="13">
        <f>VLOOKUP(A123,'Données projet'!$A$191:$I$211,9,0)</f>
        <v>2.884615384615381</v>
      </c>
      <c r="EI123" s="13">
        <f t="array" ref="EI123">INDEX(EH:EH,MIN(IF(ISNUMBER(EH123:EH319),ROW(EH123:EH319),"")))</f>
        <v>2.884615384615381</v>
      </c>
      <c r="EJ123" s="13">
        <f>IF('Données projet'!$A$192&gt;35,EJ122+EI123-ER122,IF(A123&lt;'Données projet'!$A$192,$EG$205^A123,IF(A123='Données projet'!$A$192,'Données projet'!$B$192,EJ122+EI123-ER122)))</f>
        <v>259.6153846153847</v>
      </c>
      <c r="EK123" s="18">
        <f>EJ123*VLOOKUP('Données projet'!$B$15,Paramètres!$A$1:$I$89,3,0)*VLOOKUP('Données projet'!$B$15,Paramètres!$A$1:$I$89,5,0)</f>
        <v>247.0500000000001</v>
      </c>
      <c r="EL123" s="14">
        <f t="shared" si="99"/>
        <v>59.953807009796499</v>
      </c>
      <c r="EM123" s="22">
        <f t="shared" si="73"/>
        <v>534.69829720872906</v>
      </c>
      <c r="EN123" s="62">
        <f t="shared" si="74"/>
        <v>828.03163054206243</v>
      </c>
      <c r="EO123" s="62">
        <f ca="1">AVERAGE(OFFSET($EN$3,0,0,'Données projet'!$E$15+1,1))-AVERAGE(OFFSET($H$3,0,0,'Données projet'!$E$15+1,1))</f>
        <v>363.37916970915211</v>
      </c>
      <c r="EP123" s="62">
        <f t="shared" si="100"/>
        <v>281.52963027844595</v>
      </c>
      <c r="EQ123" s="16">
        <f>IF(ISNA(VLOOKUP(A123,'Données projet'!$A$191:$I$211,3,0)),0,VLOOKUP(A123,'Données projet'!$A$191:$I$211,3,0))</f>
        <v>10</v>
      </c>
      <c r="ER123" s="16">
        <f>IF(ISNA(VLOOKUP(A123,'Données projet'!$A$191:$I$211,4,0)),0,VLOOKUP(A123,'Données projet'!$A$191:$I$211,4,0))</f>
        <v>259.61538461538458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-6.2527760746888816E-13</v>
      </c>
      <c r="FF123" s="18">
        <f>FE123*VLOOKUP('Données projet'!$B$16,Paramètres!$A$1:$I$89,3,0)*VLOOKUP('Données projet'!$B$16,Paramètres!$A$1:$I$89,5,0)</f>
        <v>-2.9262992029543964E-13</v>
      </c>
      <c r="FG123" s="14" t="e">
        <f t="shared" si="101"/>
        <v>#NUM!</v>
      </c>
      <c r="FH123" s="22" t="e">
        <f t="shared" si="76"/>
        <v>#NUM!</v>
      </c>
      <c r="FI123" s="62" t="e">
        <f t="shared" si="77"/>
        <v>#NUM!</v>
      </c>
      <c r="FJ123" s="62">
        <f ca="1">AVERAGE(OFFSET($FI$3,0,0,'Données projet'!$E$16+1,1))-AVERAGE(OFFSET($H$3,0,0,'Données projet'!$E$16+1,1))</f>
        <v>245.47494516762282</v>
      </c>
      <c r="FK123" s="62">
        <f t="shared" si="102"/>
        <v>145.54897745089966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>
        <f>VLOOKUP(A123,'Données projet'!$A$243:$I$263,2,0)</f>
        <v>303</v>
      </c>
      <c r="FX123" s="13">
        <f>VLOOKUP(A123,'Données projet'!$A$243:$I$263,9,0)</f>
        <v>3.7</v>
      </c>
      <c r="FY123" s="13">
        <f t="array" ref="FY123">INDEX(FX:FX,MIN(IF(ISNUMBER(FX123:FX319),ROW(FX123:FX319),"")))</f>
        <v>3.7</v>
      </c>
      <c r="FZ123" s="13">
        <f>IF('Données projet'!$A$244&gt;35,FZ122+FY123-GH122,IF(A123&lt;'Données projet'!$A$244,$FW$205^A123,IF(A123='Données projet'!$A$244,'Données projet'!$B$244,FZ122+FY123-GH122)))</f>
        <v>302.99999999999949</v>
      </c>
      <c r="GA123" s="18">
        <f>FZ123*VLOOKUP('Données projet'!$B$17,Paramètres!$A$1:$I$89,3,0)*VLOOKUP('Données projet'!$B$17,Paramètres!$A$1:$I$89,5,0)</f>
        <v>293.06159999999949</v>
      </c>
      <c r="GB123" s="14">
        <f t="shared" si="103"/>
        <v>69.719933365116432</v>
      </c>
      <c r="GC123" s="22">
        <f t="shared" si="79"/>
        <v>631.84450394424357</v>
      </c>
      <c r="GD123" s="62">
        <f t="shared" si="80"/>
        <v>925.17783727757683</v>
      </c>
      <c r="GE123" s="62">
        <f ca="1">AVERAGE(OFFSET($GD$3,0,0,'Données projet'!$E$17+1,1))-AVERAGE(OFFSET($H$3,0,0,'Données projet'!$E$17+1,1))</f>
        <v>455.50822833641354</v>
      </c>
      <c r="GF123" s="62">
        <f t="shared" si="104"/>
        <v>261.14722581688039</v>
      </c>
      <c r="GG123" s="16">
        <f>IF(ISNA(VLOOKUP(A123,'Données projet'!$A$243:$I$263,3,0)),0,VLOOKUP(A123,'Données projet'!$A$243:$I$263,3,0))</f>
        <v>10</v>
      </c>
      <c r="GH123" s="16">
        <f>IF(ISNA(VLOOKUP(A123,'Données projet'!$A$243:$I$263,4,0)),0,VLOOKUP(A123,'Données projet'!$A$243:$I$263,4,0))</f>
        <v>35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1.7053025658242404E-13</v>
      </c>
      <c r="GV123" s="18">
        <f>GU123*VLOOKUP('Données projet'!$B$18,Paramètres!$A$1:$I$89,3,0)*VLOOKUP('Données projet'!$B$18,Paramètres!$A$1:$I$89,5,0)</f>
        <v>1.1439169611549005E-13</v>
      </c>
      <c r="GW123" s="14">
        <f t="shared" si="105"/>
        <v>1.6918016515029816E-12</v>
      </c>
      <c r="GX123" s="22">
        <f t="shared" si="82"/>
        <v>3.1457867471021712E-12</v>
      </c>
      <c r="GY123" s="62">
        <f t="shared" si="83"/>
        <v>293.33333333333644</v>
      </c>
      <c r="GZ123" s="62">
        <f ca="1">AVERAGE(OFFSET($GY$3,0,0,'Données projet'!$E$18+1,1))-AVERAGE(OFFSET($H$3,0,0,'Données projet'!$E$18+1,1))</f>
        <v>312.06797204903796</v>
      </c>
      <c r="HA123" s="62">
        <f t="shared" si="106"/>
        <v>258.20189001775151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projet'!$B$18,Paramètres!$A$1:$I$89,3,0)*0.475*44/12</f>
        <v>0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84"/>
        <v>0</v>
      </c>
    </row>
    <row r="124" spans="1:218" s="5" customFormat="1" x14ac:dyDescent="0.25">
      <c r="A124" s="11">
        <f t="shared" si="85"/>
        <v>121</v>
      </c>
      <c r="B124" s="76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9">
        <f t="shared" si="56"/>
        <v>256.66666666666669</v>
      </c>
      <c r="I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2.2737367544323206E-13</v>
      </c>
      <c r="O124" s="14">
        <f>N124*VLOOKUP('Données projet'!$B$9,Paramètres!$A$1:$I$89,3,0)*VLOOKUP('Données projet'!$B$9,Paramètres!$A$1:$I$89,5,0)</f>
        <v>1.2710188457276673E-13</v>
      </c>
      <c r="P124" s="14">
        <f t="shared" si="87"/>
        <v>1.856866851063998E-12</v>
      </c>
      <c r="Q124" s="22">
        <f t="shared" si="107"/>
        <v>3.4554122145673649E-12</v>
      </c>
      <c r="R124" s="62">
        <f t="shared" si="55"/>
        <v>293.33333333333678</v>
      </c>
      <c r="S124" s="62">
        <f ca="1">AVERAGE(OFFSET($R$3,0,0,'Données projet'!$E$9+1,1))-AVERAGE(OFFSET($H$3,0,0,'Données projet'!$E$9+1,1))</f>
        <v>323.98185264074681</v>
      </c>
      <c r="T124" s="62">
        <f t="shared" si="88"/>
        <v>301.22207291854005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0.73600848609549574</v>
      </c>
      <c r="AA124" s="23">
        <f>EXP(-LN(2)/25)*AA123+(1-EXP(-LN(2)/25))/(LN(2)/25)*Calculateur!V124*Calculateur!X124*VLOOKUP('Données projet'!$B$9,Paramètres!$A$1:$I$89,3,0)*0.475*44/12</f>
        <v>0.66154987152034772</v>
      </c>
      <c r="AB124" s="23">
        <f>EXP(-LN(2)/2)*AB123+(1-EXP(-LN(2)/2))/(LN(2)/2)*V124*Y124*VLOOKUP('Données projet'!$B$9,Paramètres!$A$1:$I$89,3,0)*0.475*44/12</f>
        <v>1.2234777782578171E-13</v>
      </c>
      <c r="AC124" s="24">
        <f t="shared" si="57"/>
        <v>1.3975583576159658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-2.8421709430404007E-13</v>
      </c>
      <c r="AJ124" s="14">
        <f>AI124*VLOOKUP('Données projet'!$B$10,Paramètres!$A$1:$I$89,3,0)*VLOOKUP('Données projet'!$B$10,Paramètres!$A$1:$I$89,5,0)</f>
        <v>-1.69961822393816E-13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289.12367833861299</v>
      </c>
      <c r="AO124" s="62">
        <f t="shared" si="90"/>
        <v>229.06617320689003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8.3339705387687709E-14</v>
      </c>
      <c r="AX124" s="23">
        <f t="shared" si="60"/>
        <v>8.3339705387687709E-14</v>
      </c>
      <c r="AY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3.2</v>
      </c>
      <c r="BD124" s="13">
        <f>IF('Données projet'!$A$88&gt;35,BD123+BC124-BL123,IF(A124&lt;'Données projet'!$A$88,$BA$205^A124,IF(A124='Données projet'!$A$88,'Données projet'!$B$88,BD123+BC124-BL123)))</f>
        <v>271.19999999999948</v>
      </c>
      <c r="BE124" s="14">
        <f>BD124*VLOOKUP('Données projet'!$B$11,Paramètres!$A$1:$I$89,3,0)*VLOOKUP('Données projet'!$B$11,Paramètres!$A$1:$I$89,5,0)</f>
        <v>245.3817599999995</v>
      </c>
      <c r="BF124" s="14">
        <f t="shared" si="91"/>
        <v>59.595943661626663</v>
      </c>
      <c r="BG124" s="22">
        <f t="shared" si="61"/>
        <v>531.16950054399888</v>
      </c>
      <c r="BH124" s="62">
        <f t="shared" si="62"/>
        <v>824.50283387733225</v>
      </c>
      <c r="BI124" s="62">
        <f ca="1">AVERAGE(OFFSET($BH$3,0,0,'Données projet'!$E$11+1,1))-AVERAGE(OFFSET($H$3,0,0,'Données projet'!$E$11+1,1))</f>
        <v>428.8489304403459</v>
      </c>
      <c r="BJ124" s="62">
        <f t="shared" si="92"/>
        <v>247.01165577562966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-1.7053025658242404E-13</v>
      </c>
      <c r="BZ124" s="14">
        <f>BY124*VLOOKUP('Données projet'!$B$12,Paramètres!$A$1:$I$89,3,0)*VLOOKUP('Données projet'!$B$12,Paramètres!$A$1:$I$89,5,0)</f>
        <v>-1.250327841262333E-13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290.85271051443431</v>
      </c>
      <c r="CE124" s="62">
        <f t="shared" si="94"/>
        <v>318.66958823451142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1.1368683772161603E-13</v>
      </c>
      <c r="CU124" s="18">
        <f>CT124*VLOOKUP('Données projet'!$B$13,Paramètres!$A$1:$I$89,3,0)*VLOOKUP('Données projet'!$B$13,Paramètres!$A$1:$I$89,5,0)</f>
        <v>8.8675733422860506E-14</v>
      </c>
      <c r="CV124" s="14">
        <f t="shared" si="95"/>
        <v>1.3509285393066301E-12</v>
      </c>
      <c r="CW124" s="22">
        <f t="shared" si="67"/>
        <v>2.5073107750038623E-12</v>
      </c>
      <c r="CX124" s="62">
        <f t="shared" si="68"/>
        <v>293.33333333333582</v>
      </c>
      <c r="CY124" s="62">
        <f ca="1">AVERAGE(OFFSET($CX$3,0,0,'Données projet'!$E$13+1,1))-AVERAGE(OFFSET($H$3,0,0,'Données projet'!$E$13+1,1))</f>
        <v>292.57482726862594</v>
      </c>
      <c r="CZ124" s="62">
        <f t="shared" si="96"/>
        <v>283.48738729114024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-1.7053025658242404E-13</v>
      </c>
      <c r="DP124" s="18">
        <f>DO124*VLOOKUP('Données projet'!$B$14,Paramètres!$A$1:$I$89,3,0)*VLOOKUP('Données projet'!$B$14,Paramètres!$A$1:$I$89,5,0)</f>
        <v>-1.3567387213697657E-13</v>
      </c>
      <c r="DQ124" s="14" t="e">
        <f t="shared" si="97"/>
        <v>#NUM!</v>
      </c>
      <c r="DR124" s="22" t="e">
        <f t="shared" si="70"/>
        <v>#NUM!</v>
      </c>
      <c r="DS124" s="62" t="e">
        <f t="shared" si="71"/>
        <v>#NUM!</v>
      </c>
      <c r="DT124" s="62">
        <f ca="1">AVERAGE(OFFSET($DS$3,0,0,'Données projet'!$E$14+1,1))-AVERAGE(OFFSET($H$3,0,0,'Données projet'!$E$14+1,1))</f>
        <v>312.53381881960331</v>
      </c>
      <c r="DU124" s="62">
        <f t="shared" si="98"/>
        <v>342.06887933351783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1.1368683772161603E-13</v>
      </c>
      <c r="EK124" s="18">
        <f>EJ124*VLOOKUP('Données projet'!$B$15,Paramètres!$A$1:$I$89,3,0)*VLOOKUP('Données projet'!$B$15,Paramètres!$A$1:$I$89,5,0)</f>
        <v>1.0818439477588981E-13</v>
      </c>
      <c r="EL124" s="14">
        <f t="shared" si="99"/>
        <v>1.6104228458716316E-12</v>
      </c>
      <c r="EM124" s="22">
        <f t="shared" si="73"/>
        <v>2.9932409441277661E-12</v>
      </c>
      <c r="EN124" s="62">
        <f t="shared" si="74"/>
        <v>293.33333333333633</v>
      </c>
      <c r="EO124" s="62">
        <f ca="1">AVERAGE(OFFSET($EN$3,0,0,'Données projet'!$E$15+1,1))-AVERAGE(OFFSET($H$3,0,0,'Données projet'!$E$15+1,1))</f>
        <v>363.37916970915211</v>
      </c>
      <c r="EP124" s="62">
        <f t="shared" si="100"/>
        <v>281.52963027844595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-6.2527760746888816E-13</v>
      </c>
      <c r="FF124" s="18">
        <f>FE124*VLOOKUP('Données projet'!$B$16,Paramètres!$A$1:$I$89,3,0)*VLOOKUP('Données projet'!$B$16,Paramètres!$A$1:$I$89,5,0)</f>
        <v>-2.9262992029543964E-13</v>
      </c>
      <c r="FG124" s="14" t="e">
        <f t="shared" si="101"/>
        <v>#NUM!</v>
      </c>
      <c r="FH124" s="22" t="e">
        <f t="shared" si="76"/>
        <v>#NUM!</v>
      </c>
      <c r="FI124" s="62" t="e">
        <f t="shared" si="77"/>
        <v>#NUM!</v>
      </c>
      <c r="FJ124" s="62">
        <f ca="1">AVERAGE(OFFSET($FI$3,0,0,'Données projet'!$E$16+1,1))-AVERAGE(OFFSET($H$3,0,0,'Données projet'!$E$16+1,1))</f>
        <v>245.47494516762282</v>
      </c>
      <c r="FK124" s="62">
        <f t="shared" si="102"/>
        <v>145.54897745089966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3.2</v>
      </c>
      <c r="FZ124" s="13">
        <f>IF('Données projet'!$A$244&gt;35,FZ123+FY124-GH123,IF(A124&lt;'Données projet'!$A$244,$FW$205^A124,IF(A124='Données projet'!$A$244,'Données projet'!$B$244,FZ123+FY124-GH123)))</f>
        <v>271.19999999999948</v>
      </c>
      <c r="GA124" s="18">
        <f>FZ124*VLOOKUP('Données projet'!$B$17,Paramètres!$A$1:$I$89,3,0)*VLOOKUP('Données projet'!$B$17,Paramètres!$A$1:$I$89,5,0)</f>
        <v>262.30463999999949</v>
      </c>
      <c r="GB124" s="14">
        <f t="shared" si="103"/>
        <v>63.213381472055985</v>
      </c>
      <c r="GC124" s="22">
        <f t="shared" si="79"/>
        <v>566.94388739716328</v>
      </c>
      <c r="GD124" s="62">
        <f t="shared" si="80"/>
        <v>860.27722073049654</v>
      </c>
      <c r="GE124" s="62">
        <f ca="1">AVERAGE(OFFSET($GD$3,0,0,'Données projet'!$E$17+1,1))-AVERAGE(OFFSET($H$3,0,0,'Données projet'!$E$17+1,1))</f>
        <v>455.50822833641354</v>
      </c>
      <c r="GF124" s="62">
        <f t="shared" si="104"/>
        <v>261.14722581688039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1.7053025658242404E-13</v>
      </c>
      <c r="GV124" s="18">
        <f>GU124*VLOOKUP('Données projet'!$B$18,Paramètres!$A$1:$I$89,3,0)*VLOOKUP('Données projet'!$B$18,Paramètres!$A$1:$I$89,5,0)</f>
        <v>1.1439169611549005E-13</v>
      </c>
      <c r="GW124" s="14">
        <f t="shared" si="105"/>
        <v>1.6918016515029816E-12</v>
      </c>
      <c r="GX124" s="22">
        <f t="shared" si="82"/>
        <v>3.1457867471021712E-12</v>
      </c>
      <c r="GY124" s="62">
        <f t="shared" si="83"/>
        <v>293.33333333333644</v>
      </c>
      <c r="GZ124" s="62">
        <f ca="1">AVERAGE(OFFSET($GY$3,0,0,'Données projet'!$E$18+1,1))-AVERAGE(OFFSET($H$3,0,0,'Données projet'!$E$18+1,1))</f>
        <v>312.06797204903796</v>
      </c>
      <c r="HA124" s="62">
        <f t="shared" si="106"/>
        <v>258.20189001775151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projet'!$B$18,Paramètres!$A$1:$I$89,3,0)*0.475*44/12</f>
        <v>0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84"/>
        <v>0</v>
      </c>
    </row>
    <row r="125" spans="1:218" s="5" customFormat="1" x14ac:dyDescent="0.25">
      <c r="A125" s="11">
        <f t="shared" si="85"/>
        <v>122</v>
      </c>
      <c r="B125" s="76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9">
        <f t="shared" si="56"/>
        <v>256.66666666666669</v>
      </c>
      <c r="I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2.2737367544323206E-13</v>
      </c>
      <c r="O125" s="14">
        <f>N125*VLOOKUP('Données projet'!$B$9,Paramètres!$A$1:$I$89,3,0)*VLOOKUP('Données projet'!$B$9,Paramètres!$A$1:$I$89,5,0)</f>
        <v>1.2710188457276673E-13</v>
      </c>
      <c r="P125" s="14">
        <f t="shared" si="87"/>
        <v>1.856866851063998E-12</v>
      </c>
      <c r="Q125" s="22">
        <f t="shared" si="107"/>
        <v>3.4554122145673649E-12</v>
      </c>
      <c r="R125" s="62">
        <f t="shared" si="55"/>
        <v>293.33333333333678</v>
      </c>
      <c r="S125" s="62">
        <f ca="1">AVERAGE(OFFSET($R$3,0,0,'Données projet'!$E$9+1,1))-AVERAGE(OFFSET($H$3,0,0,'Données projet'!$E$9+1,1))</f>
        <v>323.98185264074681</v>
      </c>
      <c r="T125" s="62">
        <f t="shared" si="88"/>
        <v>301.22207291854005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0.72157580860401238</v>
      </c>
      <c r="AA125" s="23">
        <f>EXP(-LN(2)/25)*AA124+(1-EXP(-LN(2)/25))/(LN(2)/25)*Calculateur!V125*Calculateur!X125*VLOOKUP('Données projet'!$B$9,Paramètres!$A$1:$I$89,3,0)*0.475*44/12</f>
        <v>0.64345975549422807</v>
      </c>
      <c r="AB125" s="23">
        <f>EXP(-LN(2)/2)*AB124+(1-EXP(-LN(2)/2))/(LN(2)/2)*V125*Y125*VLOOKUP('Données projet'!$B$9,Paramètres!$A$1:$I$89,3,0)*0.475*44/12</f>
        <v>8.651294336371536E-14</v>
      </c>
      <c r="AC125" s="24">
        <f t="shared" si="57"/>
        <v>1.3650355640983269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-2.8421709430404007E-13</v>
      </c>
      <c r="AJ125" s="14">
        <f>AI125*VLOOKUP('Données projet'!$B$10,Paramètres!$A$1:$I$89,3,0)*VLOOKUP('Données projet'!$B$10,Paramètres!$A$1:$I$89,5,0)</f>
        <v>-1.69961822393816E-13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289.12367833861299</v>
      </c>
      <c r="AO125" s="62">
        <f t="shared" si="90"/>
        <v>229.06617320689003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5.8930070821723028E-14</v>
      </c>
      <c r="AX125" s="23">
        <f t="shared" si="60"/>
        <v>5.8930070821723028E-14</v>
      </c>
      <c r="AY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3.2</v>
      </c>
      <c r="BD125" s="13">
        <f>IF('Données projet'!$A$88&gt;35,BD124+BC125-BL124,IF(A125&lt;'Données projet'!$A$88,$BA$205^A125,IF(A125='Données projet'!$A$88,'Données projet'!$B$88,BD124+BC125-BL124)))</f>
        <v>274.39999999999947</v>
      </c>
      <c r="BE125" s="14">
        <f>BD125*VLOOKUP('Données projet'!$B$11,Paramètres!$A$1:$I$89,3,0)*VLOOKUP('Données projet'!$B$11,Paramètres!$A$1:$I$89,5,0)</f>
        <v>248.27711999999951</v>
      </c>
      <c r="BF125" s="14">
        <f t="shared" si="91"/>
        <v>60.216863677580257</v>
      </c>
      <c r="BG125" s="22">
        <f t="shared" si="61"/>
        <v>537.29368823845141</v>
      </c>
      <c r="BH125" s="62">
        <f t="shared" si="62"/>
        <v>830.62702157178478</v>
      </c>
      <c r="BI125" s="62">
        <f ca="1">AVERAGE(OFFSET($BH$3,0,0,'Données projet'!$E$11+1,1))-AVERAGE(OFFSET($H$3,0,0,'Données projet'!$E$11+1,1))</f>
        <v>428.8489304403459</v>
      </c>
      <c r="BJ125" s="62">
        <f t="shared" si="92"/>
        <v>247.01165577562966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-1.7053025658242404E-13</v>
      </c>
      <c r="BZ125" s="14">
        <f>BY125*VLOOKUP('Données projet'!$B$12,Paramètres!$A$1:$I$89,3,0)*VLOOKUP('Données projet'!$B$12,Paramètres!$A$1:$I$89,5,0)</f>
        <v>-1.250327841262333E-13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290.85271051443431</v>
      </c>
      <c r="CE125" s="62">
        <f t="shared" si="94"/>
        <v>318.66958823451142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1.1368683772161603E-13</v>
      </c>
      <c r="CU125" s="18">
        <f>CT125*VLOOKUP('Données projet'!$B$13,Paramètres!$A$1:$I$89,3,0)*VLOOKUP('Données projet'!$B$13,Paramètres!$A$1:$I$89,5,0)</f>
        <v>8.8675733422860506E-14</v>
      </c>
      <c r="CV125" s="14">
        <f t="shared" si="95"/>
        <v>1.3509285393066301E-12</v>
      </c>
      <c r="CW125" s="22">
        <f t="shared" si="67"/>
        <v>2.5073107750038623E-12</v>
      </c>
      <c r="CX125" s="62">
        <f t="shared" si="68"/>
        <v>293.33333333333582</v>
      </c>
      <c r="CY125" s="62">
        <f ca="1">AVERAGE(OFFSET($CX$3,0,0,'Données projet'!$E$13+1,1))-AVERAGE(OFFSET($H$3,0,0,'Données projet'!$E$13+1,1))</f>
        <v>292.57482726862594</v>
      </c>
      <c r="CZ125" s="62">
        <f t="shared" si="96"/>
        <v>283.48738729114024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-1.7053025658242404E-13</v>
      </c>
      <c r="DP125" s="18">
        <f>DO125*VLOOKUP('Données projet'!$B$14,Paramètres!$A$1:$I$89,3,0)*VLOOKUP('Données projet'!$B$14,Paramètres!$A$1:$I$89,5,0)</f>
        <v>-1.3567387213697657E-13</v>
      </c>
      <c r="DQ125" s="14" t="e">
        <f t="shared" si="97"/>
        <v>#NUM!</v>
      </c>
      <c r="DR125" s="22" t="e">
        <f t="shared" si="70"/>
        <v>#NUM!</v>
      </c>
      <c r="DS125" s="62" t="e">
        <f t="shared" si="71"/>
        <v>#NUM!</v>
      </c>
      <c r="DT125" s="62">
        <f ca="1">AVERAGE(OFFSET($DS$3,0,0,'Données projet'!$E$14+1,1))-AVERAGE(OFFSET($H$3,0,0,'Données projet'!$E$14+1,1))</f>
        <v>312.53381881960331</v>
      </c>
      <c r="DU125" s="62">
        <f t="shared" si="98"/>
        <v>342.06887933351783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1.1368683772161603E-13</v>
      </c>
      <c r="EK125" s="18">
        <f>EJ125*VLOOKUP('Données projet'!$B$15,Paramètres!$A$1:$I$89,3,0)*VLOOKUP('Données projet'!$B$15,Paramètres!$A$1:$I$89,5,0)</f>
        <v>1.0818439477588981E-13</v>
      </c>
      <c r="EL125" s="14">
        <f t="shared" si="99"/>
        <v>1.6104228458716316E-12</v>
      </c>
      <c r="EM125" s="22">
        <f t="shared" si="73"/>
        <v>2.9932409441277661E-12</v>
      </c>
      <c r="EN125" s="62">
        <f t="shared" si="74"/>
        <v>293.33333333333633</v>
      </c>
      <c r="EO125" s="62">
        <f ca="1">AVERAGE(OFFSET($EN$3,0,0,'Données projet'!$E$15+1,1))-AVERAGE(OFFSET($H$3,0,0,'Données projet'!$E$15+1,1))</f>
        <v>363.37916970915211</v>
      </c>
      <c r="EP125" s="62">
        <f t="shared" si="100"/>
        <v>281.52963027844595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-6.2527760746888816E-13</v>
      </c>
      <c r="FF125" s="18">
        <f>FE125*VLOOKUP('Données projet'!$B$16,Paramètres!$A$1:$I$89,3,0)*VLOOKUP('Données projet'!$B$16,Paramètres!$A$1:$I$89,5,0)</f>
        <v>-2.9262992029543964E-13</v>
      </c>
      <c r="FG125" s="14" t="e">
        <f t="shared" si="101"/>
        <v>#NUM!</v>
      </c>
      <c r="FH125" s="22" t="e">
        <f t="shared" si="76"/>
        <v>#NUM!</v>
      </c>
      <c r="FI125" s="62" t="e">
        <f t="shared" si="77"/>
        <v>#NUM!</v>
      </c>
      <c r="FJ125" s="62">
        <f ca="1">AVERAGE(OFFSET($FI$3,0,0,'Données projet'!$E$16+1,1))-AVERAGE(OFFSET($H$3,0,0,'Données projet'!$E$16+1,1))</f>
        <v>245.47494516762282</v>
      </c>
      <c r="FK125" s="62">
        <f t="shared" si="102"/>
        <v>145.54897745089966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3.2</v>
      </c>
      <c r="FZ125" s="13">
        <f>IF('Données projet'!$A$244&gt;35,FZ124+FY125-GH124,IF(A125&lt;'Données projet'!$A$244,$FW$205^A125,IF(A125='Données projet'!$A$244,'Données projet'!$B$244,FZ124+FY125-GH124)))</f>
        <v>274.39999999999947</v>
      </c>
      <c r="GA125" s="18">
        <f>FZ125*VLOOKUP('Données projet'!$B$17,Paramètres!$A$1:$I$89,3,0)*VLOOKUP('Données projet'!$B$17,Paramètres!$A$1:$I$89,5,0)</f>
        <v>265.39967999999948</v>
      </c>
      <c r="GB125" s="14">
        <f t="shared" si="103"/>
        <v>63.87199095821434</v>
      </c>
      <c r="GC125" s="22">
        <f t="shared" si="79"/>
        <v>573.48149358555565</v>
      </c>
      <c r="GD125" s="62">
        <f t="shared" si="80"/>
        <v>866.81482691888891</v>
      </c>
      <c r="GE125" s="62">
        <f ca="1">AVERAGE(OFFSET($GD$3,0,0,'Données projet'!$E$17+1,1))-AVERAGE(OFFSET($H$3,0,0,'Données projet'!$E$17+1,1))</f>
        <v>455.50822833641354</v>
      </c>
      <c r="GF125" s="62">
        <f t="shared" si="104"/>
        <v>261.14722581688039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1.7053025658242404E-13</v>
      </c>
      <c r="GV125" s="18">
        <f>GU125*VLOOKUP('Données projet'!$B$18,Paramètres!$A$1:$I$89,3,0)*VLOOKUP('Données projet'!$B$18,Paramètres!$A$1:$I$89,5,0)</f>
        <v>1.1439169611549005E-13</v>
      </c>
      <c r="GW125" s="14">
        <f t="shared" si="105"/>
        <v>1.6918016515029816E-12</v>
      </c>
      <c r="GX125" s="22">
        <f t="shared" si="82"/>
        <v>3.1457867471021712E-12</v>
      </c>
      <c r="GY125" s="62">
        <f t="shared" si="83"/>
        <v>293.33333333333644</v>
      </c>
      <c r="GZ125" s="62">
        <f ca="1">AVERAGE(OFFSET($GY$3,0,0,'Données projet'!$E$18+1,1))-AVERAGE(OFFSET($H$3,0,0,'Données projet'!$E$18+1,1))</f>
        <v>312.06797204903796</v>
      </c>
      <c r="HA125" s="62">
        <f t="shared" si="106"/>
        <v>258.20189001775151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projet'!$B$18,Paramètres!$A$1:$I$89,3,0)*0.475*44/12</f>
        <v>0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84"/>
        <v>0</v>
      </c>
    </row>
    <row r="126" spans="1:218" s="5" customFormat="1" x14ac:dyDescent="0.25">
      <c r="A126" s="11">
        <f t="shared" si="85"/>
        <v>123</v>
      </c>
      <c r="B126" s="76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9">
        <f t="shared" si="56"/>
        <v>256.66666666666669</v>
      </c>
      <c r="I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2.2737367544323206E-13</v>
      </c>
      <c r="O126" s="14">
        <f>N126*VLOOKUP('Données projet'!$B$9,Paramètres!$A$1:$I$89,3,0)*VLOOKUP('Données projet'!$B$9,Paramètres!$A$1:$I$89,5,0)</f>
        <v>1.2710188457276673E-13</v>
      </c>
      <c r="P126" s="14">
        <f t="shared" si="87"/>
        <v>1.856866851063998E-12</v>
      </c>
      <c r="Q126" s="22">
        <f t="shared" si="107"/>
        <v>3.4554122145673649E-12</v>
      </c>
      <c r="R126" s="62">
        <f t="shared" si="55"/>
        <v>293.33333333333678</v>
      </c>
      <c r="S126" s="62">
        <f ca="1">AVERAGE(OFFSET($R$3,0,0,'Données projet'!$E$9+1,1))-AVERAGE(OFFSET($H$3,0,0,'Données projet'!$E$9+1,1))</f>
        <v>323.98185264074681</v>
      </c>
      <c r="T126" s="62">
        <f t="shared" si="88"/>
        <v>301.22207291854005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0.7074261471150729</v>
      </c>
      <c r="AA126" s="23">
        <f>EXP(-LN(2)/25)*AA125+(1-EXP(-LN(2)/25))/(LN(2)/25)*Calculateur!V126*Calculateur!X126*VLOOKUP('Données projet'!$B$9,Paramètres!$A$1:$I$89,3,0)*0.475*44/12</f>
        <v>0.62586431464216052</v>
      </c>
      <c r="AB126" s="23">
        <f>EXP(-LN(2)/2)*AB125+(1-EXP(-LN(2)/2))/(LN(2)/2)*V126*Y126*VLOOKUP('Données projet'!$B$9,Paramètres!$A$1:$I$89,3,0)*0.475*44/12</f>
        <v>6.1173888912890855E-14</v>
      </c>
      <c r="AC126" s="24">
        <f t="shared" si="57"/>
        <v>1.3332904617572947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-2.8421709430404007E-13</v>
      </c>
      <c r="AJ126" s="14">
        <f>AI126*VLOOKUP('Données projet'!$B$10,Paramètres!$A$1:$I$89,3,0)*VLOOKUP('Données projet'!$B$10,Paramètres!$A$1:$I$89,5,0)</f>
        <v>-1.69961822393816E-13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289.12367833861299</v>
      </c>
      <c r="AO126" s="62">
        <f t="shared" si="90"/>
        <v>229.06617320689003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4.1669852693843854E-14</v>
      </c>
      <c r="AX126" s="23">
        <f t="shared" si="60"/>
        <v>4.1669852693843854E-14</v>
      </c>
      <c r="AY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3.2</v>
      </c>
      <c r="BD126" s="13">
        <f>IF('Données projet'!$A$88&gt;35,BD125+BC126-BL125,IF(A126&lt;'Données projet'!$A$88,$BA$205^A126,IF(A126='Données projet'!$A$88,'Données projet'!$B$88,BD125+BC126-BL125)))</f>
        <v>277.59999999999945</v>
      </c>
      <c r="BE126" s="14">
        <f>BD126*VLOOKUP('Données projet'!$B$11,Paramètres!$A$1:$I$89,3,0)*VLOOKUP('Données projet'!$B$11,Paramètres!$A$1:$I$89,5,0)</f>
        <v>251.1724799999995</v>
      </c>
      <c r="BF126" s="14">
        <f t="shared" si="91"/>
        <v>60.836941386956575</v>
      </c>
      <c r="BG126" s="22">
        <f t="shared" si="61"/>
        <v>543.41640891561519</v>
      </c>
      <c r="BH126" s="62">
        <f t="shared" si="62"/>
        <v>836.74974224894845</v>
      </c>
      <c r="BI126" s="62">
        <f ca="1">AVERAGE(OFFSET($BH$3,0,0,'Données projet'!$E$11+1,1))-AVERAGE(OFFSET($H$3,0,0,'Données projet'!$E$11+1,1))</f>
        <v>428.8489304403459</v>
      </c>
      <c r="BJ126" s="62">
        <f t="shared" si="92"/>
        <v>247.01165577562966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-1.7053025658242404E-13</v>
      </c>
      <c r="BZ126" s="14">
        <f>BY126*VLOOKUP('Données projet'!$B$12,Paramètres!$A$1:$I$89,3,0)*VLOOKUP('Données projet'!$B$12,Paramètres!$A$1:$I$89,5,0)</f>
        <v>-1.250327841262333E-13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290.85271051443431</v>
      </c>
      <c r="CE126" s="62">
        <f t="shared" si="94"/>
        <v>318.66958823451142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1.1368683772161603E-13</v>
      </c>
      <c r="CU126" s="18">
        <f>CT126*VLOOKUP('Données projet'!$B$13,Paramètres!$A$1:$I$89,3,0)*VLOOKUP('Données projet'!$B$13,Paramètres!$A$1:$I$89,5,0)</f>
        <v>8.8675733422860506E-14</v>
      </c>
      <c r="CV126" s="14">
        <f t="shared" si="95"/>
        <v>1.3509285393066301E-12</v>
      </c>
      <c r="CW126" s="22">
        <f t="shared" si="67"/>
        <v>2.5073107750038623E-12</v>
      </c>
      <c r="CX126" s="62">
        <f t="shared" si="68"/>
        <v>293.33333333333582</v>
      </c>
      <c r="CY126" s="62">
        <f ca="1">AVERAGE(OFFSET($CX$3,0,0,'Données projet'!$E$13+1,1))-AVERAGE(OFFSET($H$3,0,0,'Données projet'!$E$13+1,1))</f>
        <v>292.57482726862594</v>
      </c>
      <c r="CZ126" s="62">
        <f t="shared" si="96"/>
        <v>283.48738729114024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-1.7053025658242404E-13</v>
      </c>
      <c r="DP126" s="18">
        <f>DO126*VLOOKUP('Données projet'!$B$14,Paramètres!$A$1:$I$89,3,0)*VLOOKUP('Données projet'!$B$14,Paramètres!$A$1:$I$89,5,0)</f>
        <v>-1.3567387213697657E-13</v>
      </c>
      <c r="DQ126" s="14" t="e">
        <f t="shared" si="97"/>
        <v>#NUM!</v>
      </c>
      <c r="DR126" s="22" t="e">
        <f t="shared" si="70"/>
        <v>#NUM!</v>
      </c>
      <c r="DS126" s="62" t="e">
        <f t="shared" si="71"/>
        <v>#NUM!</v>
      </c>
      <c r="DT126" s="62">
        <f ca="1">AVERAGE(OFFSET($DS$3,0,0,'Données projet'!$E$14+1,1))-AVERAGE(OFFSET($H$3,0,0,'Données projet'!$E$14+1,1))</f>
        <v>312.53381881960331</v>
      </c>
      <c r="DU126" s="62">
        <f t="shared" si="98"/>
        <v>342.06887933351783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1.1368683772161603E-13</v>
      </c>
      <c r="EK126" s="18">
        <f>EJ126*VLOOKUP('Données projet'!$B$15,Paramètres!$A$1:$I$89,3,0)*VLOOKUP('Données projet'!$B$15,Paramètres!$A$1:$I$89,5,0)</f>
        <v>1.0818439477588981E-13</v>
      </c>
      <c r="EL126" s="14">
        <f t="shared" si="99"/>
        <v>1.6104228458716316E-12</v>
      </c>
      <c r="EM126" s="22">
        <f t="shared" si="73"/>
        <v>2.9932409441277661E-12</v>
      </c>
      <c r="EN126" s="62">
        <f t="shared" si="74"/>
        <v>293.33333333333633</v>
      </c>
      <c r="EO126" s="62">
        <f ca="1">AVERAGE(OFFSET($EN$3,0,0,'Données projet'!$E$15+1,1))-AVERAGE(OFFSET($H$3,0,0,'Données projet'!$E$15+1,1))</f>
        <v>363.37916970915211</v>
      </c>
      <c r="EP126" s="62">
        <f t="shared" si="100"/>
        <v>281.52963027844595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-6.2527760746888816E-13</v>
      </c>
      <c r="FF126" s="18">
        <f>FE126*VLOOKUP('Données projet'!$B$16,Paramètres!$A$1:$I$89,3,0)*VLOOKUP('Données projet'!$B$16,Paramètres!$A$1:$I$89,5,0)</f>
        <v>-2.9262992029543964E-13</v>
      </c>
      <c r="FG126" s="14" t="e">
        <f t="shared" si="101"/>
        <v>#NUM!</v>
      </c>
      <c r="FH126" s="22" t="e">
        <f t="shared" si="76"/>
        <v>#NUM!</v>
      </c>
      <c r="FI126" s="62" t="e">
        <f t="shared" si="77"/>
        <v>#NUM!</v>
      </c>
      <c r="FJ126" s="62">
        <f ca="1">AVERAGE(OFFSET($FI$3,0,0,'Données projet'!$E$16+1,1))-AVERAGE(OFFSET($H$3,0,0,'Données projet'!$E$16+1,1))</f>
        <v>245.47494516762282</v>
      </c>
      <c r="FK126" s="62">
        <f t="shared" si="102"/>
        <v>145.54897745089966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3.2</v>
      </c>
      <c r="FZ126" s="13">
        <f>IF('Données projet'!$A$244&gt;35,FZ125+FY126-GH125,IF(A126&lt;'Données projet'!$A$244,$FW$205^A126,IF(A126='Données projet'!$A$244,'Données projet'!$B$244,FZ125+FY126-GH125)))</f>
        <v>277.59999999999945</v>
      </c>
      <c r="GA126" s="18">
        <f>FZ126*VLOOKUP('Données projet'!$B$17,Paramètres!$A$1:$I$89,3,0)*VLOOKUP('Données projet'!$B$17,Paramètres!$A$1:$I$89,5,0)</f>
        <v>268.49471999999946</v>
      </c>
      <c r="GB126" s="14">
        <f t="shared" si="103"/>
        <v>64.529707010294615</v>
      </c>
      <c r="GC126" s="22">
        <f t="shared" si="79"/>
        <v>580.01754370959543</v>
      </c>
      <c r="GD126" s="62">
        <f t="shared" si="80"/>
        <v>873.35087704292869</v>
      </c>
      <c r="GE126" s="62">
        <f ca="1">AVERAGE(OFFSET($GD$3,0,0,'Données projet'!$E$17+1,1))-AVERAGE(OFFSET($H$3,0,0,'Données projet'!$E$17+1,1))</f>
        <v>455.50822833641354</v>
      </c>
      <c r="GF126" s="62">
        <f t="shared" si="104"/>
        <v>261.14722581688039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1.7053025658242404E-13</v>
      </c>
      <c r="GV126" s="18">
        <f>GU126*VLOOKUP('Données projet'!$B$18,Paramètres!$A$1:$I$89,3,0)*VLOOKUP('Données projet'!$B$18,Paramètres!$A$1:$I$89,5,0)</f>
        <v>1.1439169611549005E-13</v>
      </c>
      <c r="GW126" s="14">
        <f t="shared" si="105"/>
        <v>1.6918016515029816E-12</v>
      </c>
      <c r="GX126" s="22">
        <f t="shared" si="82"/>
        <v>3.1457867471021712E-12</v>
      </c>
      <c r="GY126" s="62">
        <f t="shared" si="83"/>
        <v>293.33333333333644</v>
      </c>
      <c r="GZ126" s="62">
        <f ca="1">AVERAGE(OFFSET($GY$3,0,0,'Données projet'!$E$18+1,1))-AVERAGE(OFFSET($H$3,0,0,'Données projet'!$E$18+1,1))</f>
        <v>312.06797204903796</v>
      </c>
      <c r="HA126" s="62">
        <f t="shared" si="106"/>
        <v>258.20189001775151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projet'!$B$18,Paramètres!$A$1:$I$89,3,0)*0.475*44/12</f>
        <v>0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84"/>
        <v>0</v>
      </c>
    </row>
    <row r="127" spans="1:218" s="5" customFormat="1" x14ac:dyDescent="0.25">
      <c r="A127" s="11">
        <f t="shared" si="85"/>
        <v>124</v>
      </c>
      <c r="B127" s="76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9">
        <f t="shared" si="56"/>
        <v>256.66666666666669</v>
      </c>
      <c r="I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2.2737367544323206E-13</v>
      </c>
      <c r="O127" s="14">
        <f>N127*VLOOKUP('Données projet'!$B$9,Paramètres!$A$1:$I$89,3,0)*VLOOKUP('Données projet'!$B$9,Paramètres!$A$1:$I$89,5,0)</f>
        <v>1.2710188457276673E-13</v>
      </c>
      <c r="P127" s="14">
        <f t="shared" si="87"/>
        <v>1.856866851063998E-12</v>
      </c>
      <c r="Q127" s="22">
        <f t="shared" si="107"/>
        <v>3.4554122145673649E-12</v>
      </c>
      <c r="R127" s="62">
        <f t="shared" si="55"/>
        <v>293.33333333333678</v>
      </c>
      <c r="S127" s="62">
        <f ca="1">AVERAGE(OFFSET($R$3,0,0,'Données projet'!$E$9+1,1))-AVERAGE(OFFSET($H$3,0,0,'Données projet'!$E$9+1,1))</f>
        <v>323.98185264074681</v>
      </c>
      <c r="T127" s="62">
        <f t="shared" si="88"/>
        <v>301.22207291854005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0.69355395185749025</v>
      </c>
      <c r="AA127" s="23">
        <f>EXP(-LN(2)/25)*AA126+(1-EXP(-LN(2)/25))/(LN(2)/25)*Calculateur!V127*Calculateur!X127*VLOOKUP('Données projet'!$B$9,Paramètres!$A$1:$I$89,3,0)*0.475*44/12</f>
        <v>0.60875002204549677</v>
      </c>
      <c r="AB127" s="23">
        <f>EXP(-LN(2)/2)*AB126+(1-EXP(-LN(2)/2))/(LN(2)/2)*V127*Y127*VLOOKUP('Données projet'!$B$9,Paramètres!$A$1:$I$89,3,0)*0.475*44/12</f>
        <v>4.325647168185768E-14</v>
      </c>
      <c r="AC127" s="24">
        <f t="shared" si="57"/>
        <v>1.3023039739030302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-2.8421709430404007E-13</v>
      </c>
      <c r="AJ127" s="14">
        <f>AI127*VLOOKUP('Données projet'!$B$10,Paramètres!$A$1:$I$89,3,0)*VLOOKUP('Données projet'!$B$10,Paramètres!$A$1:$I$89,5,0)</f>
        <v>-1.69961822393816E-13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289.12367833861299</v>
      </c>
      <c r="AO127" s="62">
        <f t="shared" si="90"/>
        <v>229.06617320689003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2.9465035410861514E-14</v>
      </c>
      <c r="AX127" s="23">
        <f t="shared" si="60"/>
        <v>2.9465035410861514E-14</v>
      </c>
      <c r="AY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3.2</v>
      </c>
      <c r="BD127" s="13">
        <f>IF('Données projet'!$A$88&gt;35,BD126+BC127-BL126,IF(A127&lt;'Données projet'!$A$88,$BA$205^A127,IF(A127='Données projet'!$A$88,'Données projet'!$B$88,BD126+BC127-BL126)))</f>
        <v>280.79999999999944</v>
      </c>
      <c r="BE127" s="14">
        <f>BD127*VLOOKUP('Données projet'!$B$11,Paramètres!$A$1:$I$89,3,0)*VLOOKUP('Données projet'!$B$11,Paramètres!$A$1:$I$89,5,0)</f>
        <v>254.06783999999948</v>
      </c>
      <c r="BF127" s="14">
        <f t="shared" si="91"/>
        <v>61.456187622750612</v>
      </c>
      <c r="BG127" s="22">
        <f t="shared" si="61"/>
        <v>549.53768144295634</v>
      </c>
      <c r="BH127" s="62">
        <f t="shared" si="62"/>
        <v>842.87101477628971</v>
      </c>
      <c r="BI127" s="62">
        <f ca="1">AVERAGE(OFFSET($BH$3,0,0,'Données projet'!$E$11+1,1))-AVERAGE(OFFSET($H$3,0,0,'Données projet'!$E$11+1,1))</f>
        <v>428.8489304403459</v>
      </c>
      <c r="BJ127" s="62">
        <f t="shared" si="92"/>
        <v>247.01165577562966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-1.7053025658242404E-13</v>
      </c>
      <c r="BZ127" s="14">
        <f>BY127*VLOOKUP('Données projet'!$B$12,Paramètres!$A$1:$I$89,3,0)*VLOOKUP('Données projet'!$B$12,Paramètres!$A$1:$I$89,5,0)</f>
        <v>-1.250327841262333E-13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290.85271051443431</v>
      </c>
      <c r="CE127" s="62">
        <f t="shared" si="94"/>
        <v>318.66958823451142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1.1368683772161603E-13</v>
      </c>
      <c r="CU127" s="18">
        <f>CT127*VLOOKUP('Données projet'!$B$13,Paramètres!$A$1:$I$89,3,0)*VLOOKUP('Données projet'!$B$13,Paramètres!$A$1:$I$89,5,0)</f>
        <v>8.8675733422860506E-14</v>
      </c>
      <c r="CV127" s="14">
        <f t="shared" si="95"/>
        <v>1.3509285393066301E-12</v>
      </c>
      <c r="CW127" s="22">
        <f t="shared" si="67"/>
        <v>2.5073107750038623E-12</v>
      </c>
      <c r="CX127" s="62">
        <f t="shared" si="68"/>
        <v>293.33333333333582</v>
      </c>
      <c r="CY127" s="62">
        <f ca="1">AVERAGE(OFFSET($CX$3,0,0,'Données projet'!$E$13+1,1))-AVERAGE(OFFSET($H$3,0,0,'Données projet'!$E$13+1,1))</f>
        <v>292.57482726862594</v>
      </c>
      <c r="CZ127" s="62">
        <f t="shared" si="96"/>
        <v>283.48738729114024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-1.7053025658242404E-13</v>
      </c>
      <c r="DP127" s="18">
        <f>DO127*VLOOKUP('Données projet'!$B$14,Paramètres!$A$1:$I$89,3,0)*VLOOKUP('Données projet'!$B$14,Paramètres!$A$1:$I$89,5,0)</f>
        <v>-1.3567387213697657E-13</v>
      </c>
      <c r="DQ127" s="14" t="e">
        <f t="shared" si="97"/>
        <v>#NUM!</v>
      </c>
      <c r="DR127" s="22" t="e">
        <f t="shared" si="70"/>
        <v>#NUM!</v>
      </c>
      <c r="DS127" s="62" t="e">
        <f t="shared" si="71"/>
        <v>#NUM!</v>
      </c>
      <c r="DT127" s="62">
        <f ca="1">AVERAGE(OFFSET($DS$3,0,0,'Données projet'!$E$14+1,1))-AVERAGE(OFFSET($H$3,0,0,'Données projet'!$E$14+1,1))</f>
        <v>312.53381881960331</v>
      </c>
      <c r="DU127" s="62">
        <f t="shared" si="98"/>
        <v>342.06887933351783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1.1368683772161603E-13</v>
      </c>
      <c r="EK127" s="18">
        <f>EJ127*VLOOKUP('Données projet'!$B$15,Paramètres!$A$1:$I$89,3,0)*VLOOKUP('Données projet'!$B$15,Paramètres!$A$1:$I$89,5,0)</f>
        <v>1.0818439477588981E-13</v>
      </c>
      <c r="EL127" s="14">
        <f t="shared" si="99"/>
        <v>1.6104228458716316E-12</v>
      </c>
      <c r="EM127" s="22">
        <f t="shared" si="73"/>
        <v>2.9932409441277661E-12</v>
      </c>
      <c r="EN127" s="62">
        <f t="shared" si="74"/>
        <v>293.33333333333633</v>
      </c>
      <c r="EO127" s="62">
        <f ca="1">AVERAGE(OFFSET($EN$3,0,0,'Données projet'!$E$15+1,1))-AVERAGE(OFFSET($H$3,0,0,'Données projet'!$E$15+1,1))</f>
        <v>363.37916970915211</v>
      </c>
      <c r="EP127" s="62">
        <f t="shared" si="100"/>
        <v>281.52963027844595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-6.2527760746888816E-13</v>
      </c>
      <c r="FF127" s="18">
        <f>FE127*VLOOKUP('Données projet'!$B$16,Paramètres!$A$1:$I$89,3,0)*VLOOKUP('Données projet'!$B$16,Paramètres!$A$1:$I$89,5,0)</f>
        <v>-2.9262992029543964E-13</v>
      </c>
      <c r="FG127" s="14" t="e">
        <f t="shared" si="101"/>
        <v>#NUM!</v>
      </c>
      <c r="FH127" s="22" t="e">
        <f t="shared" si="76"/>
        <v>#NUM!</v>
      </c>
      <c r="FI127" s="62" t="e">
        <f t="shared" si="77"/>
        <v>#NUM!</v>
      </c>
      <c r="FJ127" s="62">
        <f ca="1">AVERAGE(OFFSET($FI$3,0,0,'Données projet'!$E$16+1,1))-AVERAGE(OFFSET($H$3,0,0,'Données projet'!$E$16+1,1))</f>
        <v>245.47494516762282</v>
      </c>
      <c r="FK127" s="62">
        <f t="shared" si="102"/>
        <v>145.54897745089966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3.2</v>
      </c>
      <c r="FZ127" s="13">
        <f>IF('Données projet'!$A$244&gt;35,FZ126+FY127-GH126,IF(A127&lt;'Données projet'!$A$244,$FW$205^A127,IF(A127='Données projet'!$A$244,'Données projet'!$B$244,FZ126+FY127-GH126)))</f>
        <v>280.79999999999944</v>
      </c>
      <c r="GA127" s="18">
        <f>FZ127*VLOOKUP('Données projet'!$B$17,Paramètres!$A$1:$I$89,3,0)*VLOOKUP('Données projet'!$B$17,Paramètres!$A$1:$I$89,5,0)</f>
        <v>271.5897599999995</v>
      </c>
      <c r="GB127" s="14">
        <f t="shared" si="103"/>
        <v>65.186541118848012</v>
      </c>
      <c r="GC127" s="22">
        <f t="shared" si="79"/>
        <v>586.55205778199274</v>
      </c>
      <c r="GD127" s="62">
        <f t="shared" si="80"/>
        <v>879.885391115326</v>
      </c>
      <c r="GE127" s="62">
        <f ca="1">AVERAGE(OFFSET($GD$3,0,0,'Données projet'!$E$17+1,1))-AVERAGE(OFFSET($H$3,0,0,'Données projet'!$E$17+1,1))</f>
        <v>455.50822833641354</v>
      </c>
      <c r="GF127" s="62">
        <f t="shared" si="104"/>
        <v>261.14722581688039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1.7053025658242404E-13</v>
      </c>
      <c r="GV127" s="18">
        <f>GU127*VLOOKUP('Données projet'!$B$18,Paramètres!$A$1:$I$89,3,0)*VLOOKUP('Données projet'!$B$18,Paramètres!$A$1:$I$89,5,0)</f>
        <v>1.1439169611549005E-13</v>
      </c>
      <c r="GW127" s="14">
        <f t="shared" si="105"/>
        <v>1.6918016515029816E-12</v>
      </c>
      <c r="GX127" s="22">
        <f t="shared" si="82"/>
        <v>3.1457867471021712E-12</v>
      </c>
      <c r="GY127" s="62">
        <f t="shared" si="83"/>
        <v>293.33333333333644</v>
      </c>
      <c r="GZ127" s="62">
        <f ca="1">AVERAGE(OFFSET($GY$3,0,0,'Données projet'!$E$18+1,1))-AVERAGE(OFFSET($H$3,0,0,'Données projet'!$E$18+1,1))</f>
        <v>312.06797204903796</v>
      </c>
      <c r="HA127" s="62">
        <f t="shared" si="106"/>
        <v>258.20189001775151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projet'!$B$18,Paramètres!$A$1:$I$89,3,0)*0.475*44/12</f>
        <v>0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84"/>
        <v>0</v>
      </c>
    </row>
    <row r="128" spans="1:218" s="5" customFormat="1" x14ac:dyDescent="0.25">
      <c r="A128" s="11">
        <f t="shared" si="85"/>
        <v>125</v>
      </c>
      <c r="B128" s="76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9">
        <f t="shared" si="56"/>
        <v>256.66666666666669</v>
      </c>
      <c r="I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2.2737367544323206E-13</v>
      </c>
      <c r="O128" s="14">
        <f>N128*VLOOKUP('Données projet'!$B$9,Paramètres!$A$1:$I$89,3,0)*VLOOKUP('Données projet'!$B$9,Paramètres!$A$1:$I$89,5,0)</f>
        <v>1.2710188457276673E-13</v>
      </c>
      <c r="P128" s="14">
        <f t="shared" si="87"/>
        <v>1.856866851063998E-12</v>
      </c>
      <c r="Q128" s="22">
        <f t="shared" si="107"/>
        <v>3.4554122145673649E-12</v>
      </c>
      <c r="R128" s="62">
        <f t="shared" si="55"/>
        <v>293.33333333333678</v>
      </c>
      <c r="S128" s="62">
        <f ca="1">AVERAGE(OFFSET($R$3,0,0,'Données projet'!$E$9+1,1))-AVERAGE(OFFSET($H$3,0,0,'Données projet'!$E$9+1,1))</f>
        <v>323.98185264074681</v>
      </c>
      <c r="T128" s="62">
        <f t="shared" si="88"/>
        <v>301.22207291854005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0.67995378188770517</v>
      </c>
      <c r="AA128" s="23">
        <f>EXP(-LN(2)/25)*AA127+(1-EXP(-LN(2)/25))/(LN(2)/25)*Calculateur!V128*Calculateur!X128*VLOOKUP('Données projet'!$B$9,Paramètres!$A$1:$I$89,3,0)*0.475*44/12</f>
        <v>0.59210372067989037</v>
      </c>
      <c r="AB128" s="23">
        <f>EXP(-LN(2)/2)*AB127+(1-EXP(-LN(2)/2))/(LN(2)/2)*V128*Y128*VLOOKUP('Données projet'!$B$9,Paramètres!$A$1:$I$89,3,0)*0.475*44/12</f>
        <v>3.0586944456445427E-14</v>
      </c>
      <c r="AC128" s="24">
        <f t="shared" si="57"/>
        <v>1.2720575025676262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-2.8421709430404007E-13</v>
      </c>
      <c r="AJ128" s="14">
        <f>AI128*VLOOKUP('Données projet'!$B$10,Paramètres!$A$1:$I$89,3,0)*VLOOKUP('Données projet'!$B$10,Paramètres!$A$1:$I$89,5,0)</f>
        <v>-1.69961822393816E-13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289.12367833861299</v>
      </c>
      <c r="AO128" s="62">
        <f t="shared" si="90"/>
        <v>229.06617320689003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2.0834926346921927E-14</v>
      </c>
      <c r="AX128" s="23">
        <f t="shared" si="60"/>
        <v>2.0834926346921927E-14</v>
      </c>
      <c r="AY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3.2</v>
      </c>
      <c r="BD128" s="13">
        <f>IF('Données projet'!$A$88&gt;35,BD127+BC128-BL127,IF(A128&lt;'Données projet'!$A$88,$BA$205^A128,IF(A128='Données projet'!$A$88,'Données projet'!$B$88,BD127+BC128-BL127)))</f>
        <v>283.99999999999943</v>
      </c>
      <c r="BE128" s="14">
        <f>BD128*VLOOKUP('Données projet'!$B$11,Paramètres!$A$1:$I$89,3,0)*VLOOKUP('Données projet'!$B$11,Paramètres!$A$1:$I$89,5,0)</f>
        <v>256.96319999999946</v>
      </c>
      <c r="BF128" s="14">
        <f t="shared" si="91"/>
        <v>62.07461295683791</v>
      </c>
      <c r="BG128" s="22">
        <f t="shared" si="61"/>
        <v>555.65752423315837</v>
      </c>
      <c r="BH128" s="62">
        <f t="shared" si="62"/>
        <v>848.99085756649174</v>
      </c>
      <c r="BI128" s="62">
        <f ca="1">AVERAGE(OFFSET($BH$3,0,0,'Données projet'!$E$11+1,1))-AVERAGE(OFFSET($H$3,0,0,'Données projet'!$E$11+1,1))</f>
        <v>428.8489304403459</v>
      </c>
      <c r="BJ128" s="62">
        <f t="shared" si="92"/>
        <v>247.01165577562966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-1.7053025658242404E-13</v>
      </c>
      <c r="BZ128" s="14">
        <f>BY128*VLOOKUP('Données projet'!$B$12,Paramètres!$A$1:$I$89,3,0)*VLOOKUP('Données projet'!$B$12,Paramètres!$A$1:$I$89,5,0)</f>
        <v>-1.250327841262333E-13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290.85271051443431</v>
      </c>
      <c r="CE128" s="62">
        <f t="shared" si="94"/>
        <v>318.66958823451142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1.1368683772161603E-13</v>
      </c>
      <c r="CU128" s="18">
        <f>CT128*VLOOKUP('Données projet'!$B$13,Paramètres!$A$1:$I$89,3,0)*VLOOKUP('Données projet'!$B$13,Paramètres!$A$1:$I$89,5,0)</f>
        <v>8.8675733422860506E-14</v>
      </c>
      <c r="CV128" s="14">
        <f t="shared" si="95"/>
        <v>1.3509285393066301E-12</v>
      </c>
      <c r="CW128" s="22">
        <f t="shared" si="67"/>
        <v>2.5073107750038623E-12</v>
      </c>
      <c r="CX128" s="62">
        <f t="shared" si="68"/>
        <v>293.33333333333582</v>
      </c>
      <c r="CY128" s="62">
        <f ca="1">AVERAGE(OFFSET($CX$3,0,0,'Données projet'!$E$13+1,1))-AVERAGE(OFFSET($H$3,0,0,'Données projet'!$E$13+1,1))</f>
        <v>292.57482726862594</v>
      </c>
      <c r="CZ128" s="62">
        <f t="shared" si="96"/>
        <v>283.48738729114024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-1.7053025658242404E-13</v>
      </c>
      <c r="DP128" s="18">
        <f>DO128*VLOOKUP('Données projet'!$B$14,Paramètres!$A$1:$I$89,3,0)*VLOOKUP('Données projet'!$B$14,Paramètres!$A$1:$I$89,5,0)</f>
        <v>-1.3567387213697657E-13</v>
      </c>
      <c r="DQ128" s="14" t="e">
        <f t="shared" si="97"/>
        <v>#NUM!</v>
      </c>
      <c r="DR128" s="22" t="e">
        <f t="shared" si="70"/>
        <v>#NUM!</v>
      </c>
      <c r="DS128" s="62" t="e">
        <f t="shared" si="71"/>
        <v>#NUM!</v>
      </c>
      <c r="DT128" s="62">
        <f ca="1">AVERAGE(OFFSET($DS$3,0,0,'Données projet'!$E$14+1,1))-AVERAGE(OFFSET($H$3,0,0,'Données projet'!$E$14+1,1))</f>
        <v>312.53381881960331</v>
      </c>
      <c r="DU128" s="62">
        <f t="shared" si="98"/>
        <v>342.06887933351783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1.1368683772161603E-13</v>
      </c>
      <c r="EK128" s="18">
        <f>EJ128*VLOOKUP('Données projet'!$B$15,Paramètres!$A$1:$I$89,3,0)*VLOOKUP('Données projet'!$B$15,Paramètres!$A$1:$I$89,5,0)</f>
        <v>1.0818439477588981E-13</v>
      </c>
      <c r="EL128" s="14">
        <f t="shared" si="99"/>
        <v>1.6104228458716316E-12</v>
      </c>
      <c r="EM128" s="22">
        <f t="shared" si="73"/>
        <v>2.9932409441277661E-12</v>
      </c>
      <c r="EN128" s="62">
        <f t="shared" si="74"/>
        <v>293.33333333333633</v>
      </c>
      <c r="EO128" s="62">
        <f ca="1">AVERAGE(OFFSET($EN$3,0,0,'Données projet'!$E$15+1,1))-AVERAGE(OFFSET($H$3,0,0,'Données projet'!$E$15+1,1))</f>
        <v>363.37916970915211</v>
      </c>
      <c r="EP128" s="62">
        <f t="shared" si="100"/>
        <v>281.52963027844595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-6.2527760746888816E-13</v>
      </c>
      <c r="FF128" s="18">
        <f>FE128*VLOOKUP('Données projet'!$B$16,Paramètres!$A$1:$I$89,3,0)*VLOOKUP('Données projet'!$B$16,Paramètres!$A$1:$I$89,5,0)</f>
        <v>-2.9262992029543964E-13</v>
      </c>
      <c r="FG128" s="14" t="e">
        <f t="shared" si="101"/>
        <v>#NUM!</v>
      </c>
      <c r="FH128" s="22" t="e">
        <f t="shared" si="76"/>
        <v>#NUM!</v>
      </c>
      <c r="FI128" s="62" t="e">
        <f t="shared" si="77"/>
        <v>#NUM!</v>
      </c>
      <c r="FJ128" s="62">
        <f ca="1">AVERAGE(OFFSET($FI$3,0,0,'Données projet'!$E$16+1,1))-AVERAGE(OFFSET($H$3,0,0,'Données projet'!$E$16+1,1))</f>
        <v>245.47494516762282</v>
      </c>
      <c r="FK128" s="62">
        <f t="shared" si="102"/>
        <v>145.54897745089966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3.2</v>
      </c>
      <c r="FZ128" s="13">
        <f>IF('Données projet'!$A$244&gt;35,FZ127+FY128-GH127,IF(A128&lt;'Données projet'!$A$244,$FW$205^A128,IF(A128='Données projet'!$A$244,'Données projet'!$B$244,FZ127+FY128-GH127)))</f>
        <v>283.99999999999943</v>
      </c>
      <c r="GA128" s="18">
        <f>FZ128*VLOOKUP('Données projet'!$B$17,Paramètres!$A$1:$I$89,3,0)*VLOOKUP('Données projet'!$B$17,Paramètres!$A$1:$I$89,5,0)</f>
        <v>274.68479999999943</v>
      </c>
      <c r="GB128" s="14">
        <f t="shared" si="103"/>
        <v>65.842504497456545</v>
      </c>
      <c r="GC128" s="22">
        <f t="shared" si="79"/>
        <v>593.08505533306914</v>
      </c>
      <c r="GD128" s="62">
        <f t="shared" si="80"/>
        <v>886.41838866640251</v>
      </c>
      <c r="GE128" s="62">
        <f ca="1">AVERAGE(OFFSET($GD$3,0,0,'Données projet'!$E$17+1,1))-AVERAGE(OFFSET($H$3,0,0,'Données projet'!$E$17+1,1))</f>
        <v>455.50822833641354</v>
      </c>
      <c r="GF128" s="62">
        <f t="shared" si="104"/>
        <v>261.14722581688039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1.7053025658242404E-13</v>
      </c>
      <c r="GV128" s="18">
        <f>GU128*VLOOKUP('Données projet'!$B$18,Paramètres!$A$1:$I$89,3,0)*VLOOKUP('Données projet'!$B$18,Paramètres!$A$1:$I$89,5,0)</f>
        <v>1.1439169611549005E-13</v>
      </c>
      <c r="GW128" s="14">
        <f t="shared" si="105"/>
        <v>1.6918016515029816E-12</v>
      </c>
      <c r="GX128" s="22">
        <f t="shared" si="82"/>
        <v>3.1457867471021712E-12</v>
      </c>
      <c r="GY128" s="62">
        <f t="shared" si="83"/>
        <v>293.33333333333644</v>
      </c>
      <c r="GZ128" s="62">
        <f ca="1">AVERAGE(OFFSET($GY$3,0,0,'Données projet'!$E$18+1,1))-AVERAGE(OFFSET($H$3,0,0,'Données projet'!$E$18+1,1))</f>
        <v>312.06797204903796</v>
      </c>
      <c r="HA128" s="62">
        <f t="shared" si="106"/>
        <v>258.20189001775151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projet'!$B$18,Paramètres!$A$1:$I$89,3,0)*0.475*44/12</f>
        <v>0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84"/>
        <v>0</v>
      </c>
    </row>
    <row r="129" spans="1:218" s="5" customFormat="1" x14ac:dyDescent="0.25">
      <c r="A129" s="11">
        <f t="shared" si="85"/>
        <v>126</v>
      </c>
      <c r="B129" s="76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9">
        <f t="shared" si="56"/>
        <v>256.66666666666669</v>
      </c>
      <c r="I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2.2737367544323206E-13</v>
      </c>
      <c r="O129" s="14">
        <f>N129*VLOOKUP('Données projet'!$B$9,Paramètres!$A$1:$I$89,3,0)*VLOOKUP('Données projet'!$B$9,Paramètres!$A$1:$I$89,5,0)</f>
        <v>1.2710188457276673E-13</v>
      </c>
      <c r="P129" s="14">
        <f t="shared" si="87"/>
        <v>1.856866851063998E-12</v>
      </c>
      <c r="Q129" s="22">
        <f t="shared" si="107"/>
        <v>3.4554122145673649E-12</v>
      </c>
      <c r="R129" s="62">
        <f t="shared" si="55"/>
        <v>293.33333333333678</v>
      </c>
      <c r="S129" s="62">
        <f ca="1">AVERAGE(OFFSET($R$3,0,0,'Données projet'!$E$9+1,1))-AVERAGE(OFFSET($H$3,0,0,'Données projet'!$E$9+1,1))</f>
        <v>323.98185264074681</v>
      </c>
      <c r="T129" s="62">
        <f t="shared" si="88"/>
        <v>301.22207291854005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0.66662030295574293</v>
      </c>
      <c r="AA129" s="23">
        <f>EXP(-LN(2)/25)*AA128+(1-EXP(-LN(2)/25))/(LN(2)/25)*Calculateur!V129*Calculateur!X129*VLOOKUP('Données projet'!$B$9,Paramètres!$A$1:$I$89,3,0)*0.475*44/12</f>
        <v>0.57591261330051735</v>
      </c>
      <c r="AB129" s="23">
        <f>EXP(-LN(2)/2)*AB128+(1-EXP(-LN(2)/2))/(LN(2)/2)*V129*Y129*VLOOKUP('Données projet'!$B$9,Paramètres!$A$1:$I$89,3,0)*0.475*44/12</f>
        <v>2.162823584092884E-14</v>
      </c>
      <c r="AC129" s="24">
        <f t="shared" si="57"/>
        <v>1.2425329162562819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-2.8421709430404007E-13</v>
      </c>
      <c r="AJ129" s="14">
        <f>AI129*VLOOKUP('Données projet'!$B$10,Paramètres!$A$1:$I$89,3,0)*VLOOKUP('Données projet'!$B$10,Paramètres!$A$1:$I$89,5,0)</f>
        <v>-1.69961822393816E-13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289.12367833861299</v>
      </c>
      <c r="AO129" s="62">
        <f t="shared" si="90"/>
        <v>229.06617320689003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1.4732517705430757E-14</v>
      </c>
      <c r="AX129" s="23">
        <f t="shared" si="60"/>
        <v>1.4732517705430757E-14</v>
      </c>
      <c r="AY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3.2</v>
      </c>
      <c r="BD129" s="13">
        <f>IF('Données projet'!$A$88&gt;35,BD128+BC129-BL128,IF(A129&lt;'Données projet'!$A$88,$BA$205^A129,IF(A129='Données projet'!$A$88,'Données projet'!$B$88,BD128+BC129-BL128)))</f>
        <v>287.19999999999942</v>
      </c>
      <c r="BE129" s="14">
        <f>BD129*VLOOKUP('Données projet'!$B$11,Paramètres!$A$1:$I$89,3,0)*VLOOKUP('Données projet'!$B$11,Paramètres!$A$1:$I$89,5,0)</f>
        <v>259.85855999999944</v>
      </c>
      <c r="BF129" s="14">
        <f t="shared" si="91"/>
        <v>62.692227709138365</v>
      </c>
      <c r="BG129" s="22">
        <f t="shared" si="61"/>
        <v>561.77595526008167</v>
      </c>
      <c r="BH129" s="62">
        <f t="shared" si="62"/>
        <v>855.10928859341493</v>
      </c>
      <c r="BI129" s="62">
        <f ca="1">AVERAGE(OFFSET($BH$3,0,0,'Données projet'!$E$11+1,1))-AVERAGE(OFFSET($H$3,0,0,'Données projet'!$E$11+1,1))</f>
        <v>428.8489304403459</v>
      </c>
      <c r="BJ129" s="62">
        <f t="shared" si="92"/>
        <v>247.01165577562966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-1.7053025658242404E-13</v>
      </c>
      <c r="BZ129" s="14">
        <f>BY129*VLOOKUP('Données projet'!$B$12,Paramètres!$A$1:$I$89,3,0)*VLOOKUP('Données projet'!$B$12,Paramètres!$A$1:$I$89,5,0)</f>
        <v>-1.250327841262333E-13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290.85271051443431</v>
      </c>
      <c r="CE129" s="62">
        <f t="shared" si="94"/>
        <v>318.66958823451142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1.1368683772161603E-13</v>
      </c>
      <c r="CU129" s="18">
        <f>CT129*VLOOKUP('Données projet'!$B$13,Paramètres!$A$1:$I$89,3,0)*VLOOKUP('Données projet'!$B$13,Paramètres!$A$1:$I$89,5,0)</f>
        <v>8.8675733422860506E-14</v>
      </c>
      <c r="CV129" s="14">
        <f t="shared" si="95"/>
        <v>1.3509285393066301E-12</v>
      </c>
      <c r="CW129" s="22">
        <f t="shared" si="67"/>
        <v>2.5073107750038623E-12</v>
      </c>
      <c r="CX129" s="62">
        <f t="shared" si="68"/>
        <v>293.33333333333582</v>
      </c>
      <c r="CY129" s="62">
        <f ca="1">AVERAGE(OFFSET($CX$3,0,0,'Données projet'!$E$13+1,1))-AVERAGE(OFFSET($H$3,0,0,'Données projet'!$E$13+1,1))</f>
        <v>292.57482726862594</v>
      </c>
      <c r="CZ129" s="62">
        <f t="shared" si="96"/>
        <v>283.48738729114024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-1.7053025658242404E-13</v>
      </c>
      <c r="DP129" s="18">
        <f>DO129*VLOOKUP('Données projet'!$B$14,Paramètres!$A$1:$I$89,3,0)*VLOOKUP('Données projet'!$B$14,Paramètres!$A$1:$I$89,5,0)</f>
        <v>-1.3567387213697657E-13</v>
      </c>
      <c r="DQ129" s="14" t="e">
        <f t="shared" si="97"/>
        <v>#NUM!</v>
      </c>
      <c r="DR129" s="22" t="e">
        <f t="shared" si="70"/>
        <v>#NUM!</v>
      </c>
      <c r="DS129" s="62" t="e">
        <f t="shared" si="71"/>
        <v>#NUM!</v>
      </c>
      <c r="DT129" s="62">
        <f ca="1">AVERAGE(OFFSET($DS$3,0,0,'Données projet'!$E$14+1,1))-AVERAGE(OFFSET($H$3,0,0,'Données projet'!$E$14+1,1))</f>
        <v>312.53381881960331</v>
      </c>
      <c r="DU129" s="62">
        <f t="shared" si="98"/>
        <v>342.06887933351783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1.1368683772161603E-13</v>
      </c>
      <c r="EK129" s="18">
        <f>EJ129*VLOOKUP('Données projet'!$B$15,Paramètres!$A$1:$I$89,3,0)*VLOOKUP('Données projet'!$B$15,Paramètres!$A$1:$I$89,5,0)</f>
        <v>1.0818439477588981E-13</v>
      </c>
      <c r="EL129" s="14">
        <f t="shared" si="99"/>
        <v>1.6104228458716316E-12</v>
      </c>
      <c r="EM129" s="22">
        <f t="shared" si="73"/>
        <v>2.9932409441277661E-12</v>
      </c>
      <c r="EN129" s="62">
        <f t="shared" si="74"/>
        <v>293.33333333333633</v>
      </c>
      <c r="EO129" s="62">
        <f ca="1">AVERAGE(OFFSET($EN$3,0,0,'Données projet'!$E$15+1,1))-AVERAGE(OFFSET($H$3,0,0,'Données projet'!$E$15+1,1))</f>
        <v>363.37916970915211</v>
      </c>
      <c r="EP129" s="62">
        <f t="shared" si="100"/>
        <v>281.52963027844595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-6.2527760746888816E-13</v>
      </c>
      <c r="FF129" s="18">
        <f>FE129*VLOOKUP('Données projet'!$B$16,Paramètres!$A$1:$I$89,3,0)*VLOOKUP('Données projet'!$B$16,Paramètres!$A$1:$I$89,5,0)</f>
        <v>-2.9262992029543964E-13</v>
      </c>
      <c r="FG129" s="14" t="e">
        <f t="shared" si="101"/>
        <v>#NUM!</v>
      </c>
      <c r="FH129" s="22" t="e">
        <f t="shared" si="76"/>
        <v>#NUM!</v>
      </c>
      <c r="FI129" s="62" t="e">
        <f t="shared" si="77"/>
        <v>#NUM!</v>
      </c>
      <c r="FJ129" s="62">
        <f ca="1">AVERAGE(OFFSET($FI$3,0,0,'Données projet'!$E$16+1,1))-AVERAGE(OFFSET($H$3,0,0,'Données projet'!$E$16+1,1))</f>
        <v>245.47494516762282</v>
      </c>
      <c r="FK129" s="62">
        <f t="shared" si="102"/>
        <v>145.54897745089966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3.2</v>
      </c>
      <c r="FZ129" s="13">
        <f>IF('Données projet'!$A$244&gt;35,FZ128+FY129-GH128,IF(A129&lt;'Données projet'!$A$244,$FW$205^A129,IF(A129='Données projet'!$A$244,'Données projet'!$B$244,FZ128+FY129-GH128)))</f>
        <v>287.19999999999942</v>
      </c>
      <c r="GA129" s="18">
        <f>FZ129*VLOOKUP('Données projet'!$B$17,Paramètres!$A$1:$I$89,3,0)*VLOOKUP('Données projet'!$B$17,Paramètres!$A$1:$I$89,5,0)</f>
        <v>277.77983999999947</v>
      </c>
      <c r="GB129" s="14">
        <f t="shared" si="103"/>
        <v>66.497608092453063</v>
      </c>
      <c r="GC129" s="22">
        <f t="shared" si="79"/>
        <v>599.61655542768813</v>
      </c>
      <c r="GD129" s="62">
        <f t="shared" si="80"/>
        <v>892.94988876102138</v>
      </c>
      <c r="GE129" s="62">
        <f ca="1">AVERAGE(OFFSET($GD$3,0,0,'Données projet'!$E$17+1,1))-AVERAGE(OFFSET($H$3,0,0,'Données projet'!$E$17+1,1))</f>
        <v>455.50822833641354</v>
      </c>
      <c r="GF129" s="62">
        <f t="shared" si="104"/>
        <v>261.14722581688039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1.7053025658242404E-13</v>
      </c>
      <c r="GV129" s="18">
        <f>GU129*VLOOKUP('Données projet'!$B$18,Paramètres!$A$1:$I$89,3,0)*VLOOKUP('Données projet'!$B$18,Paramètres!$A$1:$I$89,5,0)</f>
        <v>1.1439169611549005E-13</v>
      </c>
      <c r="GW129" s="14">
        <f t="shared" si="105"/>
        <v>1.6918016515029816E-12</v>
      </c>
      <c r="GX129" s="22">
        <f t="shared" si="82"/>
        <v>3.1457867471021712E-12</v>
      </c>
      <c r="GY129" s="62">
        <f t="shared" si="83"/>
        <v>293.33333333333644</v>
      </c>
      <c r="GZ129" s="62">
        <f ca="1">AVERAGE(OFFSET($GY$3,0,0,'Données projet'!$E$18+1,1))-AVERAGE(OFFSET($H$3,0,0,'Données projet'!$E$18+1,1))</f>
        <v>312.06797204903796</v>
      </c>
      <c r="HA129" s="62">
        <f t="shared" si="106"/>
        <v>258.20189001775151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projet'!$B$18,Paramètres!$A$1:$I$89,3,0)*0.475*44/12</f>
        <v>0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84"/>
        <v>0</v>
      </c>
    </row>
    <row r="130" spans="1:218" s="5" customFormat="1" x14ac:dyDescent="0.25">
      <c r="A130" s="11">
        <f t="shared" si="85"/>
        <v>127</v>
      </c>
      <c r="B130" s="76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9">
        <f t="shared" si="56"/>
        <v>256.66666666666669</v>
      </c>
      <c r="I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2.2737367544323206E-13</v>
      </c>
      <c r="O130" s="14">
        <f>N130*VLOOKUP('Données projet'!$B$9,Paramètres!$A$1:$I$89,3,0)*VLOOKUP('Données projet'!$B$9,Paramètres!$A$1:$I$89,5,0)</f>
        <v>1.2710188457276673E-13</v>
      </c>
      <c r="P130" s="14">
        <f t="shared" si="87"/>
        <v>1.856866851063998E-12</v>
      </c>
      <c r="Q130" s="22">
        <f t="shared" si="107"/>
        <v>3.4554122145673649E-12</v>
      </c>
      <c r="R130" s="62">
        <f t="shared" si="55"/>
        <v>293.33333333333678</v>
      </c>
      <c r="S130" s="62">
        <f ca="1">AVERAGE(OFFSET($R$3,0,0,'Données projet'!$E$9+1,1))-AVERAGE(OFFSET($H$3,0,0,'Données projet'!$E$9+1,1))</f>
        <v>323.98185264074681</v>
      </c>
      <c r="T130" s="62">
        <f t="shared" si="88"/>
        <v>301.22207291854005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0.65354828541301735</v>
      </c>
      <c r="AA130" s="23">
        <f>EXP(-LN(2)/25)*AA129+(1-EXP(-LN(2)/25))/(LN(2)/25)*Calculateur!V130*Calculateur!X130*VLOOKUP('Données projet'!$B$9,Paramètres!$A$1:$I$89,3,0)*0.475*44/12</f>
        <v>0.56016425260388669</v>
      </c>
      <c r="AB130" s="23">
        <f>EXP(-LN(2)/2)*AB129+(1-EXP(-LN(2)/2))/(LN(2)/2)*V130*Y130*VLOOKUP('Données projet'!$B$9,Paramètres!$A$1:$I$89,3,0)*0.475*44/12</f>
        <v>1.5293472228222714E-14</v>
      </c>
      <c r="AC130" s="24">
        <f t="shared" si="57"/>
        <v>1.2137125380169194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-2.8421709430404007E-13</v>
      </c>
      <c r="AJ130" s="14">
        <f>AI130*VLOOKUP('Données projet'!$B$10,Paramètres!$A$1:$I$89,3,0)*VLOOKUP('Données projet'!$B$10,Paramètres!$A$1:$I$89,5,0)</f>
        <v>-1.69961822393816E-13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289.12367833861299</v>
      </c>
      <c r="AO130" s="62">
        <f t="shared" si="90"/>
        <v>229.06617320689003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1.0417463173460964E-14</v>
      </c>
      <c r="AX130" s="23">
        <f t="shared" si="60"/>
        <v>1.0417463173460964E-14</v>
      </c>
      <c r="AY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3.2</v>
      </c>
      <c r="BD130" s="13">
        <f>IF('Données projet'!$A$88&gt;35,BD129+BC130-BL129,IF(A130&lt;'Données projet'!$A$88,$BA$205^A130,IF(A130='Données projet'!$A$88,'Données projet'!$B$88,BD129+BC130-BL129)))</f>
        <v>290.39999999999941</v>
      </c>
      <c r="BE130" s="14">
        <f>BD130*VLOOKUP('Données projet'!$B$11,Paramètres!$A$1:$I$89,3,0)*VLOOKUP('Données projet'!$B$11,Paramètres!$A$1:$I$89,5,0)</f>
        <v>262.75391999999948</v>
      </c>
      <c r="BF130" s="14">
        <f t="shared" si="91"/>
        <v>63.309041956360211</v>
      </c>
      <c r="BG130" s="22">
        <f t="shared" si="61"/>
        <v>567.89299207399313</v>
      </c>
      <c r="BH130" s="62">
        <f t="shared" si="62"/>
        <v>861.22632540732639</v>
      </c>
      <c r="BI130" s="62">
        <f ca="1">AVERAGE(OFFSET($BH$3,0,0,'Données projet'!$E$11+1,1))-AVERAGE(OFFSET($H$3,0,0,'Données projet'!$E$11+1,1))</f>
        <v>428.8489304403459</v>
      </c>
      <c r="BJ130" s="62">
        <f t="shared" si="92"/>
        <v>247.01165577562966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-1.7053025658242404E-13</v>
      </c>
      <c r="BZ130" s="14">
        <f>BY130*VLOOKUP('Données projet'!$B$12,Paramètres!$A$1:$I$89,3,0)*VLOOKUP('Données projet'!$B$12,Paramètres!$A$1:$I$89,5,0)</f>
        <v>-1.250327841262333E-13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290.85271051443431</v>
      </c>
      <c r="CE130" s="62">
        <f t="shared" si="94"/>
        <v>318.66958823451142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1.1368683772161603E-13</v>
      </c>
      <c r="CU130" s="18">
        <f>CT130*VLOOKUP('Données projet'!$B$13,Paramètres!$A$1:$I$89,3,0)*VLOOKUP('Données projet'!$B$13,Paramètres!$A$1:$I$89,5,0)</f>
        <v>8.8675733422860506E-14</v>
      </c>
      <c r="CV130" s="14">
        <f t="shared" si="95"/>
        <v>1.3509285393066301E-12</v>
      </c>
      <c r="CW130" s="22">
        <f t="shared" si="67"/>
        <v>2.5073107750038623E-12</v>
      </c>
      <c r="CX130" s="62">
        <f t="shared" si="68"/>
        <v>293.33333333333582</v>
      </c>
      <c r="CY130" s="62">
        <f ca="1">AVERAGE(OFFSET($CX$3,0,0,'Données projet'!$E$13+1,1))-AVERAGE(OFFSET($H$3,0,0,'Données projet'!$E$13+1,1))</f>
        <v>292.57482726862594</v>
      </c>
      <c r="CZ130" s="62">
        <f t="shared" si="96"/>
        <v>283.48738729114024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-1.7053025658242404E-13</v>
      </c>
      <c r="DP130" s="18">
        <f>DO130*VLOOKUP('Données projet'!$B$14,Paramètres!$A$1:$I$89,3,0)*VLOOKUP('Données projet'!$B$14,Paramètres!$A$1:$I$89,5,0)</f>
        <v>-1.3567387213697657E-13</v>
      </c>
      <c r="DQ130" s="14" t="e">
        <f t="shared" si="97"/>
        <v>#NUM!</v>
      </c>
      <c r="DR130" s="22" t="e">
        <f t="shared" si="70"/>
        <v>#NUM!</v>
      </c>
      <c r="DS130" s="62" t="e">
        <f t="shared" si="71"/>
        <v>#NUM!</v>
      </c>
      <c r="DT130" s="62">
        <f ca="1">AVERAGE(OFFSET($DS$3,0,0,'Données projet'!$E$14+1,1))-AVERAGE(OFFSET($H$3,0,0,'Données projet'!$E$14+1,1))</f>
        <v>312.53381881960331</v>
      </c>
      <c r="DU130" s="62">
        <f t="shared" si="98"/>
        <v>342.06887933351783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1.1368683772161603E-13</v>
      </c>
      <c r="EK130" s="18">
        <f>EJ130*VLOOKUP('Données projet'!$B$15,Paramètres!$A$1:$I$89,3,0)*VLOOKUP('Données projet'!$B$15,Paramètres!$A$1:$I$89,5,0)</f>
        <v>1.0818439477588981E-13</v>
      </c>
      <c r="EL130" s="14">
        <f t="shared" si="99"/>
        <v>1.6104228458716316E-12</v>
      </c>
      <c r="EM130" s="22">
        <f t="shared" si="73"/>
        <v>2.9932409441277661E-12</v>
      </c>
      <c r="EN130" s="62">
        <f t="shared" si="74"/>
        <v>293.33333333333633</v>
      </c>
      <c r="EO130" s="62">
        <f ca="1">AVERAGE(OFFSET($EN$3,0,0,'Données projet'!$E$15+1,1))-AVERAGE(OFFSET($H$3,0,0,'Données projet'!$E$15+1,1))</f>
        <v>363.37916970915211</v>
      </c>
      <c r="EP130" s="62">
        <f t="shared" si="100"/>
        <v>281.52963027844595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-6.2527760746888816E-13</v>
      </c>
      <c r="FF130" s="18">
        <f>FE130*VLOOKUP('Données projet'!$B$16,Paramètres!$A$1:$I$89,3,0)*VLOOKUP('Données projet'!$B$16,Paramètres!$A$1:$I$89,5,0)</f>
        <v>-2.9262992029543964E-13</v>
      </c>
      <c r="FG130" s="14" t="e">
        <f t="shared" si="101"/>
        <v>#NUM!</v>
      </c>
      <c r="FH130" s="22" t="e">
        <f t="shared" si="76"/>
        <v>#NUM!</v>
      </c>
      <c r="FI130" s="62" t="e">
        <f t="shared" si="77"/>
        <v>#NUM!</v>
      </c>
      <c r="FJ130" s="62">
        <f ca="1">AVERAGE(OFFSET($FI$3,0,0,'Données projet'!$E$16+1,1))-AVERAGE(OFFSET($H$3,0,0,'Données projet'!$E$16+1,1))</f>
        <v>245.47494516762282</v>
      </c>
      <c r="FK130" s="62">
        <f t="shared" si="102"/>
        <v>145.54897745089966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3.2</v>
      </c>
      <c r="FZ130" s="13">
        <f>IF('Données projet'!$A$244&gt;35,FZ129+FY130-GH129,IF(A130&lt;'Données projet'!$A$244,$FW$205^A130,IF(A130='Données projet'!$A$244,'Données projet'!$B$244,FZ129+FY130-GH129)))</f>
        <v>290.39999999999941</v>
      </c>
      <c r="GA130" s="18">
        <f>FZ130*VLOOKUP('Données projet'!$B$17,Paramètres!$A$1:$I$89,3,0)*VLOOKUP('Données projet'!$B$17,Paramètres!$A$1:$I$89,5,0)</f>
        <v>280.87487999999945</v>
      </c>
      <c r="GB130" s="14">
        <f t="shared" si="103"/>
        <v>67.151862592195727</v>
      </c>
      <c r="GC130" s="22">
        <f t="shared" si="79"/>
        <v>606.1465766814066</v>
      </c>
      <c r="GD130" s="62">
        <f t="shared" si="80"/>
        <v>899.47991001473997</v>
      </c>
      <c r="GE130" s="62">
        <f ca="1">AVERAGE(OFFSET($GD$3,0,0,'Données projet'!$E$17+1,1))-AVERAGE(OFFSET($H$3,0,0,'Données projet'!$E$17+1,1))</f>
        <v>455.50822833641354</v>
      </c>
      <c r="GF130" s="62">
        <f t="shared" si="104"/>
        <v>261.14722581688039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1.7053025658242404E-13</v>
      </c>
      <c r="GV130" s="18">
        <f>GU130*VLOOKUP('Données projet'!$B$18,Paramètres!$A$1:$I$89,3,0)*VLOOKUP('Données projet'!$B$18,Paramètres!$A$1:$I$89,5,0)</f>
        <v>1.1439169611549005E-13</v>
      </c>
      <c r="GW130" s="14">
        <f t="shared" si="105"/>
        <v>1.6918016515029816E-12</v>
      </c>
      <c r="GX130" s="22">
        <f t="shared" si="82"/>
        <v>3.1457867471021712E-12</v>
      </c>
      <c r="GY130" s="62">
        <f t="shared" si="83"/>
        <v>293.33333333333644</v>
      </c>
      <c r="GZ130" s="62">
        <f ca="1">AVERAGE(OFFSET($GY$3,0,0,'Données projet'!$E$18+1,1))-AVERAGE(OFFSET($H$3,0,0,'Données projet'!$E$18+1,1))</f>
        <v>312.06797204903796</v>
      </c>
      <c r="HA130" s="62">
        <f t="shared" si="106"/>
        <v>258.20189001775151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projet'!$B$18,Paramètres!$A$1:$I$89,3,0)*0.475*44/12</f>
        <v>0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84"/>
        <v>0</v>
      </c>
    </row>
    <row r="131" spans="1:218" s="5" customFormat="1" x14ac:dyDescent="0.25">
      <c r="A131" s="11">
        <f t="shared" si="85"/>
        <v>128</v>
      </c>
      <c r="B131" s="76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9">
        <f t="shared" si="56"/>
        <v>256.66666666666669</v>
      </c>
      <c r="I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2.2737367544323206E-13</v>
      </c>
      <c r="O131" s="14">
        <f>N131*VLOOKUP('Données projet'!$B$9,Paramètres!$A$1:$I$89,3,0)*VLOOKUP('Données projet'!$B$9,Paramètres!$A$1:$I$89,5,0)</f>
        <v>1.2710188457276673E-13</v>
      </c>
      <c r="P131" s="14">
        <f t="shared" si="87"/>
        <v>1.856866851063998E-12</v>
      </c>
      <c r="Q131" s="22">
        <f t="shared" ref="Q131:Q153" si="108">(O131+P131)*0.475*44/12</f>
        <v>3.4554122145673649E-12</v>
      </c>
      <c r="R131" s="62">
        <f t="shared" ref="R131:R194" si="109">Q131+(I131+J131)*44/12</f>
        <v>293.33333333333678</v>
      </c>
      <c r="S131" s="62">
        <f ca="1">AVERAGE(OFFSET($R$3,0,0,'Données projet'!$E$9+1,1))-AVERAGE(OFFSET($H$3,0,0,'Données projet'!$E$9+1,1))</f>
        <v>323.98185264074681</v>
      </c>
      <c r="T131" s="62">
        <f t="shared" si="88"/>
        <v>301.22207291854005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0.64073260216116124</v>
      </c>
      <c r="AA131" s="23">
        <f>EXP(-LN(2)/25)*AA130+(1-EXP(-LN(2)/25))/(LN(2)/25)*Calculateur!V131*Calculateur!X131*VLOOKUP('Données projet'!$B$9,Paramètres!$A$1:$I$89,3,0)*0.475*44/12</f>
        <v>0.54484653165867569</v>
      </c>
      <c r="AB131" s="23">
        <f>EXP(-LN(2)/2)*AB130+(1-EXP(-LN(2)/2))/(LN(2)/2)*V131*Y131*VLOOKUP('Données projet'!$B$9,Paramètres!$A$1:$I$89,3,0)*0.475*44/12</f>
        <v>1.081411792046442E-14</v>
      </c>
      <c r="AC131" s="24">
        <f t="shared" si="57"/>
        <v>1.1855791338198478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-2.8421709430404007E-13</v>
      </c>
      <c r="AJ131" s="14">
        <f>AI131*VLOOKUP('Données projet'!$B$10,Paramètres!$A$1:$I$89,3,0)*VLOOKUP('Données projet'!$B$10,Paramètres!$A$1:$I$89,5,0)</f>
        <v>-1.69961822393816E-13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289.12367833861299</v>
      </c>
      <c r="AO131" s="62">
        <f t="shared" si="90"/>
        <v>229.06617320689003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7.3662588527153785E-15</v>
      </c>
      <c r="AX131" s="23">
        <f t="shared" si="60"/>
        <v>7.3662588527153785E-15</v>
      </c>
      <c r="AY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3.2</v>
      </c>
      <c r="BD131" s="13">
        <f>IF('Données projet'!$A$88&gt;35,BD130+BC131-BL130,IF(A131&lt;'Données projet'!$A$88,$BA$205^A131,IF(A131='Données projet'!$A$88,'Données projet'!$B$88,BD130+BC131-BL130)))</f>
        <v>293.5999999999994</v>
      </c>
      <c r="BE131" s="14">
        <f>BD131*VLOOKUP('Données projet'!$B$11,Paramètres!$A$1:$I$89,3,0)*VLOOKUP('Données projet'!$B$11,Paramètres!$A$1:$I$89,5,0)</f>
        <v>265.64927999999946</v>
      </c>
      <c r="BF131" s="14">
        <f t="shared" si="91"/>
        <v>63.925065540346907</v>
      </c>
      <c r="BG131" s="22">
        <f t="shared" si="61"/>
        <v>574.00865181610322</v>
      </c>
      <c r="BH131" s="62">
        <f t="shared" si="62"/>
        <v>867.3419851494366</v>
      </c>
      <c r="BI131" s="62">
        <f ca="1">AVERAGE(OFFSET($BH$3,0,0,'Données projet'!$E$11+1,1))-AVERAGE(OFFSET($H$3,0,0,'Données projet'!$E$11+1,1))</f>
        <v>428.8489304403459</v>
      </c>
      <c r="BJ131" s="62">
        <f t="shared" si="92"/>
        <v>247.01165577562966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-1.7053025658242404E-13</v>
      </c>
      <c r="BZ131" s="14">
        <f>BY131*VLOOKUP('Données projet'!$B$12,Paramètres!$A$1:$I$89,3,0)*VLOOKUP('Données projet'!$B$12,Paramètres!$A$1:$I$89,5,0)</f>
        <v>-1.250327841262333E-13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290.85271051443431</v>
      </c>
      <c r="CE131" s="62">
        <f t="shared" si="94"/>
        <v>318.66958823451142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1.1368683772161603E-13</v>
      </c>
      <c r="CU131" s="18">
        <f>CT131*VLOOKUP('Données projet'!$B$13,Paramètres!$A$1:$I$89,3,0)*VLOOKUP('Données projet'!$B$13,Paramètres!$A$1:$I$89,5,0)</f>
        <v>8.8675733422860506E-14</v>
      </c>
      <c r="CV131" s="14">
        <f t="shared" si="95"/>
        <v>1.3509285393066301E-12</v>
      </c>
      <c r="CW131" s="22">
        <f t="shared" si="67"/>
        <v>2.5073107750038623E-12</v>
      </c>
      <c r="CX131" s="62">
        <f t="shared" si="68"/>
        <v>293.33333333333582</v>
      </c>
      <c r="CY131" s="62">
        <f ca="1">AVERAGE(OFFSET($CX$3,0,0,'Données projet'!$E$13+1,1))-AVERAGE(OFFSET($H$3,0,0,'Données projet'!$E$13+1,1))</f>
        <v>292.57482726862594</v>
      </c>
      <c r="CZ131" s="62">
        <f t="shared" si="96"/>
        <v>283.48738729114024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-1.7053025658242404E-13</v>
      </c>
      <c r="DP131" s="18">
        <f>DO131*VLOOKUP('Données projet'!$B$14,Paramètres!$A$1:$I$89,3,0)*VLOOKUP('Données projet'!$B$14,Paramètres!$A$1:$I$89,5,0)</f>
        <v>-1.3567387213697657E-13</v>
      </c>
      <c r="DQ131" s="14" t="e">
        <f t="shared" si="97"/>
        <v>#NUM!</v>
      </c>
      <c r="DR131" s="22" t="e">
        <f t="shared" si="70"/>
        <v>#NUM!</v>
      </c>
      <c r="DS131" s="62" t="e">
        <f t="shared" si="71"/>
        <v>#NUM!</v>
      </c>
      <c r="DT131" s="62">
        <f ca="1">AVERAGE(OFFSET($DS$3,0,0,'Données projet'!$E$14+1,1))-AVERAGE(OFFSET($H$3,0,0,'Données projet'!$E$14+1,1))</f>
        <v>312.53381881960331</v>
      </c>
      <c r="DU131" s="62">
        <f t="shared" si="98"/>
        <v>342.06887933351783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1.1368683772161603E-13</v>
      </c>
      <c r="EK131" s="18">
        <f>EJ131*VLOOKUP('Données projet'!$B$15,Paramètres!$A$1:$I$89,3,0)*VLOOKUP('Données projet'!$B$15,Paramètres!$A$1:$I$89,5,0)</f>
        <v>1.0818439477588981E-13</v>
      </c>
      <c r="EL131" s="14">
        <f t="shared" si="99"/>
        <v>1.6104228458716316E-12</v>
      </c>
      <c r="EM131" s="22">
        <f t="shared" si="73"/>
        <v>2.9932409441277661E-12</v>
      </c>
      <c r="EN131" s="62">
        <f t="shared" si="74"/>
        <v>293.33333333333633</v>
      </c>
      <c r="EO131" s="62">
        <f ca="1">AVERAGE(OFFSET($EN$3,0,0,'Données projet'!$E$15+1,1))-AVERAGE(OFFSET($H$3,0,0,'Données projet'!$E$15+1,1))</f>
        <v>363.37916970915211</v>
      </c>
      <c r="EP131" s="62">
        <f t="shared" si="100"/>
        <v>281.52963027844595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-6.2527760746888816E-13</v>
      </c>
      <c r="FF131" s="18">
        <f>FE131*VLOOKUP('Données projet'!$B$16,Paramètres!$A$1:$I$89,3,0)*VLOOKUP('Données projet'!$B$16,Paramètres!$A$1:$I$89,5,0)</f>
        <v>-2.9262992029543964E-13</v>
      </c>
      <c r="FG131" s="14" t="e">
        <f t="shared" si="101"/>
        <v>#NUM!</v>
      </c>
      <c r="FH131" s="22" t="e">
        <f t="shared" si="76"/>
        <v>#NUM!</v>
      </c>
      <c r="FI131" s="62" t="e">
        <f t="shared" si="77"/>
        <v>#NUM!</v>
      </c>
      <c r="FJ131" s="62">
        <f ca="1">AVERAGE(OFFSET($FI$3,0,0,'Données projet'!$E$16+1,1))-AVERAGE(OFFSET($H$3,0,0,'Données projet'!$E$16+1,1))</f>
        <v>245.47494516762282</v>
      </c>
      <c r="FK131" s="62">
        <f t="shared" si="102"/>
        <v>145.54897745089966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3.2</v>
      </c>
      <c r="FZ131" s="13">
        <f>IF('Données projet'!$A$244&gt;35,FZ130+FY131-GH130,IF(A131&lt;'Données projet'!$A$244,$FW$205^A131,IF(A131='Données projet'!$A$244,'Données projet'!$B$244,FZ130+FY131-GH130)))</f>
        <v>293.5999999999994</v>
      </c>
      <c r="GA131" s="18">
        <f>FZ131*VLOOKUP('Données projet'!$B$17,Paramètres!$A$1:$I$89,3,0)*VLOOKUP('Données projet'!$B$17,Paramètres!$A$1:$I$89,5,0)</f>
        <v>283.96991999999943</v>
      </c>
      <c r="GB131" s="14">
        <f t="shared" si="103"/>
        <v>67.805278435922148</v>
      </c>
      <c r="GC131" s="22">
        <f t="shared" si="79"/>
        <v>612.67513727589676</v>
      </c>
      <c r="GD131" s="62">
        <f t="shared" si="80"/>
        <v>906.00847060923002</v>
      </c>
      <c r="GE131" s="62">
        <f ca="1">AVERAGE(OFFSET($GD$3,0,0,'Données projet'!$E$17+1,1))-AVERAGE(OFFSET($H$3,0,0,'Données projet'!$E$17+1,1))</f>
        <v>455.50822833641354</v>
      </c>
      <c r="GF131" s="62">
        <f t="shared" si="104"/>
        <v>261.14722581688039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1.7053025658242404E-13</v>
      </c>
      <c r="GV131" s="18">
        <f>GU131*VLOOKUP('Données projet'!$B$18,Paramètres!$A$1:$I$89,3,0)*VLOOKUP('Données projet'!$B$18,Paramètres!$A$1:$I$89,5,0)</f>
        <v>1.1439169611549005E-13</v>
      </c>
      <c r="GW131" s="14">
        <f t="shared" si="105"/>
        <v>1.6918016515029816E-12</v>
      </c>
      <c r="GX131" s="22">
        <f t="shared" si="82"/>
        <v>3.1457867471021712E-12</v>
      </c>
      <c r="GY131" s="62">
        <f t="shared" si="83"/>
        <v>293.33333333333644</v>
      </c>
      <c r="GZ131" s="62">
        <f ca="1">AVERAGE(OFFSET($GY$3,0,0,'Données projet'!$E$18+1,1))-AVERAGE(OFFSET($H$3,0,0,'Données projet'!$E$18+1,1))</f>
        <v>312.06797204903796</v>
      </c>
      <c r="HA131" s="62">
        <f t="shared" si="106"/>
        <v>258.20189001775151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projet'!$B$18,Paramètres!$A$1:$I$89,3,0)*0.475*44/12</f>
        <v>0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84"/>
        <v>0</v>
      </c>
    </row>
    <row r="132" spans="1:218" s="5" customFormat="1" x14ac:dyDescent="0.25">
      <c r="A132" s="11">
        <f t="shared" si="85"/>
        <v>129</v>
      </c>
      <c r="B132" s="76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9">
        <f t="shared" ref="H132:H195" si="110">(B132+E132+F132)*44/12+(C132+D132)*0.475*44/12</f>
        <v>256.66666666666669</v>
      </c>
      <c r="I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2.2737367544323206E-13</v>
      </c>
      <c r="O132" s="14">
        <f>N132*VLOOKUP('Données projet'!$B$9,Paramètres!$A$1:$I$89,3,0)*VLOOKUP('Données projet'!$B$9,Paramètres!$A$1:$I$89,5,0)</f>
        <v>1.2710188457276673E-13</v>
      </c>
      <c r="P132" s="14">
        <f t="shared" si="87"/>
        <v>1.856866851063998E-12</v>
      </c>
      <c r="Q132" s="22">
        <f t="shared" si="108"/>
        <v>3.4554122145673649E-12</v>
      </c>
      <c r="R132" s="62">
        <f t="shared" si="109"/>
        <v>293.33333333333678</v>
      </c>
      <c r="S132" s="62">
        <f ca="1">AVERAGE(OFFSET($R$3,0,0,'Données projet'!$E$9+1,1))-AVERAGE(OFFSET($H$3,0,0,'Données projet'!$E$9+1,1))</f>
        <v>323.98185264074681</v>
      </c>
      <c r="T132" s="62">
        <f t="shared" si="88"/>
        <v>301.22207291854005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0.62816822664107907</v>
      </c>
      <c r="AA132" s="23">
        <f>EXP(-LN(2)/25)*AA131+(1-EXP(-LN(2)/25))/(LN(2)/25)*Calculateur!V132*Calculateur!X132*VLOOKUP('Données projet'!$B$9,Paramètres!$A$1:$I$89,3,0)*0.475*44/12</f>
        <v>0.52994767459823533</v>
      </c>
      <c r="AB132" s="23">
        <f>EXP(-LN(2)/2)*AB131+(1-EXP(-LN(2)/2))/(LN(2)/2)*V132*Y132*VLOOKUP('Données projet'!$B$9,Paramètres!$A$1:$I$89,3,0)*0.475*44/12</f>
        <v>7.6467361141113569E-15</v>
      </c>
      <c r="AC132" s="24">
        <f t="shared" ref="AC132:AC153" si="111">SUM(Z132:AB132)</f>
        <v>1.1581159012393218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-2.8421709430404007E-13</v>
      </c>
      <c r="AJ132" s="14">
        <f>AI132*VLOOKUP('Données projet'!$B$10,Paramètres!$A$1:$I$89,3,0)*VLOOKUP('Données projet'!$B$10,Paramètres!$A$1:$I$89,5,0)</f>
        <v>-1.69961822393816E-13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289.12367833861299</v>
      </c>
      <c r="AO132" s="62">
        <f t="shared" si="90"/>
        <v>229.06617320689003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5.2087315867304818E-15</v>
      </c>
      <c r="AX132" s="23">
        <f t="shared" ref="AX132:AX153" si="114">SUM(AU132:AW132)</f>
        <v>5.2087315867304818E-15</v>
      </c>
      <c r="AY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3.2</v>
      </c>
      <c r="BD132" s="13">
        <f>IF('Données projet'!$A$88&gt;35,BD131+BC132-BL131,IF(A132&lt;'Données projet'!$A$88,$BA$205^A132,IF(A132='Données projet'!$A$88,'Données projet'!$B$88,BD131+BC132-BL131)))</f>
        <v>296.79999999999939</v>
      </c>
      <c r="BE132" s="14">
        <f>BD132*VLOOKUP('Données projet'!$B$11,Paramètres!$A$1:$I$89,3,0)*VLOOKUP('Données projet'!$B$11,Paramètres!$A$1:$I$89,5,0)</f>
        <v>268.54463999999945</v>
      </c>
      <c r="BF132" s="14">
        <f t="shared" si="91"/>
        <v>64.540308076050593</v>
      </c>
      <c r="BG132" s="22">
        <f t="shared" ref="BG132:BG153" si="115">(BE132+BF132)*0.475*44/12</f>
        <v>580.12295123245383</v>
      </c>
      <c r="BH132" s="62">
        <f t="shared" ref="BH132:BH195" si="116">BG132+(AY132+AZ132)*44/12</f>
        <v>873.4562845657872</v>
      </c>
      <c r="BI132" s="62">
        <f ca="1">AVERAGE(OFFSET($BH$3,0,0,'Données projet'!$E$11+1,1))-AVERAGE(OFFSET($H$3,0,0,'Données projet'!$E$11+1,1))</f>
        <v>428.8489304403459</v>
      </c>
      <c r="BJ132" s="62">
        <f t="shared" si="92"/>
        <v>247.01165577562966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-1.7053025658242404E-13</v>
      </c>
      <c r="BZ132" s="14">
        <f>BY132*VLOOKUP('Données projet'!$B$12,Paramètres!$A$1:$I$89,3,0)*VLOOKUP('Données projet'!$B$12,Paramètres!$A$1:$I$89,5,0)</f>
        <v>-1.250327841262333E-13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290.85271051443431</v>
      </c>
      <c r="CE132" s="62">
        <f t="shared" si="94"/>
        <v>318.66958823451142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1.1368683772161603E-13</v>
      </c>
      <c r="CU132" s="18">
        <f>CT132*VLOOKUP('Données projet'!$B$13,Paramètres!$A$1:$I$89,3,0)*VLOOKUP('Données projet'!$B$13,Paramètres!$A$1:$I$89,5,0)</f>
        <v>8.8675733422860506E-14</v>
      </c>
      <c r="CV132" s="14">
        <f t="shared" si="95"/>
        <v>1.3509285393066301E-12</v>
      </c>
      <c r="CW132" s="22">
        <f t="shared" ref="CW132:CW153" si="121">(CU132+CV132)*0.475*44/12</f>
        <v>2.5073107750038623E-12</v>
      </c>
      <c r="CX132" s="62">
        <f t="shared" ref="CX132:CX195" si="122">CW132+(CO132+CP132)*44/12</f>
        <v>293.33333333333582</v>
      </c>
      <c r="CY132" s="62">
        <f ca="1">AVERAGE(OFFSET($CX$3,0,0,'Données projet'!$E$13+1,1))-AVERAGE(OFFSET($H$3,0,0,'Données projet'!$E$13+1,1))</f>
        <v>292.57482726862594</v>
      </c>
      <c r="CZ132" s="62">
        <f t="shared" si="96"/>
        <v>283.48738729114024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-1.7053025658242404E-13</v>
      </c>
      <c r="DP132" s="18">
        <f>DO132*VLOOKUP('Données projet'!$B$14,Paramètres!$A$1:$I$89,3,0)*VLOOKUP('Données projet'!$B$14,Paramètres!$A$1:$I$89,5,0)</f>
        <v>-1.3567387213697657E-13</v>
      </c>
      <c r="DQ132" s="14" t="e">
        <f t="shared" si="97"/>
        <v>#NUM!</v>
      </c>
      <c r="DR132" s="22" t="e">
        <f t="shared" ref="DR132:DR153" si="124">(DP132+DQ132)*0.475*44/12</f>
        <v>#NUM!</v>
      </c>
      <c r="DS132" s="62" t="e">
        <f t="shared" ref="DS132:DS195" si="125">DR132+(DJ132+DK132)*44/12</f>
        <v>#NUM!</v>
      </c>
      <c r="DT132" s="62">
        <f ca="1">AVERAGE(OFFSET($DS$3,0,0,'Données projet'!$E$14+1,1))-AVERAGE(OFFSET($H$3,0,0,'Données projet'!$E$14+1,1))</f>
        <v>312.53381881960331</v>
      </c>
      <c r="DU132" s="62">
        <f t="shared" si="98"/>
        <v>342.06887933351783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1.1368683772161603E-13</v>
      </c>
      <c r="EK132" s="18">
        <f>EJ132*VLOOKUP('Données projet'!$B$15,Paramètres!$A$1:$I$89,3,0)*VLOOKUP('Données projet'!$B$15,Paramètres!$A$1:$I$89,5,0)</f>
        <v>1.0818439477588981E-13</v>
      </c>
      <c r="EL132" s="14">
        <f t="shared" si="99"/>
        <v>1.6104228458716316E-12</v>
      </c>
      <c r="EM132" s="22">
        <f t="shared" ref="EM132:EM153" si="127">(EK132+EL132)*0.475*44/12</f>
        <v>2.9932409441277661E-12</v>
      </c>
      <c r="EN132" s="62">
        <f t="shared" ref="EN132:EN195" si="128">EM132+(EE132+EF132)*44/12</f>
        <v>293.33333333333633</v>
      </c>
      <c r="EO132" s="62">
        <f ca="1">AVERAGE(OFFSET($EN$3,0,0,'Données projet'!$E$15+1,1))-AVERAGE(OFFSET($H$3,0,0,'Données projet'!$E$15+1,1))</f>
        <v>363.37916970915211</v>
      </c>
      <c r="EP132" s="62">
        <f t="shared" si="100"/>
        <v>281.52963027844595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-6.2527760746888816E-13</v>
      </c>
      <c r="FF132" s="18">
        <f>FE132*VLOOKUP('Données projet'!$B$16,Paramètres!$A$1:$I$89,3,0)*VLOOKUP('Données projet'!$B$16,Paramètres!$A$1:$I$89,5,0)</f>
        <v>-2.9262992029543964E-13</v>
      </c>
      <c r="FG132" s="14" t="e">
        <f t="shared" si="101"/>
        <v>#NUM!</v>
      </c>
      <c r="FH132" s="22" t="e">
        <f t="shared" ref="FH132:FH153" si="130">(FF132+FG132)*0.475*44/12</f>
        <v>#NUM!</v>
      </c>
      <c r="FI132" s="62" t="e">
        <f t="shared" ref="FI132:FI195" si="131">FH132+(EZ132+FA132)*44/12</f>
        <v>#NUM!</v>
      </c>
      <c r="FJ132" s="62">
        <f ca="1">AVERAGE(OFFSET($FI$3,0,0,'Données projet'!$E$16+1,1))-AVERAGE(OFFSET($H$3,0,0,'Données projet'!$E$16+1,1))</f>
        <v>245.47494516762282</v>
      </c>
      <c r="FK132" s="62">
        <f t="shared" si="102"/>
        <v>145.54897745089966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3.2</v>
      </c>
      <c r="FZ132" s="13">
        <f>IF('Données projet'!$A$244&gt;35,FZ131+FY132-GH131,IF(A132&lt;'Données projet'!$A$244,$FW$205^A132,IF(A132='Données projet'!$A$244,'Données projet'!$B$244,FZ131+FY132-GH131)))</f>
        <v>296.79999999999939</v>
      </c>
      <c r="GA132" s="18">
        <f>FZ132*VLOOKUP('Données projet'!$B$17,Paramètres!$A$1:$I$89,3,0)*VLOOKUP('Données projet'!$B$17,Paramètres!$A$1:$I$89,5,0)</f>
        <v>287.06495999999942</v>
      </c>
      <c r="GB132" s="14">
        <f t="shared" si="103"/>
        <v>68.457865822206202</v>
      </c>
      <c r="GC132" s="22">
        <f t="shared" ref="GC132:GC153" si="133">(GA132+GB132)*0.475*44/12</f>
        <v>619.20225497367471</v>
      </c>
      <c r="GD132" s="62">
        <f t="shared" ref="GD132:GD195" si="134">GC132+(FU132+FV132)*44/12</f>
        <v>912.53558830700808</v>
      </c>
      <c r="GE132" s="62">
        <f ca="1">AVERAGE(OFFSET($GD$3,0,0,'Données projet'!$E$17+1,1))-AVERAGE(OFFSET($H$3,0,0,'Données projet'!$E$17+1,1))</f>
        <v>455.50822833641354</v>
      </c>
      <c r="GF132" s="62">
        <f t="shared" si="104"/>
        <v>261.14722581688039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1.7053025658242404E-13</v>
      </c>
      <c r="GV132" s="18">
        <f>GU132*VLOOKUP('Données projet'!$B$18,Paramètres!$A$1:$I$89,3,0)*VLOOKUP('Données projet'!$B$18,Paramètres!$A$1:$I$89,5,0)</f>
        <v>1.1439169611549005E-13</v>
      </c>
      <c r="GW132" s="14">
        <f t="shared" si="105"/>
        <v>1.6918016515029816E-12</v>
      </c>
      <c r="GX132" s="22">
        <f t="shared" ref="GX132:GX153" si="136">(GV132+GW132)*0.475*44/12</f>
        <v>3.1457867471021712E-12</v>
      </c>
      <c r="GY132" s="62">
        <f t="shared" ref="GY132:GY195" si="137">GX132+(GP132+GQ132)*44/12</f>
        <v>293.33333333333644</v>
      </c>
      <c r="GZ132" s="62">
        <f ca="1">AVERAGE(OFFSET($GY$3,0,0,'Données projet'!$E$18+1,1))-AVERAGE(OFFSET($H$3,0,0,'Données projet'!$E$18+1,1))</f>
        <v>312.06797204903796</v>
      </c>
      <c r="HA132" s="62">
        <f t="shared" si="106"/>
        <v>258.20189001775151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projet'!$B$18,Paramètres!$A$1:$I$89,3,0)*0.475*44/12</f>
        <v>0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138">SUM(HG132:HI132)</f>
        <v>0</v>
      </c>
    </row>
    <row r="133" spans="1:218" s="5" customFormat="1" x14ac:dyDescent="0.25">
      <c r="A133" s="11">
        <f t="shared" ref="A133:A152" si="139">A132+1</f>
        <v>130</v>
      </c>
      <c r="B133" s="76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9">
        <f t="shared" si="110"/>
        <v>256.66666666666669</v>
      </c>
      <c r="I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2.2737367544323206E-13</v>
      </c>
      <c r="O133" s="14">
        <f>N133*VLOOKUP('Données projet'!$B$9,Paramètres!$A$1:$I$89,3,0)*VLOOKUP('Données projet'!$B$9,Paramètres!$A$1:$I$89,5,0)</f>
        <v>1.2710188457276673E-13</v>
      </c>
      <c r="P133" s="14">
        <f t="shared" ref="P133:P196" si="141">EXP(-1.0587+0.8836*LN(O133)+0.284)</f>
        <v>1.856866851063998E-12</v>
      </c>
      <c r="Q133" s="22">
        <f t="shared" si="108"/>
        <v>3.4554122145673649E-12</v>
      </c>
      <c r="R133" s="62">
        <f t="shared" si="109"/>
        <v>293.33333333333678</v>
      </c>
      <c r="S133" s="62">
        <f ca="1">AVERAGE(OFFSET($R$3,0,0,'Données projet'!$E$9+1,1))-AVERAGE(OFFSET($H$3,0,0,'Données projet'!$E$9+1,1))</f>
        <v>323.98185264074681</v>
      </c>
      <c r="T133" s="62">
        <f t="shared" ref="T133:T196" si="142">$T$3</f>
        <v>301.22207291854005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0.61585023086143331</v>
      </c>
      <c r="AA133" s="23">
        <f>EXP(-LN(2)/25)*AA132+(1-EXP(-LN(2)/25))/(LN(2)/25)*Calculateur!V133*Calculateur!X133*VLOOKUP('Données projet'!$B$9,Paramètres!$A$1:$I$89,3,0)*0.475*44/12</f>
        <v>0.51545622756760956</v>
      </c>
      <c r="AB133" s="23">
        <f>EXP(-LN(2)/2)*AB132+(1-EXP(-LN(2)/2))/(LN(2)/2)*V133*Y133*VLOOKUP('Données projet'!$B$9,Paramètres!$A$1:$I$89,3,0)*0.475*44/12</f>
        <v>5.40705896023221E-15</v>
      </c>
      <c r="AC133" s="24">
        <f t="shared" si="111"/>
        <v>1.1313064584290482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-2.8421709430404007E-13</v>
      </c>
      <c r="AJ133" s="14">
        <f>AI133*VLOOKUP('Données projet'!$B$10,Paramètres!$A$1:$I$89,3,0)*VLOOKUP('Données projet'!$B$10,Paramètres!$A$1:$I$89,5,0)</f>
        <v>-1.69961822393816E-13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289.12367833861299</v>
      </c>
      <c r="AO133" s="62">
        <f t="shared" ref="AO133:AO196" si="144">$AO$3</f>
        <v>229.06617320689003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3.6831294263576892E-15</v>
      </c>
      <c r="AX133" s="23">
        <f t="shared" si="114"/>
        <v>3.6831294263576892E-15</v>
      </c>
      <c r="AY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300</v>
      </c>
      <c r="BB133" s="13">
        <f>VLOOKUP(A133,'Données projet'!$A$87:$I$107,9,0)</f>
        <v>3.2</v>
      </c>
      <c r="BC133" s="13">
        <f t="array" ref="BC133">INDEX(BB:BB,MIN(IF(ISNUMBER(BB133:BB329),ROW(BB133:BB329),"")))</f>
        <v>3.2</v>
      </c>
      <c r="BD133" s="13">
        <f>IF('Données projet'!$A$88&gt;35,BD132+BC133-BL132,IF(A133&lt;'Données projet'!$A$88,$BA$205^A133,IF(A133='Données projet'!$A$88,'Données projet'!$B$88,BD132+BC133-BL132)))</f>
        <v>299.99999999999937</v>
      </c>
      <c r="BE133" s="14">
        <f>BD133*VLOOKUP('Données projet'!$B$11,Paramètres!$A$1:$I$89,3,0)*VLOOKUP('Données projet'!$B$11,Paramètres!$A$1:$I$89,5,0)</f>
        <v>271.43999999999943</v>
      </c>
      <c r="BF133" s="14">
        <f t="shared" ref="BF133:BF153" si="145">EXP(-1.0587+0.8836*LN(BE133)+0.284)</f>
        <v>65.154778959151116</v>
      </c>
      <c r="BG133" s="22">
        <f t="shared" si="115"/>
        <v>586.23590668718714</v>
      </c>
      <c r="BH133" s="62">
        <f t="shared" si="116"/>
        <v>879.56924002052051</v>
      </c>
      <c r="BI133" s="62">
        <f ca="1">AVERAGE(OFFSET($BH$3,0,0,'Données projet'!$E$11+1,1))-AVERAGE(OFFSET($H$3,0,0,'Données projet'!$E$11+1,1))</f>
        <v>428.8489304403459</v>
      </c>
      <c r="BJ133" s="62">
        <f t="shared" ref="BJ133:BJ196" si="146">$BJ$3</f>
        <v>247.01165577562966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31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-1.7053025658242404E-13</v>
      </c>
      <c r="BZ133" s="14">
        <f>BY133*VLOOKUP('Données projet'!$B$12,Paramètres!$A$1:$I$89,3,0)*VLOOKUP('Données projet'!$B$12,Paramètres!$A$1:$I$89,5,0)</f>
        <v>-1.250327841262333E-13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290.85271051443431</v>
      </c>
      <c r="CE133" s="62">
        <f t="shared" ref="CE133:CE196" si="148">$CE$3</f>
        <v>318.66958823451142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1.1368683772161603E-13</v>
      </c>
      <c r="CU133" s="18">
        <f>CT133*VLOOKUP('Données projet'!$B$13,Paramètres!$A$1:$I$89,3,0)*VLOOKUP('Données projet'!$B$13,Paramètres!$A$1:$I$89,5,0)</f>
        <v>8.8675733422860506E-14</v>
      </c>
      <c r="CV133" s="14">
        <f t="shared" ref="CV133:CV153" si="149">EXP(-1.0587+0.8836*LN(CU133)+0.284)</f>
        <v>1.3509285393066301E-12</v>
      </c>
      <c r="CW133" s="22">
        <f t="shared" si="121"/>
        <v>2.5073107750038623E-12</v>
      </c>
      <c r="CX133" s="62">
        <f t="shared" si="122"/>
        <v>293.33333333333582</v>
      </c>
      <c r="CY133" s="62">
        <f ca="1">AVERAGE(OFFSET($CX$3,0,0,'Données projet'!$E$13+1,1))-AVERAGE(OFFSET($H$3,0,0,'Données projet'!$E$13+1,1))</f>
        <v>292.57482726862594</v>
      </c>
      <c r="CZ133" s="62">
        <f t="shared" ref="CZ133:CZ196" si="150">$CZ$3</f>
        <v>283.48738729114024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-1.7053025658242404E-13</v>
      </c>
      <c r="DP133" s="18">
        <f>DO133*VLOOKUP('Données projet'!$B$14,Paramètres!$A$1:$I$89,3,0)*VLOOKUP('Données projet'!$B$14,Paramètres!$A$1:$I$89,5,0)</f>
        <v>-1.3567387213697657E-13</v>
      </c>
      <c r="DQ133" s="14" t="e">
        <f t="shared" ref="DQ133:DQ153" si="151">EXP(-1.0587+0.8836*LN(DP133)+0.284)</f>
        <v>#NUM!</v>
      </c>
      <c r="DR133" s="22" t="e">
        <f t="shared" si="124"/>
        <v>#NUM!</v>
      </c>
      <c r="DS133" s="62" t="e">
        <f t="shared" si="125"/>
        <v>#NUM!</v>
      </c>
      <c r="DT133" s="62">
        <f ca="1">AVERAGE(OFFSET($DS$3,0,0,'Données projet'!$E$14+1,1))-AVERAGE(OFFSET($H$3,0,0,'Données projet'!$E$14+1,1))</f>
        <v>312.53381881960331</v>
      </c>
      <c r="DU133" s="62">
        <f t="shared" ref="DU133:DU196" si="152">$DU$3</f>
        <v>342.06887933351783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1.1368683772161603E-13</v>
      </c>
      <c r="EK133" s="18">
        <f>EJ133*VLOOKUP('Données projet'!$B$15,Paramètres!$A$1:$I$89,3,0)*VLOOKUP('Données projet'!$B$15,Paramètres!$A$1:$I$89,5,0)</f>
        <v>1.0818439477588981E-13</v>
      </c>
      <c r="EL133" s="14">
        <f t="shared" ref="EL133:EL153" si="153">EXP(-1.0587+0.8836*LN(EK133)+0.284)</f>
        <v>1.6104228458716316E-12</v>
      </c>
      <c r="EM133" s="22">
        <f t="shared" si="127"/>
        <v>2.9932409441277661E-12</v>
      </c>
      <c r="EN133" s="62">
        <f t="shared" si="128"/>
        <v>293.33333333333633</v>
      </c>
      <c r="EO133" s="62">
        <f ca="1">AVERAGE(OFFSET($EN$3,0,0,'Données projet'!$E$15+1,1))-AVERAGE(OFFSET($H$3,0,0,'Données projet'!$E$15+1,1))</f>
        <v>363.37916970915211</v>
      </c>
      <c r="EP133" s="62">
        <f t="shared" ref="EP133:EP196" si="154">$EP$3</f>
        <v>281.52963027844595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-6.2527760746888816E-13</v>
      </c>
      <c r="FF133" s="18">
        <f>FE133*VLOOKUP('Données projet'!$B$16,Paramètres!$A$1:$I$89,3,0)*VLOOKUP('Données projet'!$B$16,Paramètres!$A$1:$I$89,5,0)</f>
        <v>-2.9262992029543964E-13</v>
      </c>
      <c r="FG133" s="14" t="e">
        <f t="shared" ref="FG133:FG153" si="155">EXP(-1.0587+0.8836*LN(FF133)+0.284)</f>
        <v>#NUM!</v>
      </c>
      <c r="FH133" s="22" t="e">
        <f t="shared" si="130"/>
        <v>#NUM!</v>
      </c>
      <c r="FI133" s="62" t="e">
        <f t="shared" si="131"/>
        <v>#NUM!</v>
      </c>
      <c r="FJ133" s="62">
        <f ca="1">AVERAGE(OFFSET($FI$3,0,0,'Données projet'!$E$16+1,1))-AVERAGE(OFFSET($H$3,0,0,'Données projet'!$E$16+1,1))</f>
        <v>245.47494516762282</v>
      </c>
      <c r="FK133" s="62">
        <f t="shared" ref="FK133:FK196" si="156">$FK$3</f>
        <v>145.54897745089966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>
        <f>VLOOKUP(A133,'Données projet'!$A$243:$I$263,2,0)</f>
        <v>300</v>
      </c>
      <c r="FX133" s="13">
        <f>VLOOKUP(A133,'Données projet'!$A$243:$I$263,9,0)</f>
        <v>3.2</v>
      </c>
      <c r="FY133" s="13">
        <f t="array" ref="FY133">INDEX(FX:FX,MIN(IF(ISNUMBER(FX133:FX329),ROW(FX133:FX329),"")))</f>
        <v>3.2</v>
      </c>
      <c r="FZ133" s="13">
        <f>IF('Données projet'!$A$244&gt;35,FZ132+FY133-GH132,IF(A133&lt;'Données projet'!$A$244,$FW$205^A133,IF(A133='Données projet'!$A$244,'Données projet'!$B$244,FZ132+FY133-GH132)))</f>
        <v>299.99999999999937</v>
      </c>
      <c r="GA133" s="18">
        <f>FZ133*VLOOKUP('Données projet'!$B$17,Paramètres!$A$1:$I$89,3,0)*VLOOKUP('Données projet'!$B$17,Paramètres!$A$1:$I$89,5,0)</f>
        <v>290.1599999999994</v>
      </c>
      <c r="GB133" s="14">
        <f t="shared" ref="GB133:GB153" si="157">EXP(-1.0587+0.8836*LN(GA133)+0.284)</f>
        <v>69.10963471703981</v>
      </c>
      <c r="GC133" s="22">
        <f t="shared" si="133"/>
        <v>625.72794713217661</v>
      </c>
      <c r="GD133" s="62">
        <f t="shared" si="134"/>
        <v>919.06128046550998</v>
      </c>
      <c r="GE133" s="62">
        <f ca="1">AVERAGE(OFFSET($GD$3,0,0,'Données projet'!$E$17+1,1))-AVERAGE(OFFSET($H$3,0,0,'Données projet'!$E$17+1,1))</f>
        <v>455.50822833641354</v>
      </c>
      <c r="GF133" s="62">
        <f t="shared" ref="GF133:GF196" si="158">$GF$3</f>
        <v>261.14722581688039</v>
      </c>
      <c r="GG133" s="16">
        <f>IF(ISNA(VLOOKUP(A133,'Données projet'!$A$243:$I$263,3,0)),0,VLOOKUP(A133,'Données projet'!$A$243:$I$263,3,0))</f>
        <v>11</v>
      </c>
      <c r="GH133" s="16">
        <f>IF(ISNA(VLOOKUP(A133,'Données projet'!$A$243:$I$263,4,0)),0,VLOOKUP(A133,'Données projet'!$A$243:$I$263,4,0))</f>
        <v>31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1.7053025658242404E-13</v>
      </c>
      <c r="GV133" s="18">
        <f>GU133*VLOOKUP('Données projet'!$B$18,Paramètres!$A$1:$I$89,3,0)*VLOOKUP('Données projet'!$B$18,Paramètres!$A$1:$I$89,5,0)</f>
        <v>1.1439169611549005E-13</v>
      </c>
      <c r="GW133" s="14">
        <f t="shared" ref="GW133:GW153" si="159">EXP(-1.0587+0.8836*LN(GV133)+0.284)</f>
        <v>1.6918016515029816E-12</v>
      </c>
      <c r="GX133" s="22">
        <f t="shared" si="136"/>
        <v>3.1457867471021712E-12</v>
      </c>
      <c r="GY133" s="62">
        <f t="shared" si="137"/>
        <v>293.33333333333644</v>
      </c>
      <c r="GZ133" s="62">
        <f ca="1">AVERAGE(OFFSET($GY$3,0,0,'Données projet'!$E$18+1,1))-AVERAGE(OFFSET($H$3,0,0,'Données projet'!$E$18+1,1))</f>
        <v>312.06797204903796</v>
      </c>
      <c r="HA133" s="62">
        <f t="shared" ref="HA133:HA196" si="160">$HA$3</f>
        <v>258.20189001775151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projet'!$B$18,Paramètres!$A$1:$I$89,3,0)*0.475*44/12</f>
        <v>0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138"/>
        <v>0</v>
      </c>
    </row>
    <row r="134" spans="1:218" s="5" customFormat="1" x14ac:dyDescent="0.25">
      <c r="A134" s="11">
        <f t="shared" si="139"/>
        <v>131</v>
      </c>
      <c r="B134" s="76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9">
        <f t="shared" si="110"/>
        <v>256.66666666666669</v>
      </c>
      <c r="I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2.2737367544323206E-13</v>
      </c>
      <c r="O134" s="14">
        <f>N134*VLOOKUP('Données projet'!$B$9,Paramètres!$A$1:$I$89,3,0)*VLOOKUP('Données projet'!$B$9,Paramètres!$A$1:$I$89,5,0)</f>
        <v>1.2710188457276673E-13</v>
      </c>
      <c r="P134" s="14">
        <f t="shared" si="141"/>
        <v>1.856866851063998E-12</v>
      </c>
      <c r="Q134" s="22">
        <f t="shared" si="108"/>
        <v>3.4554122145673649E-12</v>
      </c>
      <c r="R134" s="62">
        <f t="shared" si="109"/>
        <v>293.33333333333678</v>
      </c>
      <c r="S134" s="62">
        <f ca="1">AVERAGE(OFFSET($R$3,0,0,'Données projet'!$E$9+1,1))-AVERAGE(OFFSET($H$3,0,0,'Données projet'!$E$9+1,1))</f>
        <v>323.98185264074681</v>
      </c>
      <c r="T134" s="62">
        <f t="shared" si="142"/>
        <v>301.22207291854005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0.60377378346579091</v>
      </c>
      <c r="AA134" s="23">
        <f>EXP(-LN(2)/25)*AA133+(1-EXP(-LN(2)/25))/(LN(2)/25)*Calculateur!V134*Calculateur!X134*VLOOKUP('Données projet'!$B$9,Paramètres!$A$1:$I$89,3,0)*0.475*44/12</f>
        <v>0.50136104991810837</v>
      </c>
      <c r="AB134" s="23">
        <f>EXP(-LN(2)/2)*AB133+(1-EXP(-LN(2)/2))/(LN(2)/2)*V134*Y134*VLOOKUP('Données projet'!$B$9,Paramètres!$A$1:$I$89,3,0)*0.475*44/12</f>
        <v>3.8233680570556784E-15</v>
      </c>
      <c r="AC134" s="24">
        <f t="shared" si="111"/>
        <v>1.1051348333839031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-2.8421709430404007E-13</v>
      </c>
      <c r="AJ134" s="14">
        <f>AI134*VLOOKUP('Données projet'!$B$10,Paramètres!$A$1:$I$89,3,0)*VLOOKUP('Données projet'!$B$10,Paramètres!$A$1:$I$89,5,0)</f>
        <v>-1.69961822393816E-13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289.12367833861299</v>
      </c>
      <c r="AO134" s="62">
        <f t="shared" si="144"/>
        <v>229.06617320689003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2.6043657933652409E-15</v>
      </c>
      <c r="AX134" s="23">
        <f t="shared" si="114"/>
        <v>2.6043657933652409E-15</v>
      </c>
      <c r="AY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2.7</v>
      </c>
      <c r="BD134" s="13">
        <f>IF('Données projet'!$A$88&gt;35,BD133+BC134-BL133,IF(A134&lt;'Données projet'!$A$88,$BA$205^A134,IF(A134='Données projet'!$A$88,'Données projet'!$B$88,BD133+BC134-BL133)))</f>
        <v>271.69999999999936</v>
      </c>
      <c r="BE134" s="14">
        <f>BD134*VLOOKUP('Données projet'!$B$11,Paramètres!$A$1:$I$89,3,0)*VLOOKUP('Données projet'!$B$11,Paramètres!$A$1:$I$89,5,0)</f>
        <v>245.8341599999994</v>
      </c>
      <c r="BF134" s="14">
        <f t="shared" si="145"/>
        <v>59.693018383856675</v>
      </c>
      <c r="BG134" s="22">
        <f t="shared" si="115"/>
        <v>532.12650235188266</v>
      </c>
      <c r="BH134" s="62">
        <f t="shared" si="116"/>
        <v>825.45983568521592</v>
      </c>
      <c r="BI134" s="62">
        <f ca="1">AVERAGE(OFFSET($BH$3,0,0,'Données projet'!$E$11+1,1))-AVERAGE(OFFSET($H$3,0,0,'Données projet'!$E$11+1,1))</f>
        <v>428.8489304403459</v>
      </c>
      <c r="BJ134" s="62">
        <f t="shared" si="146"/>
        <v>247.01165577562966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-1.7053025658242404E-13</v>
      </c>
      <c r="BZ134" s="14">
        <f>BY134*VLOOKUP('Données projet'!$B$12,Paramètres!$A$1:$I$89,3,0)*VLOOKUP('Données projet'!$B$12,Paramètres!$A$1:$I$89,5,0)</f>
        <v>-1.250327841262333E-13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290.85271051443431</v>
      </c>
      <c r="CE134" s="62">
        <f t="shared" si="148"/>
        <v>318.66958823451142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1.1368683772161603E-13</v>
      </c>
      <c r="CU134" s="18">
        <f>CT134*VLOOKUP('Données projet'!$B$13,Paramètres!$A$1:$I$89,3,0)*VLOOKUP('Données projet'!$B$13,Paramètres!$A$1:$I$89,5,0)</f>
        <v>8.8675733422860506E-14</v>
      </c>
      <c r="CV134" s="14">
        <f t="shared" si="149"/>
        <v>1.3509285393066301E-12</v>
      </c>
      <c r="CW134" s="22">
        <f t="shared" si="121"/>
        <v>2.5073107750038623E-12</v>
      </c>
      <c r="CX134" s="62">
        <f t="shared" si="122"/>
        <v>293.33333333333582</v>
      </c>
      <c r="CY134" s="62">
        <f ca="1">AVERAGE(OFFSET($CX$3,0,0,'Données projet'!$E$13+1,1))-AVERAGE(OFFSET($H$3,0,0,'Données projet'!$E$13+1,1))</f>
        <v>292.57482726862594</v>
      </c>
      <c r="CZ134" s="62">
        <f t="shared" si="150"/>
        <v>283.48738729114024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-1.7053025658242404E-13</v>
      </c>
      <c r="DP134" s="18">
        <f>DO134*VLOOKUP('Données projet'!$B$14,Paramètres!$A$1:$I$89,3,0)*VLOOKUP('Données projet'!$B$14,Paramètres!$A$1:$I$89,5,0)</f>
        <v>-1.3567387213697657E-13</v>
      </c>
      <c r="DQ134" s="14" t="e">
        <f t="shared" si="151"/>
        <v>#NUM!</v>
      </c>
      <c r="DR134" s="22" t="e">
        <f t="shared" si="124"/>
        <v>#NUM!</v>
      </c>
      <c r="DS134" s="62" t="e">
        <f t="shared" si="125"/>
        <v>#NUM!</v>
      </c>
      <c r="DT134" s="62">
        <f ca="1">AVERAGE(OFFSET($DS$3,0,0,'Données projet'!$E$14+1,1))-AVERAGE(OFFSET($H$3,0,0,'Données projet'!$E$14+1,1))</f>
        <v>312.53381881960331</v>
      </c>
      <c r="DU134" s="62">
        <f t="shared" si="152"/>
        <v>342.06887933351783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1.1368683772161603E-13</v>
      </c>
      <c r="EK134" s="18">
        <f>EJ134*VLOOKUP('Données projet'!$B$15,Paramètres!$A$1:$I$89,3,0)*VLOOKUP('Données projet'!$B$15,Paramètres!$A$1:$I$89,5,0)</f>
        <v>1.0818439477588981E-13</v>
      </c>
      <c r="EL134" s="14">
        <f t="shared" si="153"/>
        <v>1.6104228458716316E-12</v>
      </c>
      <c r="EM134" s="22">
        <f t="shared" si="127"/>
        <v>2.9932409441277661E-12</v>
      </c>
      <c r="EN134" s="62">
        <f t="shared" si="128"/>
        <v>293.33333333333633</v>
      </c>
      <c r="EO134" s="62">
        <f ca="1">AVERAGE(OFFSET($EN$3,0,0,'Données projet'!$E$15+1,1))-AVERAGE(OFFSET($H$3,0,0,'Données projet'!$E$15+1,1))</f>
        <v>363.37916970915211</v>
      </c>
      <c r="EP134" s="62">
        <f t="shared" si="154"/>
        <v>281.52963027844595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-6.2527760746888816E-13</v>
      </c>
      <c r="FF134" s="18">
        <f>FE134*VLOOKUP('Données projet'!$B$16,Paramètres!$A$1:$I$89,3,0)*VLOOKUP('Données projet'!$B$16,Paramètres!$A$1:$I$89,5,0)</f>
        <v>-2.9262992029543964E-13</v>
      </c>
      <c r="FG134" s="14" t="e">
        <f t="shared" si="155"/>
        <v>#NUM!</v>
      </c>
      <c r="FH134" s="22" t="e">
        <f t="shared" si="130"/>
        <v>#NUM!</v>
      </c>
      <c r="FI134" s="62" t="e">
        <f t="shared" si="131"/>
        <v>#NUM!</v>
      </c>
      <c r="FJ134" s="62">
        <f ca="1">AVERAGE(OFFSET($FI$3,0,0,'Données projet'!$E$16+1,1))-AVERAGE(OFFSET($H$3,0,0,'Données projet'!$E$16+1,1))</f>
        <v>245.47494516762282</v>
      </c>
      <c r="FK134" s="62">
        <f t="shared" si="156"/>
        <v>145.54897745089966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2.7</v>
      </c>
      <c r="FZ134" s="13">
        <f>IF('Données projet'!$A$244&gt;35,FZ133+FY134-GH133,IF(A134&lt;'Données projet'!$A$244,$FW$205^A134,IF(A134='Données projet'!$A$244,'Données projet'!$B$244,FZ133+FY134-GH133)))</f>
        <v>271.69999999999936</v>
      </c>
      <c r="GA134" s="18">
        <f>FZ134*VLOOKUP('Données projet'!$B$17,Paramètres!$A$1:$I$89,3,0)*VLOOKUP('Données projet'!$B$17,Paramètres!$A$1:$I$89,5,0)</f>
        <v>262.7882399999994</v>
      </c>
      <c r="GB134" s="14">
        <f t="shared" si="157"/>
        <v>63.316348571334714</v>
      </c>
      <c r="GC134" s="22">
        <f t="shared" si="133"/>
        <v>567.96549176174028</v>
      </c>
      <c r="GD134" s="62">
        <f t="shared" si="134"/>
        <v>861.29882509507365</v>
      </c>
      <c r="GE134" s="62">
        <f ca="1">AVERAGE(OFFSET($GD$3,0,0,'Données projet'!$E$17+1,1))-AVERAGE(OFFSET($H$3,0,0,'Données projet'!$E$17+1,1))</f>
        <v>455.50822833641354</v>
      </c>
      <c r="GF134" s="62">
        <f t="shared" si="158"/>
        <v>261.14722581688039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1.7053025658242404E-13</v>
      </c>
      <c r="GV134" s="18">
        <f>GU134*VLOOKUP('Données projet'!$B$18,Paramètres!$A$1:$I$89,3,0)*VLOOKUP('Données projet'!$B$18,Paramètres!$A$1:$I$89,5,0)</f>
        <v>1.1439169611549005E-13</v>
      </c>
      <c r="GW134" s="14">
        <f t="shared" si="159"/>
        <v>1.6918016515029816E-12</v>
      </c>
      <c r="GX134" s="22">
        <f t="shared" si="136"/>
        <v>3.1457867471021712E-12</v>
      </c>
      <c r="GY134" s="62">
        <f t="shared" si="137"/>
        <v>293.33333333333644</v>
      </c>
      <c r="GZ134" s="62">
        <f ca="1">AVERAGE(OFFSET($GY$3,0,0,'Données projet'!$E$18+1,1))-AVERAGE(OFFSET($H$3,0,0,'Données projet'!$E$18+1,1))</f>
        <v>312.06797204903796</v>
      </c>
      <c r="HA134" s="62">
        <f t="shared" si="160"/>
        <v>258.20189001775151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projet'!$B$18,Paramètres!$A$1:$I$89,3,0)*0.475*44/12</f>
        <v>0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138"/>
        <v>0</v>
      </c>
    </row>
    <row r="135" spans="1:218" s="5" customFormat="1" x14ac:dyDescent="0.25">
      <c r="A135" s="11">
        <f t="shared" si="139"/>
        <v>132</v>
      </c>
      <c r="B135" s="76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9">
        <f t="shared" si="110"/>
        <v>256.66666666666669</v>
      </c>
      <c r="I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2.2737367544323206E-13</v>
      </c>
      <c r="O135" s="14">
        <f>N135*VLOOKUP('Données projet'!$B$9,Paramètres!$A$1:$I$89,3,0)*VLOOKUP('Données projet'!$B$9,Paramètres!$A$1:$I$89,5,0)</f>
        <v>1.2710188457276673E-13</v>
      </c>
      <c r="P135" s="14">
        <f t="shared" si="141"/>
        <v>1.856866851063998E-12</v>
      </c>
      <c r="Q135" s="22">
        <f t="shared" si="108"/>
        <v>3.4554122145673649E-12</v>
      </c>
      <c r="R135" s="62">
        <f t="shared" si="109"/>
        <v>293.33333333333678</v>
      </c>
      <c r="S135" s="62">
        <f ca="1">AVERAGE(OFFSET($R$3,0,0,'Données projet'!$E$9+1,1))-AVERAGE(OFFSET($H$3,0,0,'Données projet'!$E$9+1,1))</f>
        <v>323.98185264074681</v>
      </c>
      <c r="T135" s="62">
        <f t="shared" si="142"/>
        <v>301.22207291854005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0.59193414783767151</v>
      </c>
      <c r="AA135" s="23">
        <f>EXP(-LN(2)/25)*AA134+(1-EXP(-LN(2)/25))/(LN(2)/25)*Calculateur!V135*Calculateur!X135*VLOOKUP('Données projet'!$B$9,Paramètres!$A$1:$I$89,3,0)*0.475*44/12</f>
        <v>0.48765130564266596</v>
      </c>
      <c r="AB135" s="23">
        <f>EXP(-LN(2)/2)*AB134+(1-EXP(-LN(2)/2))/(LN(2)/2)*V135*Y135*VLOOKUP('Données projet'!$B$9,Paramètres!$A$1:$I$89,3,0)*0.475*44/12</f>
        <v>2.703529480116105E-15</v>
      </c>
      <c r="AC135" s="24">
        <f t="shared" si="111"/>
        <v>1.0795854534803402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-2.8421709430404007E-13</v>
      </c>
      <c r="AJ135" s="14">
        <f>AI135*VLOOKUP('Données projet'!$B$10,Paramètres!$A$1:$I$89,3,0)*VLOOKUP('Données projet'!$B$10,Paramètres!$A$1:$I$89,5,0)</f>
        <v>-1.69961822393816E-13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289.12367833861299</v>
      </c>
      <c r="AO135" s="62">
        <f t="shared" si="144"/>
        <v>229.06617320689003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1.8415647131788446E-15</v>
      </c>
      <c r="AX135" s="23">
        <f t="shared" si="114"/>
        <v>1.8415647131788446E-15</v>
      </c>
      <c r="AY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2.7</v>
      </c>
      <c r="BD135" s="13">
        <f>IF('Données projet'!$A$88&gt;35,BD134+BC135-BL134,IF(A135&lt;'Données projet'!$A$88,$BA$205^A135,IF(A135='Données projet'!$A$88,'Données projet'!$B$88,BD134+BC135-BL134)))</f>
        <v>274.39999999999935</v>
      </c>
      <c r="BE135" s="14">
        <f>BD135*VLOOKUP('Données projet'!$B$11,Paramètres!$A$1:$I$89,3,0)*VLOOKUP('Données projet'!$B$11,Paramètres!$A$1:$I$89,5,0)</f>
        <v>248.2771199999994</v>
      </c>
      <c r="BF135" s="14">
        <f t="shared" si="145"/>
        <v>60.216863677580257</v>
      </c>
      <c r="BG135" s="22">
        <f t="shared" si="115"/>
        <v>537.29368823845118</v>
      </c>
      <c r="BH135" s="62">
        <f t="shared" si="116"/>
        <v>830.62702157178455</v>
      </c>
      <c r="BI135" s="62">
        <f ca="1">AVERAGE(OFFSET($BH$3,0,0,'Données projet'!$E$11+1,1))-AVERAGE(OFFSET($H$3,0,0,'Données projet'!$E$11+1,1))</f>
        <v>428.8489304403459</v>
      </c>
      <c r="BJ135" s="62">
        <f t="shared" si="146"/>
        <v>247.01165577562966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-1.7053025658242404E-13</v>
      </c>
      <c r="BZ135" s="14">
        <f>BY135*VLOOKUP('Données projet'!$B$12,Paramètres!$A$1:$I$89,3,0)*VLOOKUP('Données projet'!$B$12,Paramètres!$A$1:$I$89,5,0)</f>
        <v>-1.250327841262333E-13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290.85271051443431</v>
      </c>
      <c r="CE135" s="62">
        <f t="shared" si="148"/>
        <v>318.66958823451142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1.1368683772161603E-13</v>
      </c>
      <c r="CU135" s="18">
        <f>CT135*VLOOKUP('Données projet'!$B$13,Paramètres!$A$1:$I$89,3,0)*VLOOKUP('Données projet'!$B$13,Paramètres!$A$1:$I$89,5,0)</f>
        <v>8.8675733422860506E-14</v>
      </c>
      <c r="CV135" s="14">
        <f t="shared" si="149"/>
        <v>1.3509285393066301E-12</v>
      </c>
      <c r="CW135" s="22">
        <f t="shared" si="121"/>
        <v>2.5073107750038623E-12</v>
      </c>
      <c r="CX135" s="62">
        <f t="shared" si="122"/>
        <v>293.33333333333582</v>
      </c>
      <c r="CY135" s="62">
        <f ca="1">AVERAGE(OFFSET($CX$3,0,0,'Données projet'!$E$13+1,1))-AVERAGE(OFFSET($H$3,0,0,'Données projet'!$E$13+1,1))</f>
        <v>292.57482726862594</v>
      </c>
      <c r="CZ135" s="62">
        <f t="shared" si="150"/>
        <v>283.48738729114024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-1.7053025658242404E-13</v>
      </c>
      <c r="DP135" s="18">
        <f>DO135*VLOOKUP('Données projet'!$B$14,Paramètres!$A$1:$I$89,3,0)*VLOOKUP('Données projet'!$B$14,Paramètres!$A$1:$I$89,5,0)</f>
        <v>-1.3567387213697657E-13</v>
      </c>
      <c r="DQ135" s="14" t="e">
        <f t="shared" si="151"/>
        <v>#NUM!</v>
      </c>
      <c r="DR135" s="22" t="e">
        <f t="shared" si="124"/>
        <v>#NUM!</v>
      </c>
      <c r="DS135" s="62" t="e">
        <f t="shared" si="125"/>
        <v>#NUM!</v>
      </c>
      <c r="DT135" s="62">
        <f ca="1">AVERAGE(OFFSET($DS$3,0,0,'Données projet'!$E$14+1,1))-AVERAGE(OFFSET($H$3,0,0,'Données projet'!$E$14+1,1))</f>
        <v>312.53381881960331</v>
      </c>
      <c r="DU135" s="62">
        <f t="shared" si="152"/>
        <v>342.06887933351783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1.1368683772161603E-13</v>
      </c>
      <c r="EK135" s="18">
        <f>EJ135*VLOOKUP('Données projet'!$B$15,Paramètres!$A$1:$I$89,3,0)*VLOOKUP('Données projet'!$B$15,Paramètres!$A$1:$I$89,5,0)</f>
        <v>1.0818439477588981E-13</v>
      </c>
      <c r="EL135" s="14">
        <f t="shared" si="153"/>
        <v>1.6104228458716316E-12</v>
      </c>
      <c r="EM135" s="22">
        <f t="shared" si="127"/>
        <v>2.9932409441277661E-12</v>
      </c>
      <c r="EN135" s="62">
        <f t="shared" si="128"/>
        <v>293.33333333333633</v>
      </c>
      <c r="EO135" s="62">
        <f ca="1">AVERAGE(OFFSET($EN$3,0,0,'Données projet'!$E$15+1,1))-AVERAGE(OFFSET($H$3,0,0,'Données projet'!$E$15+1,1))</f>
        <v>363.37916970915211</v>
      </c>
      <c r="EP135" s="62">
        <f t="shared" si="154"/>
        <v>281.52963027844595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-6.2527760746888816E-13</v>
      </c>
      <c r="FF135" s="18">
        <f>FE135*VLOOKUP('Données projet'!$B$16,Paramètres!$A$1:$I$89,3,0)*VLOOKUP('Données projet'!$B$16,Paramètres!$A$1:$I$89,5,0)</f>
        <v>-2.9262992029543964E-13</v>
      </c>
      <c r="FG135" s="14" t="e">
        <f t="shared" si="155"/>
        <v>#NUM!</v>
      </c>
      <c r="FH135" s="22" t="e">
        <f t="shared" si="130"/>
        <v>#NUM!</v>
      </c>
      <c r="FI135" s="62" t="e">
        <f t="shared" si="131"/>
        <v>#NUM!</v>
      </c>
      <c r="FJ135" s="62">
        <f ca="1">AVERAGE(OFFSET($FI$3,0,0,'Données projet'!$E$16+1,1))-AVERAGE(OFFSET($H$3,0,0,'Données projet'!$E$16+1,1))</f>
        <v>245.47494516762282</v>
      </c>
      <c r="FK135" s="62">
        <f t="shared" si="156"/>
        <v>145.54897745089966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2.7</v>
      </c>
      <c r="FZ135" s="13">
        <f>IF('Données projet'!$A$244&gt;35,FZ134+FY135-GH134,IF(A135&lt;'Données projet'!$A$244,$FW$205^A135,IF(A135='Données projet'!$A$244,'Données projet'!$B$244,FZ134+FY135-GH134)))</f>
        <v>274.39999999999935</v>
      </c>
      <c r="GA135" s="18">
        <f>FZ135*VLOOKUP('Données projet'!$B$17,Paramètres!$A$1:$I$89,3,0)*VLOOKUP('Données projet'!$B$17,Paramètres!$A$1:$I$89,5,0)</f>
        <v>265.39967999999936</v>
      </c>
      <c r="GB135" s="14">
        <f t="shared" si="157"/>
        <v>63.87199095821434</v>
      </c>
      <c r="GC135" s="22">
        <f t="shared" si="133"/>
        <v>573.48149358555554</v>
      </c>
      <c r="GD135" s="62">
        <f t="shared" si="134"/>
        <v>866.81482691888891</v>
      </c>
      <c r="GE135" s="62">
        <f ca="1">AVERAGE(OFFSET($GD$3,0,0,'Données projet'!$E$17+1,1))-AVERAGE(OFFSET($H$3,0,0,'Données projet'!$E$17+1,1))</f>
        <v>455.50822833641354</v>
      </c>
      <c r="GF135" s="62">
        <f t="shared" si="158"/>
        <v>261.14722581688039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1.7053025658242404E-13</v>
      </c>
      <c r="GV135" s="18">
        <f>GU135*VLOOKUP('Données projet'!$B$18,Paramètres!$A$1:$I$89,3,0)*VLOOKUP('Données projet'!$B$18,Paramètres!$A$1:$I$89,5,0)</f>
        <v>1.1439169611549005E-13</v>
      </c>
      <c r="GW135" s="14">
        <f t="shared" si="159"/>
        <v>1.6918016515029816E-12</v>
      </c>
      <c r="GX135" s="22">
        <f t="shared" si="136"/>
        <v>3.1457867471021712E-12</v>
      </c>
      <c r="GY135" s="62">
        <f t="shared" si="137"/>
        <v>293.33333333333644</v>
      </c>
      <c r="GZ135" s="62">
        <f ca="1">AVERAGE(OFFSET($GY$3,0,0,'Données projet'!$E$18+1,1))-AVERAGE(OFFSET($H$3,0,0,'Données projet'!$E$18+1,1))</f>
        <v>312.06797204903796</v>
      </c>
      <c r="HA135" s="62">
        <f t="shared" si="160"/>
        <v>258.20189001775151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projet'!$B$18,Paramètres!$A$1:$I$89,3,0)*0.475*44/12</f>
        <v>0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138"/>
        <v>0</v>
      </c>
    </row>
    <row r="136" spans="1:218" s="5" customFormat="1" x14ac:dyDescent="0.25">
      <c r="A136" s="11">
        <f t="shared" si="139"/>
        <v>133</v>
      </c>
      <c r="B136" s="76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9">
        <f t="shared" si="110"/>
        <v>256.66666666666669</v>
      </c>
      <c r="I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2.2737367544323206E-13</v>
      </c>
      <c r="O136" s="14">
        <f>N136*VLOOKUP('Données projet'!$B$9,Paramètres!$A$1:$I$89,3,0)*VLOOKUP('Données projet'!$B$9,Paramètres!$A$1:$I$89,5,0)</f>
        <v>1.2710188457276673E-13</v>
      </c>
      <c r="P136" s="14">
        <f t="shared" si="141"/>
        <v>1.856866851063998E-12</v>
      </c>
      <c r="Q136" s="22">
        <f t="shared" si="108"/>
        <v>3.4554122145673649E-12</v>
      </c>
      <c r="R136" s="62">
        <f t="shared" si="109"/>
        <v>293.33333333333678</v>
      </c>
      <c r="S136" s="62">
        <f ca="1">AVERAGE(OFFSET($R$3,0,0,'Données projet'!$E$9+1,1))-AVERAGE(OFFSET($H$3,0,0,'Données projet'!$E$9+1,1))</f>
        <v>323.98185264074681</v>
      </c>
      <c r="T136" s="62">
        <f t="shared" si="142"/>
        <v>301.22207291854005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0.5803266802427548</v>
      </c>
      <c r="AA136" s="23">
        <f>EXP(-LN(2)/25)*AA135+(1-EXP(-LN(2)/25))/(LN(2)/25)*Calculateur!V136*Calculateur!X136*VLOOKUP('Données projet'!$B$9,Paramètres!$A$1:$I$89,3,0)*0.475*44/12</f>
        <v>0.47431645504539965</v>
      </c>
      <c r="AB136" s="23">
        <f>EXP(-LN(2)/2)*AB135+(1-EXP(-LN(2)/2))/(LN(2)/2)*V136*Y136*VLOOKUP('Données projet'!$B$9,Paramètres!$A$1:$I$89,3,0)*0.475*44/12</f>
        <v>1.9116840285278392E-15</v>
      </c>
      <c r="AC136" s="24">
        <f t="shared" si="111"/>
        <v>1.0546431352881565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-2.8421709430404007E-13</v>
      </c>
      <c r="AJ136" s="14">
        <f>AI136*VLOOKUP('Données projet'!$B$10,Paramètres!$A$1:$I$89,3,0)*VLOOKUP('Données projet'!$B$10,Paramètres!$A$1:$I$89,5,0)</f>
        <v>-1.69961822393816E-13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289.12367833861299</v>
      </c>
      <c r="AO136" s="62">
        <f t="shared" si="144"/>
        <v>229.06617320689003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1.3021828966826205E-15</v>
      </c>
      <c r="AX136" s="23">
        <f t="shared" si="114"/>
        <v>1.3021828966826205E-15</v>
      </c>
      <c r="AY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2.7</v>
      </c>
      <c r="BD136" s="13">
        <f>IF('Données projet'!$A$88&gt;35,BD135+BC136-BL135,IF(A136&lt;'Données projet'!$A$88,$BA$205^A136,IF(A136='Données projet'!$A$88,'Données projet'!$B$88,BD135+BC136-BL135)))</f>
        <v>277.09999999999934</v>
      </c>
      <c r="BE136" s="14">
        <f>BD136*VLOOKUP('Données projet'!$B$11,Paramètres!$A$1:$I$89,3,0)*VLOOKUP('Données projet'!$B$11,Paramètres!$A$1:$I$89,5,0)</f>
        <v>250.72007999999943</v>
      </c>
      <c r="BF136" s="14">
        <f t="shared" si="145"/>
        <v>60.740109326032709</v>
      </c>
      <c r="BG136" s="22">
        <f t="shared" si="115"/>
        <v>542.45982974283925</v>
      </c>
      <c r="BH136" s="62">
        <f t="shared" si="116"/>
        <v>835.7931630761725</v>
      </c>
      <c r="BI136" s="62">
        <f ca="1">AVERAGE(OFFSET($BH$3,0,0,'Données projet'!$E$11+1,1))-AVERAGE(OFFSET($H$3,0,0,'Données projet'!$E$11+1,1))</f>
        <v>428.8489304403459</v>
      </c>
      <c r="BJ136" s="62">
        <f t="shared" si="146"/>
        <v>247.01165577562966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-1.7053025658242404E-13</v>
      </c>
      <c r="BZ136" s="14">
        <f>BY136*VLOOKUP('Données projet'!$B$12,Paramètres!$A$1:$I$89,3,0)*VLOOKUP('Données projet'!$B$12,Paramètres!$A$1:$I$89,5,0)</f>
        <v>-1.250327841262333E-13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290.85271051443431</v>
      </c>
      <c r="CE136" s="62">
        <f t="shared" si="148"/>
        <v>318.66958823451142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1.1368683772161603E-13</v>
      </c>
      <c r="CU136" s="18">
        <f>CT136*VLOOKUP('Données projet'!$B$13,Paramètres!$A$1:$I$89,3,0)*VLOOKUP('Données projet'!$B$13,Paramètres!$A$1:$I$89,5,0)</f>
        <v>8.8675733422860506E-14</v>
      </c>
      <c r="CV136" s="14">
        <f t="shared" si="149"/>
        <v>1.3509285393066301E-12</v>
      </c>
      <c r="CW136" s="22">
        <f t="shared" si="121"/>
        <v>2.5073107750038623E-12</v>
      </c>
      <c r="CX136" s="62">
        <f t="shared" si="122"/>
        <v>293.33333333333582</v>
      </c>
      <c r="CY136" s="62">
        <f ca="1">AVERAGE(OFFSET($CX$3,0,0,'Données projet'!$E$13+1,1))-AVERAGE(OFFSET($H$3,0,0,'Données projet'!$E$13+1,1))</f>
        <v>292.57482726862594</v>
      </c>
      <c r="CZ136" s="62">
        <f t="shared" si="150"/>
        <v>283.48738729114024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-1.7053025658242404E-13</v>
      </c>
      <c r="DP136" s="18">
        <f>DO136*VLOOKUP('Données projet'!$B$14,Paramètres!$A$1:$I$89,3,0)*VLOOKUP('Données projet'!$B$14,Paramètres!$A$1:$I$89,5,0)</f>
        <v>-1.3567387213697657E-13</v>
      </c>
      <c r="DQ136" s="14" t="e">
        <f t="shared" si="151"/>
        <v>#NUM!</v>
      </c>
      <c r="DR136" s="22" t="e">
        <f t="shared" si="124"/>
        <v>#NUM!</v>
      </c>
      <c r="DS136" s="62" t="e">
        <f t="shared" si="125"/>
        <v>#NUM!</v>
      </c>
      <c r="DT136" s="62">
        <f ca="1">AVERAGE(OFFSET($DS$3,0,0,'Données projet'!$E$14+1,1))-AVERAGE(OFFSET($H$3,0,0,'Données projet'!$E$14+1,1))</f>
        <v>312.53381881960331</v>
      </c>
      <c r="DU136" s="62">
        <f t="shared" si="152"/>
        <v>342.06887933351783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1.1368683772161603E-13</v>
      </c>
      <c r="EK136" s="18">
        <f>EJ136*VLOOKUP('Données projet'!$B$15,Paramètres!$A$1:$I$89,3,0)*VLOOKUP('Données projet'!$B$15,Paramètres!$A$1:$I$89,5,0)</f>
        <v>1.0818439477588981E-13</v>
      </c>
      <c r="EL136" s="14">
        <f t="shared" si="153"/>
        <v>1.6104228458716316E-12</v>
      </c>
      <c r="EM136" s="22">
        <f t="shared" si="127"/>
        <v>2.9932409441277661E-12</v>
      </c>
      <c r="EN136" s="62">
        <f t="shared" si="128"/>
        <v>293.33333333333633</v>
      </c>
      <c r="EO136" s="62">
        <f ca="1">AVERAGE(OFFSET($EN$3,0,0,'Données projet'!$E$15+1,1))-AVERAGE(OFFSET($H$3,0,0,'Données projet'!$E$15+1,1))</f>
        <v>363.37916970915211</v>
      </c>
      <c r="EP136" s="62">
        <f t="shared" si="154"/>
        <v>281.52963027844595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-6.2527760746888816E-13</v>
      </c>
      <c r="FF136" s="18">
        <f>FE136*VLOOKUP('Données projet'!$B$16,Paramètres!$A$1:$I$89,3,0)*VLOOKUP('Données projet'!$B$16,Paramètres!$A$1:$I$89,5,0)</f>
        <v>-2.9262992029543964E-13</v>
      </c>
      <c r="FG136" s="14" t="e">
        <f t="shared" si="155"/>
        <v>#NUM!</v>
      </c>
      <c r="FH136" s="22" t="e">
        <f t="shared" si="130"/>
        <v>#NUM!</v>
      </c>
      <c r="FI136" s="62" t="e">
        <f t="shared" si="131"/>
        <v>#NUM!</v>
      </c>
      <c r="FJ136" s="62">
        <f ca="1">AVERAGE(OFFSET($FI$3,0,0,'Données projet'!$E$16+1,1))-AVERAGE(OFFSET($H$3,0,0,'Données projet'!$E$16+1,1))</f>
        <v>245.47494516762282</v>
      </c>
      <c r="FK136" s="62">
        <f t="shared" si="156"/>
        <v>145.54897745089966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2.7</v>
      </c>
      <c r="FZ136" s="13">
        <f>IF('Données projet'!$A$244&gt;35,FZ135+FY136-GH135,IF(A136&lt;'Données projet'!$A$244,$FW$205^A136,IF(A136='Données projet'!$A$244,'Données projet'!$B$244,FZ135+FY136-GH135)))</f>
        <v>277.09999999999934</v>
      </c>
      <c r="GA136" s="18">
        <f>FZ136*VLOOKUP('Données projet'!$B$17,Paramètres!$A$1:$I$89,3,0)*VLOOKUP('Données projet'!$B$17,Paramètres!$A$1:$I$89,5,0)</f>
        <v>268.01111999999938</v>
      </c>
      <c r="GB136" s="14">
        <f t="shared" si="157"/>
        <v>64.426997301716739</v>
      </c>
      <c r="GC136" s="22">
        <f t="shared" si="133"/>
        <v>578.99638763382234</v>
      </c>
      <c r="GD136" s="62">
        <f t="shared" si="134"/>
        <v>872.32972096715571</v>
      </c>
      <c r="GE136" s="62">
        <f ca="1">AVERAGE(OFFSET($GD$3,0,0,'Données projet'!$E$17+1,1))-AVERAGE(OFFSET($H$3,0,0,'Données projet'!$E$17+1,1))</f>
        <v>455.50822833641354</v>
      </c>
      <c r="GF136" s="62">
        <f t="shared" si="158"/>
        <v>261.14722581688039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1.7053025658242404E-13</v>
      </c>
      <c r="GV136" s="18">
        <f>GU136*VLOOKUP('Données projet'!$B$18,Paramètres!$A$1:$I$89,3,0)*VLOOKUP('Données projet'!$B$18,Paramètres!$A$1:$I$89,5,0)</f>
        <v>1.1439169611549005E-13</v>
      </c>
      <c r="GW136" s="14">
        <f t="shared" si="159"/>
        <v>1.6918016515029816E-12</v>
      </c>
      <c r="GX136" s="22">
        <f t="shared" si="136"/>
        <v>3.1457867471021712E-12</v>
      </c>
      <c r="GY136" s="62">
        <f t="shared" si="137"/>
        <v>293.33333333333644</v>
      </c>
      <c r="GZ136" s="62">
        <f ca="1">AVERAGE(OFFSET($GY$3,0,0,'Données projet'!$E$18+1,1))-AVERAGE(OFFSET($H$3,0,0,'Données projet'!$E$18+1,1))</f>
        <v>312.06797204903796</v>
      </c>
      <c r="HA136" s="62">
        <f t="shared" si="160"/>
        <v>258.20189001775151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projet'!$B$18,Paramètres!$A$1:$I$89,3,0)*0.475*44/12</f>
        <v>0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138"/>
        <v>0</v>
      </c>
    </row>
    <row r="137" spans="1:218" s="5" customFormat="1" x14ac:dyDescent="0.25">
      <c r="A137" s="11">
        <f t="shared" si="139"/>
        <v>134</v>
      </c>
      <c r="B137" s="76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9">
        <f t="shared" si="110"/>
        <v>256.66666666666669</v>
      </c>
      <c r="I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2.2737367544323206E-13</v>
      </c>
      <c r="O137" s="14">
        <f>N137*VLOOKUP('Données projet'!$B$9,Paramètres!$A$1:$I$89,3,0)*VLOOKUP('Données projet'!$B$9,Paramètres!$A$1:$I$89,5,0)</f>
        <v>1.2710188457276673E-13</v>
      </c>
      <c r="P137" s="14">
        <f t="shared" si="141"/>
        <v>1.856866851063998E-12</v>
      </c>
      <c r="Q137" s="22">
        <f t="shared" si="108"/>
        <v>3.4554122145673649E-12</v>
      </c>
      <c r="R137" s="62">
        <f t="shared" si="109"/>
        <v>293.33333333333678</v>
      </c>
      <c r="S137" s="62">
        <f ca="1">AVERAGE(OFFSET($R$3,0,0,'Données projet'!$E$9+1,1))-AVERAGE(OFFSET($H$3,0,0,'Données projet'!$E$9+1,1))</f>
        <v>323.98185264074681</v>
      </c>
      <c r="T137" s="62">
        <f t="shared" si="142"/>
        <v>301.22207291854005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0.56894682800751828</v>
      </c>
      <c r="AA137" s="23">
        <f>EXP(-LN(2)/25)*AA136+(1-EXP(-LN(2)/25))/(LN(2)/25)*Calculateur!V137*Calculateur!X137*VLOOKUP('Données projet'!$B$9,Paramètres!$A$1:$I$89,3,0)*0.475*44/12</f>
        <v>0.4613462466389649</v>
      </c>
      <c r="AB137" s="23">
        <f>EXP(-LN(2)/2)*AB136+(1-EXP(-LN(2)/2))/(LN(2)/2)*V137*Y137*VLOOKUP('Données projet'!$B$9,Paramètres!$A$1:$I$89,3,0)*0.475*44/12</f>
        <v>1.3517647400580525E-15</v>
      </c>
      <c r="AC137" s="24">
        <f t="shared" si="111"/>
        <v>1.0302930746464845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-2.8421709430404007E-13</v>
      </c>
      <c r="AJ137" s="14">
        <f>AI137*VLOOKUP('Données projet'!$B$10,Paramètres!$A$1:$I$89,3,0)*VLOOKUP('Données projet'!$B$10,Paramètres!$A$1:$I$89,5,0)</f>
        <v>-1.69961822393816E-13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289.12367833861299</v>
      </c>
      <c r="AO137" s="62">
        <f t="shared" si="144"/>
        <v>229.06617320689003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9.2078235658942231E-16</v>
      </c>
      <c r="AX137" s="23">
        <f t="shared" si="114"/>
        <v>9.2078235658942231E-16</v>
      </c>
      <c r="AY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2.7</v>
      </c>
      <c r="BD137" s="13">
        <f>IF('Données projet'!$A$88&gt;35,BD136+BC137-BL136,IF(A137&lt;'Données projet'!$A$88,$BA$205^A137,IF(A137='Données projet'!$A$88,'Données projet'!$B$88,BD136+BC137-BL136)))</f>
        <v>279.79999999999933</v>
      </c>
      <c r="BE137" s="14">
        <f>BD137*VLOOKUP('Données projet'!$B$11,Paramètres!$A$1:$I$89,3,0)*VLOOKUP('Données projet'!$B$11,Paramètres!$A$1:$I$89,5,0)</f>
        <v>253.16303999999937</v>
      </c>
      <c r="BF137" s="14">
        <f t="shared" si="145"/>
        <v>61.262761848634923</v>
      </c>
      <c r="BG137" s="22">
        <f t="shared" si="115"/>
        <v>547.62493821970475</v>
      </c>
      <c r="BH137" s="62">
        <f t="shared" si="116"/>
        <v>840.958271553038</v>
      </c>
      <c r="BI137" s="62">
        <f ca="1">AVERAGE(OFFSET($BH$3,0,0,'Données projet'!$E$11+1,1))-AVERAGE(OFFSET($H$3,0,0,'Données projet'!$E$11+1,1))</f>
        <v>428.8489304403459</v>
      </c>
      <c r="BJ137" s="62">
        <f t="shared" si="146"/>
        <v>247.01165577562966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-1.7053025658242404E-13</v>
      </c>
      <c r="BZ137" s="14">
        <f>BY137*VLOOKUP('Données projet'!$B$12,Paramètres!$A$1:$I$89,3,0)*VLOOKUP('Données projet'!$B$12,Paramètres!$A$1:$I$89,5,0)</f>
        <v>-1.250327841262333E-13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290.85271051443431</v>
      </c>
      <c r="CE137" s="62">
        <f t="shared" si="148"/>
        <v>318.66958823451142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1.1368683772161603E-13</v>
      </c>
      <c r="CU137" s="18">
        <f>CT137*VLOOKUP('Données projet'!$B$13,Paramètres!$A$1:$I$89,3,0)*VLOOKUP('Données projet'!$B$13,Paramètres!$A$1:$I$89,5,0)</f>
        <v>8.8675733422860506E-14</v>
      </c>
      <c r="CV137" s="14">
        <f t="shared" si="149"/>
        <v>1.3509285393066301E-12</v>
      </c>
      <c r="CW137" s="22">
        <f t="shared" si="121"/>
        <v>2.5073107750038623E-12</v>
      </c>
      <c r="CX137" s="62">
        <f t="shared" si="122"/>
        <v>293.33333333333582</v>
      </c>
      <c r="CY137" s="62">
        <f ca="1">AVERAGE(OFFSET($CX$3,0,0,'Données projet'!$E$13+1,1))-AVERAGE(OFFSET($H$3,0,0,'Données projet'!$E$13+1,1))</f>
        <v>292.57482726862594</v>
      </c>
      <c r="CZ137" s="62">
        <f t="shared" si="150"/>
        <v>283.48738729114024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-1.7053025658242404E-13</v>
      </c>
      <c r="DP137" s="18">
        <f>DO137*VLOOKUP('Données projet'!$B$14,Paramètres!$A$1:$I$89,3,0)*VLOOKUP('Données projet'!$B$14,Paramètres!$A$1:$I$89,5,0)</f>
        <v>-1.3567387213697657E-13</v>
      </c>
      <c r="DQ137" s="14" t="e">
        <f t="shared" si="151"/>
        <v>#NUM!</v>
      </c>
      <c r="DR137" s="22" t="e">
        <f t="shared" si="124"/>
        <v>#NUM!</v>
      </c>
      <c r="DS137" s="62" t="e">
        <f t="shared" si="125"/>
        <v>#NUM!</v>
      </c>
      <c r="DT137" s="62">
        <f ca="1">AVERAGE(OFFSET($DS$3,0,0,'Données projet'!$E$14+1,1))-AVERAGE(OFFSET($H$3,0,0,'Données projet'!$E$14+1,1))</f>
        <v>312.53381881960331</v>
      </c>
      <c r="DU137" s="62">
        <f t="shared" si="152"/>
        <v>342.06887933351783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1.1368683772161603E-13</v>
      </c>
      <c r="EK137" s="18">
        <f>EJ137*VLOOKUP('Données projet'!$B$15,Paramètres!$A$1:$I$89,3,0)*VLOOKUP('Données projet'!$B$15,Paramètres!$A$1:$I$89,5,0)</f>
        <v>1.0818439477588981E-13</v>
      </c>
      <c r="EL137" s="14">
        <f t="shared" si="153"/>
        <v>1.6104228458716316E-12</v>
      </c>
      <c r="EM137" s="22">
        <f t="shared" si="127"/>
        <v>2.9932409441277661E-12</v>
      </c>
      <c r="EN137" s="62">
        <f t="shared" si="128"/>
        <v>293.33333333333633</v>
      </c>
      <c r="EO137" s="62">
        <f ca="1">AVERAGE(OFFSET($EN$3,0,0,'Données projet'!$E$15+1,1))-AVERAGE(OFFSET($H$3,0,0,'Données projet'!$E$15+1,1))</f>
        <v>363.37916970915211</v>
      </c>
      <c r="EP137" s="62">
        <f t="shared" si="154"/>
        <v>281.52963027844595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-6.2527760746888816E-13</v>
      </c>
      <c r="FF137" s="18">
        <f>FE137*VLOOKUP('Données projet'!$B$16,Paramètres!$A$1:$I$89,3,0)*VLOOKUP('Données projet'!$B$16,Paramètres!$A$1:$I$89,5,0)</f>
        <v>-2.9262992029543964E-13</v>
      </c>
      <c r="FG137" s="14" t="e">
        <f t="shared" si="155"/>
        <v>#NUM!</v>
      </c>
      <c r="FH137" s="22" t="e">
        <f t="shared" si="130"/>
        <v>#NUM!</v>
      </c>
      <c r="FI137" s="62" t="e">
        <f t="shared" si="131"/>
        <v>#NUM!</v>
      </c>
      <c r="FJ137" s="62">
        <f ca="1">AVERAGE(OFFSET($FI$3,0,0,'Données projet'!$E$16+1,1))-AVERAGE(OFFSET($H$3,0,0,'Données projet'!$E$16+1,1))</f>
        <v>245.47494516762282</v>
      </c>
      <c r="FK137" s="62">
        <f t="shared" si="156"/>
        <v>145.54897745089966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2.7</v>
      </c>
      <c r="FZ137" s="13">
        <f>IF('Données projet'!$A$244&gt;35,FZ136+FY137-GH136,IF(A137&lt;'Données projet'!$A$244,$FW$205^A137,IF(A137='Données projet'!$A$244,'Données projet'!$B$244,FZ136+FY137-GH136)))</f>
        <v>279.79999999999933</v>
      </c>
      <c r="GA137" s="18">
        <f>FZ137*VLOOKUP('Données projet'!$B$17,Paramètres!$A$1:$I$89,3,0)*VLOOKUP('Données projet'!$B$17,Paramètres!$A$1:$I$89,5,0)</f>
        <v>270.62255999999934</v>
      </c>
      <c r="GB137" s="14">
        <f t="shared" si="157"/>
        <v>64.981374516987898</v>
      </c>
      <c r="GC137" s="22">
        <f t="shared" si="133"/>
        <v>584.51018595041944</v>
      </c>
      <c r="GD137" s="62">
        <f t="shared" si="134"/>
        <v>877.84351928375281</v>
      </c>
      <c r="GE137" s="62">
        <f ca="1">AVERAGE(OFFSET($GD$3,0,0,'Données projet'!$E$17+1,1))-AVERAGE(OFFSET($H$3,0,0,'Données projet'!$E$17+1,1))</f>
        <v>455.50822833641354</v>
      </c>
      <c r="GF137" s="62">
        <f t="shared" si="158"/>
        <v>261.14722581688039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1.7053025658242404E-13</v>
      </c>
      <c r="GV137" s="18">
        <f>GU137*VLOOKUP('Données projet'!$B$18,Paramètres!$A$1:$I$89,3,0)*VLOOKUP('Données projet'!$B$18,Paramètres!$A$1:$I$89,5,0)</f>
        <v>1.1439169611549005E-13</v>
      </c>
      <c r="GW137" s="14">
        <f t="shared" si="159"/>
        <v>1.6918016515029816E-12</v>
      </c>
      <c r="GX137" s="22">
        <f t="shared" si="136"/>
        <v>3.1457867471021712E-12</v>
      </c>
      <c r="GY137" s="62">
        <f t="shared" si="137"/>
        <v>293.33333333333644</v>
      </c>
      <c r="GZ137" s="62">
        <f ca="1">AVERAGE(OFFSET($GY$3,0,0,'Données projet'!$E$18+1,1))-AVERAGE(OFFSET($H$3,0,0,'Données projet'!$E$18+1,1))</f>
        <v>312.06797204903796</v>
      </c>
      <c r="HA137" s="62">
        <f t="shared" si="160"/>
        <v>258.20189001775151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projet'!$B$18,Paramètres!$A$1:$I$89,3,0)*0.475*44/12</f>
        <v>0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138"/>
        <v>0</v>
      </c>
    </row>
    <row r="138" spans="1:218" s="5" customFormat="1" x14ac:dyDescent="0.25">
      <c r="A138" s="11">
        <f t="shared" si="139"/>
        <v>135</v>
      </c>
      <c r="B138" s="76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9">
        <f t="shared" si="110"/>
        <v>256.66666666666669</v>
      </c>
      <c r="I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2.2737367544323206E-13</v>
      </c>
      <c r="O138" s="14">
        <f>N138*VLOOKUP('Données projet'!$B$9,Paramètres!$A$1:$I$89,3,0)*VLOOKUP('Données projet'!$B$9,Paramètres!$A$1:$I$89,5,0)</f>
        <v>1.2710188457276673E-13</v>
      </c>
      <c r="P138" s="14">
        <f t="shared" si="141"/>
        <v>1.856866851063998E-12</v>
      </c>
      <c r="Q138" s="22">
        <f t="shared" si="108"/>
        <v>3.4554122145673649E-12</v>
      </c>
      <c r="R138" s="62">
        <f t="shared" si="109"/>
        <v>293.33333333333678</v>
      </c>
      <c r="S138" s="62">
        <f ca="1">AVERAGE(OFFSET($R$3,0,0,'Données projet'!$E$9+1,1))-AVERAGE(OFFSET($H$3,0,0,'Données projet'!$E$9+1,1))</f>
        <v>323.98185264074681</v>
      </c>
      <c r="T138" s="62">
        <f t="shared" si="142"/>
        <v>301.22207291854005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0.55779012773359027</v>
      </c>
      <c r="AA138" s="23">
        <f>EXP(-LN(2)/25)*AA137+(1-EXP(-LN(2)/25))/(LN(2)/25)*Calculateur!V138*Calculateur!X138*VLOOKUP('Données projet'!$B$9,Paramètres!$A$1:$I$89,3,0)*0.475*44/12</f>
        <v>0.44873070926347769</v>
      </c>
      <c r="AB138" s="23">
        <f>EXP(-LN(2)/2)*AB137+(1-EXP(-LN(2)/2))/(LN(2)/2)*V138*Y138*VLOOKUP('Données projet'!$B$9,Paramètres!$A$1:$I$89,3,0)*0.475*44/12</f>
        <v>9.5584201426391961E-16</v>
      </c>
      <c r="AC138" s="24">
        <f t="shared" si="111"/>
        <v>1.0065208369970688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-2.8421709430404007E-13</v>
      </c>
      <c r="AJ138" s="14">
        <f>AI138*VLOOKUP('Données projet'!$B$10,Paramètres!$A$1:$I$89,3,0)*VLOOKUP('Données projet'!$B$10,Paramètres!$A$1:$I$89,5,0)</f>
        <v>-1.69961822393816E-13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289.12367833861299</v>
      </c>
      <c r="AO138" s="62">
        <f t="shared" si="144"/>
        <v>229.06617320689003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6.5109144834131023E-16</v>
      </c>
      <c r="AX138" s="23">
        <f t="shared" si="114"/>
        <v>6.5109144834131023E-16</v>
      </c>
      <c r="AY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2.7</v>
      </c>
      <c r="BD138" s="13">
        <f>IF('Données projet'!$A$88&gt;35,BD137+BC138-BL137,IF(A138&lt;'Données projet'!$A$88,$BA$205^A138,IF(A138='Données projet'!$A$88,'Données projet'!$B$88,BD137+BC138-BL137)))</f>
        <v>282.49999999999932</v>
      </c>
      <c r="BE138" s="14">
        <f>BD138*VLOOKUP('Données projet'!$B$11,Paramètres!$A$1:$I$89,3,0)*VLOOKUP('Données projet'!$B$11,Paramètres!$A$1:$I$89,5,0)</f>
        <v>255.60599999999937</v>
      </c>
      <c r="BF138" s="14">
        <f t="shared" si="145"/>
        <v>61.784827631732192</v>
      </c>
      <c r="BG138" s="22">
        <f t="shared" si="115"/>
        <v>552.78902479193243</v>
      </c>
      <c r="BH138" s="62">
        <f t="shared" si="116"/>
        <v>846.12235812526569</v>
      </c>
      <c r="BI138" s="62">
        <f ca="1">AVERAGE(OFFSET($BH$3,0,0,'Données projet'!$E$11+1,1))-AVERAGE(OFFSET($H$3,0,0,'Données projet'!$E$11+1,1))</f>
        <v>428.8489304403459</v>
      </c>
      <c r="BJ138" s="62">
        <f t="shared" si="146"/>
        <v>247.01165577562966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-1.7053025658242404E-13</v>
      </c>
      <c r="BZ138" s="14">
        <f>BY138*VLOOKUP('Données projet'!$B$12,Paramètres!$A$1:$I$89,3,0)*VLOOKUP('Données projet'!$B$12,Paramètres!$A$1:$I$89,5,0)</f>
        <v>-1.250327841262333E-13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290.85271051443431</v>
      </c>
      <c r="CE138" s="62">
        <f t="shared" si="148"/>
        <v>318.66958823451142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1.1368683772161603E-13</v>
      </c>
      <c r="CU138" s="18">
        <f>CT138*VLOOKUP('Données projet'!$B$13,Paramètres!$A$1:$I$89,3,0)*VLOOKUP('Données projet'!$B$13,Paramètres!$A$1:$I$89,5,0)</f>
        <v>8.8675733422860506E-14</v>
      </c>
      <c r="CV138" s="14">
        <f t="shared" si="149"/>
        <v>1.3509285393066301E-12</v>
      </c>
      <c r="CW138" s="22">
        <f t="shared" si="121"/>
        <v>2.5073107750038623E-12</v>
      </c>
      <c r="CX138" s="62">
        <f t="shared" si="122"/>
        <v>293.33333333333582</v>
      </c>
      <c r="CY138" s="62">
        <f ca="1">AVERAGE(OFFSET($CX$3,0,0,'Données projet'!$E$13+1,1))-AVERAGE(OFFSET($H$3,0,0,'Données projet'!$E$13+1,1))</f>
        <v>292.57482726862594</v>
      </c>
      <c r="CZ138" s="62">
        <f t="shared" si="150"/>
        <v>283.48738729114024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-1.7053025658242404E-13</v>
      </c>
      <c r="DP138" s="18">
        <f>DO138*VLOOKUP('Données projet'!$B$14,Paramètres!$A$1:$I$89,3,0)*VLOOKUP('Données projet'!$B$14,Paramètres!$A$1:$I$89,5,0)</f>
        <v>-1.3567387213697657E-13</v>
      </c>
      <c r="DQ138" s="14" t="e">
        <f t="shared" si="151"/>
        <v>#NUM!</v>
      </c>
      <c r="DR138" s="22" t="e">
        <f t="shared" si="124"/>
        <v>#NUM!</v>
      </c>
      <c r="DS138" s="62" t="e">
        <f t="shared" si="125"/>
        <v>#NUM!</v>
      </c>
      <c r="DT138" s="62">
        <f ca="1">AVERAGE(OFFSET($DS$3,0,0,'Données projet'!$E$14+1,1))-AVERAGE(OFFSET($H$3,0,0,'Données projet'!$E$14+1,1))</f>
        <v>312.53381881960331</v>
      </c>
      <c r="DU138" s="62">
        <f t="shared" si="152"/>
        <v>342.06887933351783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1.1368683772161603E-13</v>
      </c>
      <c r="EK138" s="18">
        <f>EJ138*VLOOKUP('Données projet'!$B$15,Paramètres!$A$1:$I$89,3,0)*VLOOKUP('Données projet'!$B$15,Paramètres!$A$1:$I$89,5,0)</f>
        <v>1.0818439477588981E-13</v>
      </c>
      <c r="EL138" s="14">
        <f t="shared" si="153"/>
        <v>1.6104228458716316E-12</v>
      </c>
      <c r="EM138" s="22">
        <f t="shared" si="127"/>
        <v>2.9932409441277661E-12</v>
      </c>
      <c r="EN138" s="62">
        <f t="shared" si="128"/>
        <v>293.33333333333633</v>
      </c>
      <c r="EO138" s="62">
        <f ca="1">AVERAGE(OFFSET($EN$3,0,0,'Données projet'!$E$15+1,1))-AVERAGE(OFFSET($H$3,0,0,'Données projet'!$E$15+1,1))</f>
        <v>363.37916970915211</v>
      </c>
      <c r="EP138" s="62">
        <f t="shared" si="154"/>
        <v>281.52963027844595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-6.2527760746888816E-13</v>
      </c>
      <c r="FF138" s="18">
        <f>FE138*VLOOKUP('Données projet'!$B$16,Paramètres!$A$1:$I$89,3,0)*VLOOKUP('Données projet'!$B$16,Paramètres!$A$1:$I$89,5,0)</f>
        <v>-2.9262992029543964E-13</v>
      </c>
      <c r="FG138" s="14" t="e">
        <f t="shared" si="155"/>
        <v>#NUM!</v>
      </c>
      <c r="FH138" s="22" t="e">
        <f t="shared" si="130"/>
        <v>#NUM!</v>
      </c>
      <c r="FI138" s="62" t="e">
        <f t="shared" si="131"/>
        <v>#NUM!</v>
      </c>
      <c r="FJ138" s="62">
        <f ca="1">AVERAGE(OFFSET($FI$3,0,0,'Données projet'!$E$16+1,1))-AVERAGE(OFFSET($H$3,0,0,'Données projet'!$E$16+1,1))</f>
        <v>245.47494516762282</v>
      </c>
      <c r="FK138" s="62">
        <f t="shared" si="156"/>
        <v>145.54897745089966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2.7</v>
      </c>
      <c r="FZ138" s="13">
        <f>IF('Données projet'!$A$244&gt;35,FZ137+FY138-GH137,IF(A138&lt;'Données projet'!$A$244,$FW$205^A138,IF(A138='Données projet'!$A$244,'Données projet'!$B$244,FZ137+FY138-GH137)))</f>
        <v>282.49999999999932</v>
      </c>
      <c r="GA138" s="18">
        <f>FZ138*VLOOKUP('Données projet'!$B$17,Paramètres!$A$1:$I$89,3,0)*VLOOKUP('Données projet'!$B$17,Paramètres!$A$1:$I$89,5,0)</f>
        <v>273.23399999999936</v>
      </c>
      <c r="GB138" s="14">
        <f t="shared" si="157"/>
        <v>65.535129378020301</v>
      </c>
      <c r="GC138" s="22">
        <f t="shared" si="133"/>
        <v>590.0229003333842</v>
      </c>
      <c r="GD138" s="62">
        <f t="shared" si="134"/>
        <v>883.35623366671757</v>
      </c>
      <c r="GE138" s="62">
        <f ca="1">AVERAGE(OFFSET($GD$3,0,0,'Données projet'!$E$17+1,1))-AVERAGE(OFFSET($H$3,0,0,'Données projet'!$E$17+1,1))</f>
        <v>455.50822833641354</v>
      </c>
      <c r="GF138" s="62">
        <f t="shared" si="158"/>
        <v>261.14722581688039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1.7053025658242404E-13</v>
      </c>
      <c r="GV138" s="18">
        <f>GU138*VLOOKUP('Données projet'!$B$18,Paramètres!$A$1:$I$89,3,0)*VLOOKUP('Données projet'!$B$18,Paramètres!$A$1:$I$89,5,0)</f>
        <v>1.1439169611549005E-13</v>
      </c>
      <c r="GW138" s="14">
        <f t="shared" si="159"/>
        <v>1.6918016515029816E-12</v>
      </c>
      <c r="GX138" s="22">
        <f t="shared" si="136"/>
        <v>3.1457867471021712E-12</v>
      </c>
      <c r="GY138" s="62">
        <f t="shared" si="137"/>
        <v>293.33333333333644</v>
      </c>
      <c r="GZ138" s="62">
        <f ca="1">AVERAGE(OFFSET($GY$3,0,0,'Données projet'!$E$18+1,1))-AVERAGE(OFFSET($H$3,0,0,'Données projet'!$E$18+1,1))</f>
        <v>312.06797204903796</v>
      </c>
      <c r="HA138" s="62">
        <f t="shared" si="160"/>
        <v>258.20189001775151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projet'!$B$18,Paramètres!$A$1:$I$89,3,0)*0.475*44/12</f>
        <v>0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138"/>
        <v>0</v>
      </c>
    </row>
    <row r="139" spans="1:218" s="5" customFormat="1" x14ac:dyDescent="0.25">
      <c r="A139" s="11">
        <f t="shared" si="139"/>
        <v>136</v>
      </c>
      <c r="B139" s="76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9">
        <f t="shared" si="110"/>
        <v>256.66666666666669</v>
      </c>
      <c r="I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2.2737367544323206E-13</v>
      </c>
      <c r="O139" s="14">
        <f>N139*VLOOKUP('Données projet'!$B$9,Paramètres!$A$1:$I$89,3,0)*VLOOKUP('Données projet'!$B$9,Paramètres!$A$1:$I$89,5,0)</f>
        <v>1.2710188457276673E-13</v>
      </c>
      <c r="P139" s="14">
        <f t="shared" si="141"/>
        <v>1.856866851063998E-12</v>
      </c>
      <c r="Q139" s="22">
        <f t="shared" si="108"/>
        <v>3.4554122145673649E-12</v>
      </c>
      <c r="R139" s="62">
        <f t="shared" si="109"/>
        <v>293.33333333333678</v>
      </c>
      <c r="S139" s="62">
        <f ca="1">AVERAGE(OFFSET($R$3,0,0,'Données projet'!$E$9+1,1))-AVERAGE(OFFSET($H$3,0,0,'Données projet'!$E$9+1,1))</f>
        <v>323.98185264074681</v>
      </c>
      <c r="T139" s="62">
        <f t="shared" si="142"/>
        <v>301.22207291854005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0.54685220354711872</v>
      </c>
      <c r="AA139" s="23">
        <f>EXP(-LN(2)/25)*AA138+(1-EXP(-LN(2)/25))/(LN(2)/25)*Calculateur!V139*Calculateur!X139*VLOOKUP('Données projet'!$B$9,Paramètres!$A$1:$I$89,3,0)*0.475*44/12</f>
        <v>0.4364601444209455</v>
      </c>
      <c r="AB139" s="23">
        <f>EXP(-LN(2)/2)*AB138+(1-EXP(-LN(2)/2))/(LN(2)/2)*V139*Y139*VLOOKUP('Données projet'!$B$9,Paramètres!$A$1:$I$89,3,0)*0.475*44/12</f>
        <v>6.7588237002902625E-16</v>
      </c>
      <c r="AC139" s="24">
        <f t="shared" si="111"/>
        <v>0.98331234796806488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-2.8421709430404007E-13</v>
      </c>
      <c r="AJ139" s="14">
        <f>AI139*VLOOKUP('Données projet'!$B$10,Paramètres!$A$1:$I$89,3,0)*VLOOKUP('Données projet'!$B$10,Paramètres!$A$1:$I$89,5,0)</f>
        <v>-1.69961822393816E-13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289.12367833861299</v>
      </c>
      <c r="AO139" s="62">
        <f t="shared" si="144"/>
        <v>229.06617320689003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4.6039117829471115E-16</v>
      </c>
      <c r="AX139" s="23">
        <f t="shared" si="114"/>
        <v>4.6039117829471115E-16</v>
      </c>
      <c r="AY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2.7</v>
      </c>
      <c r="BD139" s="13">
        <f>IF('Données projet'!$A$88&gt;35,BD138+BC139-BL138,IF(A139&lt;'Données projet'!$A$88,$BA$205^A139,IF(A139='Données projet'!$A$88,'Données projet'!$B$88,BD138+BC139-BL138)))</f>
        <v>285.19999999999931</v>
      </c>
      <c r="BE139" s="14">
        <f>BD139*VLOOKUP('Données projet'!$B$11,Paramètres!$A$1:$I$89,3,0)*VLOOKUP('Données projet'!$B$11,Paramètres!$A$1:$I$89,5,0)</f>
        <v>258.0489599999994</v>
      </c>
      <c r="BF139" s="14">
        <f t="shared" si="145"/>
        <v>62.306312932555649</v>
      </c>
      <c r="BG139" s="22">
        <f t="shared" si="115"/>
        <v>557.95210035753337</v>
      </c>
      <c r="BH139" s="62">
        <f t="shared" si="116"/>
        <v>851.28543369086674</v>
      </c>
      <c r="BI139" s="62">
        <f ca="1">AVERAGE(OFFSET($BH$3,0,0,'Données projet'!$E$11+1,1))-AVERAGE(OFFSET($H$3,0,0,'Données projet'!$E$11+1,1))</f>
        <v>428.8489304403459</v>
      </c>
      <c r="BJ139" s="62">
        <f t="shared" si="146"/>
        <v>247.01165577562966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-1.7053025658242404E-13</v>
      </c>
      <c r="BZ139" s="14">
        <f>BY139*VLOOKUP('Données projet'!$B$12,Paramètres!$A$1:$I$89,3,0)*VLOOKUP('Données projet'!$B$12,Paramètres!$A$1:$I$89,5,0)</f>
        <v>-1.250327841262333E-13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290.85271051443431</v>
      </c>
      <c r="CE139" s="62">
        <f t="shared" si="148"/>
        <v>318.66958823451142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1.1368683772161603E-13</v>
      </c>
      <c r="CU139" s="18">
        <f>CT139*VLOOKUP('Données projet'!$B$13,Paramètres!$A$1:$I$89,3,0)*VLOOKUP('Données projet'!$B$13,Paramètres!$A$1:$I$89,5,0)</f>
        <v>8.8675733422860506E-14</v>
      </c>
      <c r="CV139" s="14">
        <f t="shared" si="149"/>
        <v>1.3509285393066301E-12</v>
      </c>
      <c r="CW139" s="22">
        <f t="shared" si="121"/>
        <v>2.5073107750038623E-12</v>
      </c>
      <c r="CX139" s="62">
        <f t="shared" si="122"/>
        <v>293.33333333333582</v>
      </c>
      <c r="CY139" s="62">
        <f ca="1">AVERAGE(OFFSET($CX$3,0,0,'Données projet'!$E$13+1,1))-AVERAGE(OFFSET($H$3,0,0,'Données projet'!$E$13+1,1))</f>
        <v>292.57482726862594</v>
      </c>
      <c r="CZ139" s="62">
        <f t="shared" si="150"/>
        <v>283.48738729114024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-1.7053025658242404E-13</v>
      </c>
      <c r="DP139" s="18">
        <f>DO139*VLOOKUP('Données projet'!$B$14,Paramètres!$A$1:$I$89,3,0)*VLOOKUP('Données projet'!$B$14,Paramètres!$A$1:$I$89,5,0)</f>
        <v>-1.3567387213697657E-13</v>
      </c>
      <c r="DQ139" s="14" t="e">
        <f t="shared" si="151"/>
        <v>#NUM!</v>
      </c>
      <c r="DR139" s="22" t="e">
        <f t="shared" si="124"/>
        <v>#NUM!</v>
      </c>
      <c r="DS139" s="62" t="e">
        <f t="shared" si="125"/>
        <v>#NUM!</v>
      </c>
      <c r="DT139" s="62">
        <f ca="1">AVERAGE(OFFSET($DS$3,0,0,'Données projet'!$E$14+1,1))-AVERAGE(OFFSET($H$3,0,0,'Données projet'!$E$14+1,1))</f>
        <v>312.53381881960331</v>
      </c>
      <c r="DU139" s="62">
        <f t="shared" si="152"/>
        <v>342.06887933351783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1.1368683772161603E-13</v>
      </c>
      <c r="EK139" s="18">
        <f>EJ139*VLOOKUP('Données projet'!$B$15,Paramètres!$A$1:$I$89,3,0)*VLOOKUP('Données projet'!$B$15,Paramètres!$A$1:$I$89,5,0)</f>
        <v>1.0818439477588981E-13</v>
      </c>
      <c r="EL139" s="14">
        <f t="shared" si="153"/>
        <v>1.6104228458716316E-12</v>
      </c>
      <c r="EM139" s="22">
        <f t="shared" si="127"/>
        <v>2.9932409441277661E-12</v>
      </c>
      <c r="EN139" s="62">
        <f t="shared" si="128"/>
        <v>293.33333333333633</v>
      </c>
      <c r="EO139" s="62">
        <f ca="1">AVERAGE(OFFSET($EN$3,0,0,'Données projet'!$E$15+1,1))-AVERAGE(OFFSET($H$3,0,0,'Données projet'!$E$15+1,1))</f>
        <v>363.37916970915211</v>
      </c>
      <c r="EP139" s="62">
        <f t="shared" si="154"/>
        <v>281.52963027844595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-6.2527760746888816E-13</v>
      </c>
      <c r="FF139" s="18">
        <f>FE139*VLOOKUP('Données projet'!$B$16,Paramètres!$A$1:$I$89,3,0)*VLOOKUP('Données projet'!$B$16,Paramètres!$A$1:$I$89,5,0)</f>
        <v>-2.9262992029543964E-13</v>
      </c>
      <c r="FG139" s="14" t="e">
        <f t="shared" si="155"/>
        <v>#NUM!</v>
      </c>
      <c r="FH139" s="22" t="e">
        <f t="shared" si="130"/>
        <v>#NUM!</v>
      </c>
      <c r="FI139" s="62" t="e">
        <f t="shared" si="131"/>
        <v>#NUM!</v>
      </c>
      <c r="FJ139" s="62">
        <f ca="1">AVERAGE(OFFSET($FI$3,0,0,'Données projet'!$E$16+1,1))-AVERAGE(OFFSET($H$3,0,0,'Données projet'!$E$16+1,1))</f>
        <v>245.47494516762282</v>
      </c>
      <c r="FK139" s="62">
        <f t="shared" si="156"/>
        <v>145.54897745089966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2.7</v>
      </c>
      <c r="FZ139" s="13">
        <f>IF('Données projet'!$A$244&gt;35,FZ138+FY139-GH138,IF(A139&lt;'Données projet'!$A$244,$FW$205^A139,IF(A139='Données projet'!$A$244,'Données projet'!$B$244,FZ138+FY139-GH138)))</f>
        <v>285.19999999999931</v>
      </c>
      <c r="GA139" s="18">
        <f>FZ139*VLOOKUP('Données projet'!$B$17,Paramètres!$A$1:$I$89,3,0)*VLOOKUP('Données projet'!$B$17,Paramètres!$A$1:$I$89,5,0)</f>
        <v>275.84543999999931</v>
      </c>
      <c r="GB139" s="14">
        <f t="shared" si="157"/>
        <v>66.088268521855113</v>
      </c>
      <c r="GC139" s="22">
        <f t="shared" si="133"/>
        <v>595.53454234222977</v>
      </c>
      <c r="GD139" s="62">
        <f t="shared" si="134"/>
        <v>888.86787567556303</v>
      </c>
      <c r="GE139" s="62">
        <f ca="1">AVERAGE(OFFSET($GD$3,0,0,'Données projet'!$E$17+1,1))-AVERAGE(OFFSET($H$3,0,0,'Données projet'!$E$17+1,1))</f>
        <v>455.50822833641354</v>
      </c>
      <c r="GF139" s="62">
        <f t="shared" si="158"/>
        <v>261.14722581688039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1.7053025658242404E-13</v>
      </c>
      <c r="GV139" s="18">
        <f>GU139*VLOOKUP('Données projet'!$B$18,Paramètres!$A$1:$I$89,3,0)*VLOOKUP('Données projet'!$B$18,Paramètres!$A$1:$I$89,5,0)</f>
        <v>1.1439169611549005E-13</v>
      </c>
      <c r="GW139" s="14">
        <f t="shared" si="159"/>
        <v>1.6918016515029816E-12</v>
      </c>
      <c r="GX139" s="22">
        <f t="shared" si="136"/>
        <v>3.1457867471021712E-12</v>
      </c>
      <c r="GY139" s="62">
        <f t="shared" si="137"/>
        <v>293.33333333333644</v>
      </c>
      <c r="GZ139" s="62">
        <f ca="1">AVERAGE(OFFSET($GY$3,0,0,'Données projet'!$E$18+1,1))-AVERAGE(OFFSET($H$3,0,0,'Données projet'!$E$18+1,1))</f>
        <v>312.06797204903796</v>
      </c>
      <c r="HA139" s="62">
        <f t="shared" si="160"/>
        <v>258.20189001775151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projet'!$B$18,Paramètres!$A$1:$I$89,3,0)*0.475*44/12</f>
        <v>0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138"/>
        <v>0</v>
      </c>
    </row>
    <row r="140" spans="1:218" s="5" customFormat="1" x14ac:dyDescent="0.25">
      <c r="A140" s="11">
        <f t="shared" si="139"/>
        <v>137</v>
      </c>
      <c r="B140" s="76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9">
        <f t="shared" si="110"/>
        <v>256.66666666666669</v>
      </c>
      <c r="I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2.2737367544323206E-13</v>
      </c>
      <c r="O140" s="14">
        <f>N140*VLOOKUP('Données projet'!$B$9,Paramètres!$A$1:$I$89,3,0)*VLOOKUP('Données projet'!$B$9,Paramètres!$A$1:$I$89,5,0)</f>
        <v>1.2710188457276673E-13</v>
      </c>
      <c r="P140" s="14">
        <f t="shared" si="141"/>
        <v>1.856866851063998E-12</v>
      </c>
      <c r="Q140" s="22">
        <f t="shared" si="108"/>
        <v>3.4554122145673649E-12</v>
      </c>
      <c r="R140" s="62">
        <f t="shared" si="109"/>
        <v>293.33333333333678</v>
      </c>
      <c r="S140" s="62">
        <f ca="1">AVERAGE(OFFSET($R$3,0,0,'Données projet'!$E$9+1,1))-AVERAGE(OFFSET($H$3,0,0,'Données projet'!$E$9+1,1))</f>
        <v>323.98185264074681</v>
      </c>
      <c r="T140" s="62">
        <f t="shared" si="142"/>
        <v>301.22207291854005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0.5361287653824689</v>
      </c>
      <c r="AA140" s="23">
        <f>EXP(-LN(2)/25)*AA139+(1-EXP(-LN(2)/25))/(LN(2)/25)*Calculateur!V140*Calculateur!X140*VLOOKUP('Données projet'!$B$9,Paramètres!$A$1:$I$89,3,0)*0.475*44/12</f>
        <v>0.42452511881931326</v>
      </c>
      <c r="AB140" s="23">
        <f>EXP(-LN(2)/2)*AB139+(1-EXP(-LN(2)/2))/(LN(2)/2)*V140*Y140*VLOOKUP('Données projet'!$B$9,Paramètres!$A$1:$I$89,3,0)*0.475*44/12</f>
        <v>4.779210071319598E-16</v>
      </c>
      <c r="AC140" s="24">
        <f t="shared" si="111"/>
        <v>0.96065388420178266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-2.8421709430404007E-13</v>
      </c>
      <c r="AJ140" s="14">
        <f>AI140*VLOOKUP('Données projet'!$B$10,Paramètres!$A$1:$I$89,3,0)*VLOOKUP('Données projet'!$B$10,Paramètres!$A$1:$I$89,5,0)</f>
        <v>-1.69961822393816E-13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289.12367833861299</v>
      </c>
      <c r="AO140" s="62">
        <f t="shared" si="144"/>
        <v>229.06617320689003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3.2554572417065511E-16</v>
      </c>
      <c r="AX140" s="23">
        <f t="shared" si="114"/>
        <v>3.2554572417065511E-16</v>
      </c>
      <c r="AY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2.7</v>
      </c>
      <c r="BD140" s="13">
        <f>IF('Données projet'!$A$88&gt;35,BD139+BC140-BL139,IF(A140&lt;'Données projet'!$A$88,$BA$205^A140,IF(A140='Données projet'!$A$88,'Données projet'!$B$88,BD139+BC140-BL139)))</f>
        <v>287.8999999999993</v>
      </c>
      <c r="BE140" s="14">
        <f>BD140*VLOOKUP('Données projet'!$B$11,Paramètres!$A$1:$I$89,3,0)*VLOOKUP('Données projet'!$B$11,Paramètres!$A$1:$I$89,5,0)</f>
        <v>260.49191999999937</v>
      </c>
      <c r="BF140" s="14">
        <f t="shared" si="145"/>
        <v>62.827223883029681</v>
      </c>
      <c r="BG140" s="22">
        <f t="shared" si="115"/>
        <v>563.11417559627546</v>
      </c>
      <c r="BH140" s="62">
        <f t="shared" si="116"/>
        <v>856.44750892960883</v>
      </c>
      <c r="BI140" s="62">
        <f ca="1">AVERAGE(OFFSET($BH$3,0,0,'Données projet'!$E$11+1,1))-AVERAGE(OFFSET($H$3,0,0,'Données projet'!$E$11+1,1))</f>
        <v>428.8489304403459</v>
      </c>
      <c r="BJ140" s="62">
        <f t="shared" si="146"/>
        <v>247.01165577562966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-1.7053025658242404E-13</v>
      </c>
      <c r="BZ140" s="14">
        <f>BY140*VLOOKUP('Données projet'!$B$12,Paramètres!$A$1:$I$89,3,0)*VLOOKUP('Données projet'!$B$12,Paramètres!$A$1:$I$89,5,0)</f>
        <v>-1.250327841262333E-13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290.85271051443431</v>
      </c>
      <c r="CE140" s="62">
        <f t="shared" si="148"/>
        <v>318.66958823451142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1.1368683772161603E-13</v>
      </c>
      <c r="CU140" s="18">
        <f>CT140*VLOOKUP('Données projet'!$B$13,Paramètres!$A$1:$I$89,3,0)*VLOOKUP('Données projet'!$B$13,Paramètres!$A$1:$I$89,5,0)</f>
        <v>8.8675733422860506E-14</v>
      </c>
      <c r="CV140" s="14">
        <f t="shared" si="149"/>
        <v>1.3509285393066301E-12</v>
      </c>
      <c r="CW140" s="22">
        <f t="shared" si="121"/>
        <v>2.5073107750038623E-12</v>
      </c>
      <c r="CX140" s="62">
        <f t="shared" si="122"/>
        <v>293.33333333333582</v>
      </c>
      <c r="CY140" s="62">
        <f ca="1">AVERAGE(OFFSET($CX$3,0,0,'Données projet'!$E$13+1,1))-AVERAGE(OFFSET($H$3,0,0,'Données projet'!$E$13+1,1))</f>
        <v>292.57482726862594</v>
      </c>
      <c r="CZ140" s="62">
        <f t="shared" si="150"/>
        <v>283.48738729114024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-1.7053025658242404E-13</v>
      </c>
      <c r="DP140" s="18">
        <f>DO140*VLOOKUP('Données projet'!$B$14,Paramètres!$A$1:$I$89,3,0)*VLOOKUP('Données projet'!$B$14,Paramètres!$A$1:$I$89,5,0)</f>
        <v>-1.3567387213697657E-13</v>
      </c>
      <c r="DQ140" s="14" t="e">
        <f t="shared" si="151"/>
        <v>#NUM!</v>
      </c>
      <c r="DR140" s="22" t="e">
        <f t="shared" si="124"/>
        <v>#NUM!</v>
      </c>
      <c r="DS140" s="62" t="e">
        <f t="shared" si="125"/>
        <v>#NUM!</v>
      </c>
      <c r="DT140" s="62">
        <f ca="1">AVERAGE(OFFSET($DS$3,0,0,'Données projet'!$E$14+1,1))-AVERAGE(OFFSET($H$3,0,0,'Données projet'!$E$14+1,1))</f>
        <v>312.53381881960331</v>
      </c>
      <c r="DU140" s="62">
        <f t="shared" si="152"/>
        <v>342.06887933351783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1.1368683772161603E-13</v>
      </c>
      <c r="EK140" s="18">
        <f>EJ140*VLOOKUP('Données projet'!$B$15,Paramètres!$A$1:$I$89,3,0)*VLOOKUP('Données projet'!$B$15,Paramètres!$A$1:$I$89,5,0)</f>
        <v>1.0818439477588981E-13</v>
      </c>
      <c r="EL140" s="14">
        <f t="shared" si="153"/>
        <v>1.6104228458716316E-12</v>
      </c>
      <c r="EM140" s="22">
        <f t="shared" si="127"/>
        <v>2.9932409441277661E-12</v>
      </c>
      <c r="EN140" s="62">
        <f t="shared" si="128"/>
        <v>293.33333333333633</v>
      </c>
      <c r="EO140" s="62">
        <f ca="1">AVERAGE(OFFSET($EN$3,0,0,'Données projet'!$E$15+1,1))-AVERAGE(OFFSET($H$3,0,0,'Données projet'!$E$15+1,1))</f>
        <v>363.37916970915211</v>
      </c>
      <c r="EP140" s="62">
        <f t="shared" si="154"/>
        <v>281.52963027844595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-6.2527760746888816E-13</v>
      </c>
      <c r="FF140" s="18">
        <f>FE140*VLOOKUP('Données projet'!$B$16,Paramètres!$A$1:$I$89,3,0)*VLOOKUP('Données projet'!$B$16,Paramètres!$A$1:$I$89,5,0)</f>
        <v>-2.9262992029543964E-13</v>
      </c>
      <c r="FG140" s="14" t="e">
        <f t="shared" si="155"/>
        <v>#NUM!</v>
      </c>
      <c r="FH140" s="22" t="e">
        <f t="shared" si="130"/>
        <v>#NUM!</v>
      </c>
      <c r="FI140" s="62" t="e">
        <f t="shared" si="131"/>
        <v>#NUM!</v>
      </c>
      <c r="FJ140" s="62">
        <f ca="1">AVERAGE(OFFSET($FI$3,0,0,'Données projet'!$E$16+1,1))-AVERAGE(OFFSET($H$3,0,0,'Données projet'!$E$16+1,1))</f>
        <v>245.47494516762282</v>
      </c>
      <c r="FK140" s="62">
        <f t="shared" si="156"/>
        <v>145.54897745089966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2.7</v>
      </c>
      <c r="FZ140" s="13">
        <f>IF('Données projet'!$A$244&gt;35,FZ139+FY140-GH139,IF(A140&lt;'Données projet'!$A$244,$FW$205^A140,IF(A140='Données projet'!$A$244,'Données projet'!$B$244,FZ139+FY140-GH139)))</f>
        <v>287.8999999999993</v>
      </c>
      <c r="GA140" s="18">
        <f>FZ140*VLOOKUP('Données projet'!$B$17,Paramètres!$A$1:$I$89,3,0)*VLOOKUP('Données projet'!$B$17,Paramètres!$A$1:$I$89,5,0)</f>
        <v>278.45687999999933</v>
      </c>
      <c r="GB140" s="14">
        <f t="shared" si="157"/>
        <v>66.640798452620999</v>
      </c>
      <c r="GC140" s="22">
        <f t="shared" si="133"/>
        <v>601.04512330498039</v>
      </c>
      <c r="GD140" s="62">
        <f t="shared" si="134"/>
        <v>894.37845663831376</v>
      </c>
      <c r="GE140" s="62">
        <f ca="1">AVERAGE(OFFSET($GD$3,0,0,'Données projet'!$E$17+1,1))-AVERAGE(OFFSET($H$3,0,0,'Données projet'!$E$17+1,1))</f>
        <v>455.50822833641354</v>
      </c>
      <c r="GF140" s="62">
        <f t="shared" si="158"/>
        <v>261.14722581688039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1.7053025658242404E-13</v>
      </c>
      <c r="GV140" s="18">
        <f>GU140*VLOOKUP('Données projet'!$B$18,Paramètres!$A$1:$I$89,3,0)*VLOOKUP('Données projet'!$B$18,Paramètres!$A$1:$I$89,5,0)</f>
        <v>1.1439169611549005E-13</v>
      </c>
      <c r="GW140" s="14">
        <f t="shared" si="159"/>
        <v>1.6918016515029816E-12</v>
      </c>
      <c r="GX140" s="22">
        <f t="shared" si="136"/>
        <v>3.1457867471021712E-12</v>
      </c>
      <c r="GY140" s="62">
        <f t="shared" si="137"/>
        <v>293.33333333333644</v>
      </c>
      <c r="GZ140" s="62">
        <f ca="1">AVERAGE(OFFSET($GY$3,0,0,'Données projet'!$E$18+1,1))-AVERAGE(OFFSET($H$3,0,0,'Données projet'!$E$18+1,1))</f>
        <v>312.06797204903796</v>
      </c>
      <c r="HA140" s="62">
        <f t="shared" si="160"/>
        <v>258.20189001775151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projet'!$B$18,Paramètres!$A$1:$I$89,3,0)*0.475*44/12</f>
        <v>0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138"/>
        <v>0</v>
      </c>
    </row>
    <row r="141" spans="1:218" s="5" customFormat="1" x14ac:dyDescent="0.25">
      <c r="A141" s="11">
        <f t="shared" si="139"/>
        <v>138</v>
      </c>
      <c r="B141" s="76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9">
        <f t="shared" si="110"/>
        <v>256.66666666666669</v>
      </c>
      <c r="I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2.2737367544323206E-13</v>
      </c>
      <c r="O141" s="14">
        <f>N141*VLOOKUP('Données projet'!$B$9,Paramètres!$A$1:$I$89,3,0)*VLOOKUP('Données projet'!$B$9,Paramètres!$A$1:$I$89,5,0)</f>
        <v>1.2710188457276673E-13</v>
      </c>
      <c r="P141" s="14">
        <f t="shared" si="141"/>
        <v>1.856866851063998E-12</v>
      </c>
      <c r="Q141" s="22">
        <f t="shared" si="108"/>
        <v>3.4554122145673649E-12</v>
      </c>
      <c r="R141" s="62">
        <f t="shared" si="109"/>
        <v>293.33333333333678</v>
      </c>
      <c r="S141" s="62">
        <f ca="1">AVERAGE(OFFSET($R$3,0,0,'Données projet'!$E$9+1,1))-AVERAGE(OFFSET($H$3,0,0,'Données projet'!$E$9+1,1))</f>
        <v>323.98185264074681</v>
      </c>
      <c r="T141" s="62">
        <f t="shared" si="142"/>
        <v>301.22207291854005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0.52561560729957635</v>
      </c>
      <c r="AA141" s="23">
        <f>EXP(-LN(2)/25)*AA140+(1-EXP(-LN(2)/25))/(LN(2)/25)*Calculateur!V141*Calculateur!X141*VLOOKUP('Données projet'!$B$9,Paramètres!$A$1:$I$89,3,0)*0.475*44/12</f>
        <v>0.41291645712039343</v>
      </c>
      <c r="AB141" s="23">
        <f>EXP(-LN(2)/2)*AB140+(1-EXP(-LN(2)/2))/(LN(2)/2)*V141*Y141*VLOOKUP('Données projet'!$B$9,Paramètres!$A$1:$I$89,3,0)*0.475*44/12</f>
        <v>3.3794118501451313E-16</v>
      </c>
      <c r="AC141" s="24">
        <f t="shared" si="111"/>
        <v>0.93853206441997006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-2.8421709430404007E-13</v>
      </c>
      <c r="AJ141" s="14">
        <f>AI141*VLOOKUP('Données projet'!$B$10,Paramètres!$A$1:$I$89,3,0)*VLOOKUP('Données projet'!$B$10,Paramètres!$A$1:$I$89,5,0)</f>
        <v>-1.69961822393816E-13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289.12367833861299</v>
      </c>
      <c r="AO141" s="62">
        <f t="shared" si="144"/>
        <v>229.06617320689003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2.3019558914735558E-16</v>
      </c>
      <c r="AX141" s="23">
        <f t="shared" si="114"/>
        <v>2.3019558914735558E-16</v>
      </c>
      <c r="AY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2.7</v>
      </c>
      <c r="BD141" s="13">
        <f>IF('Données projet'!$A$88&gt;35,BD140+BC141-BL140,IF(A141&lt;'Données projet'!$A$88,$BA$205^A141,IF(A141='Données projet'!$A$88,'Données projet'!$B$88,BD140+BC141-BL140)))</f>
        <v>290.59999999999928</v>
      </c>
      <c r="BE141" s="14">
        <f>BD141*VLOOKUP('Données projet'!$B$11,Paramètres!$A$1:$I$89,3,0)*VLOOKUP('Données projet'!$B$11,Paramètres!$A$1:$I$89,5,0)</f>
        <v>262.93487999999934</v>
      </c>
      <c r="BF141" s="14">
        <f t="shared" si="145"/>
        <v>63.347566493432652</v>
      </c>
      <c r="BG141" s="22">
        <f t="shared" si="115"/>
        <v>568.27526097606062</v>
      </c>
      <c r="BH141" s="62">
        <f t="shared" si="116"/>
        <v>861.60859430939399</v>
      </c>
      <c r="BI141" s="62">
        <f ca="1">AVERAGE(OFFSET($BH$3,0,0,'Données projet'!$E$11+1,1))-AVERAGE(OFFSET($H$3,0,0,'Données projet'!$E$11+1,1))</f>
        <v>428.8489304403459</v>
      </c>
      <c r="BJ141" s="62">
        <f t="shared" si="146"/>
        <v>247.01165577562966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-1.7053025658242404E-13</v>
      </c>
      <c r="BZ141" s="14">
        <f>BY141*VLOOKUP('Données projet'!$B$12,Paramètres!$A$1:$I$89,3,0)*VLOOKUP('Données projet'!$B$12,Paramètres!$A$1:$I$89,5,0)</f>
        <v>-1.250327841262333E-13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290.85271051443431</v>
      </c>
      <c r="CE141" s="62">
        <f t="shared" si="148"/>
        <v>318.66958823451142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1.1368683772161603E-13</v>
      </c>
      <c r="CU141" s="18">
        <f>CT141*VLOOKUP('Données projet'!$B$13,Paramètres!$A$1:$I$89,3,0)*VLOOKUP('Données projet'!$B$13,Paramètres!$A$1:$I$89,5,0)</f>
        <v>8.8675733422860506E-14</v>
      </c>
      <c r="CV141" s="14">
        <f t="shared" si="149"/>
        <v>1.3509285393066301E-12</v>
      </c>
      <c r="CW141" s="22">
        <f t="shared" si="121"/>
        <v>2.5073107750038623E-12</v>
      </c>
      <c r="CX141" s="62">
        <f t="shared" si="122"/>
        <v>293.33333333333582</v>
      </c>
      <c r="CY141" s="62">
        <f ca="1">AVERAGE(OFFSET($CX$3,0,0,'Données projet'!$E$13+1,1))-AVERAGE(OFFSET($H$3,0,0,'Données projet'!$E$13+1,1))</f>
        <v>292.57482726862594</v>
      </c>
      <c r="CZ141" s="62">
        <f t="shared" si="150"/>
        <v>283.48738729114024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-1.7053025658242404E-13</v>
      </c>
      <c r="DP141" s="18">
        <f>DO141*VLOOKUP('Données projet'!$B$14,Paramètres!$A$1:$I$89,3,0)*VLOOKUP('Données projet'!$B$14,Paramètres!$A$1:$I$89,5,0)</f>
        <v>-1.3567387213697657E-13</v>
      </c>
      <c r="DQ141" s="14" t="e">
        <f t="shared" si="151"/>
        <v>#NUM!</v>
      </c>
      <c r="DR141" s="22" t="e">
        <f t="shared" si="124"/>
        <v>#NUM!</v>
      </c>
      <c r="DS141" s="62" t="e">
        <f t="shared" si="125"/>
        <v>#NUM!</v>
      </c>
      <c r="DT141" s="62">
        <f ca="1">AVERAGE(OFFSET($DS$3,0,0,'Données projet'!$E$14+1,1))-AVERAGE(OFFSET($H$3,0,0,'Données projet'!$E$14+1,1))</f>
        <v>312.53381881960331</v>
      </c>
      <c r="DU141" s="62">
        <f t="shared" si="152"/>
        <v>342.06887933351783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1.1368683772161603E-13</v>
      </c>
      <c r="EK141" s="18">
        <f>EJ141*VLOOKUP('Données projet'!$B$15,Paramètres!$A$1:$I$89,3,0)*VLOOKUP('Données projet'!$B$15,Paramètres!$A$1:$I$89,5,0)</f>
        <v>1.0818439477588981E-13</v>
      </c>
      <c r="EL141" s="14">
        <f t="shared" si="153"/>
        <v>1.6104228458716316E-12</v>
      </c>
      <c r="EM141" s="22">
        <f t="shared" si="127"/>
        <v>2.9932409441277661E-12</v>
      </c>
      <c r="EN141" s="62">
        <f t="shared" si="128"/>
        <v>293.33333333333633</v>
      </c>
      <c r="EO141" s="62">
        <f ca="1">AVERAGE(OFFSET($EN$3,0,0,'Données projet'!$E$15+1,1))-AVERAGE(OFFSET($H$3,0,0,'Données projet'!$E$15+1,1))</f>
        <v>363.37916970915211</v>
      </c>
      <c r="EP141" s="62">
        <f t="shared" si="154"/>
        <v>281.52963027844595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-6.2527760746888816E-13</v>
      </c>
      <c r="FF141" s="18">
        <f>FE141*VLOOKUP('Données projet'!$B$16,Paramètres!$A$1:$I$89,3,0)*VLOOKUP('Données projet'!$B$16,Paramètres!$A$1:$I$89,5,0)</f>
        <v>-2.9262992029543964E-13</v>
      </c>
      <c r="FG141" s="14" t="e">
        <f t="shared" si="155"/>
        <v>#NUM!</v>
      </c>
      <c r="FH141" s="22" t="e">
        <f t="shared" si="130"/>
        <v>#NUM!</v>
      </c>
      <c r="FI141" s="62" t="e">
        <f t="shared" si="131"/>
        <v>#NUM!</v>
      </c>
      <c r="FJ141" s="62">
        <f ca="1">AVERAGE(OFFSET($FI$3,0,0,'Données projet'!$E$16+1,1))-AVERAGE(OFFSET($H$3,0,0,'Données projet'!$E$16+1,1))</f>
        <v>245.47494516762282</v>
      </c>
      <c r="FK141" s="62">
        <f t="shared" si="156"/>
        <v>145.54897745089966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2.7</v>
      </c>
      <c r="FZ141" s="13">
        <f>IF('Données projet'!$A$244&gt;35,FZ140+FY141-GH140,IF(A141&lt;'Données projet'!$A$244,$FW$205^A141,IF(A141='Données projet'!$A$244,'Données projet'!$B$244,FZ140+FY141-GH140)))</f>
        <v>290.59999999999928</v>
      </c>
      <c r="GA141" s="18">
        <f>FZ141*VLOOKUP('Données projet'!$B$17,Paramètres!$A$1:$I$89,3,0)*VLOOKUP('Données projet'!$B$17,Paramètres!$A$1:$I$89,5,0)</f>
        <v>281.06831999999929</v>
      </c>
      <c r="GB141" s="14">
        <f t="shared" si="157"/>
        <v>67.192725545416536</v>
      </c>
      <c r="GC141" s="22">
        <f t="shared" si="133"/>
        <v>606.55465432493247</v>
      </c>
      <c r="GD141" s="62">
        <f t="shared" si="134"/>
        <v>899.88798765826573</v>
      </c>
      <c r="GE141" s="62">
        <f ca="1">AVERAGE(OFFSET($GD$3,0,0,'Données projet'!$E$17+1,1))-AVERAGE(OFFSET($H$3,0,0,'Données projet'!$E$17+1,1))</f>
        <v>455.50822833641354</v>
      </c>
      <c r="GF141" s="62">
        <f t="shared" si="158"/>
        <v>261.14722581688039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1.7053025658242404E-13</v>
      </c>
      <c r="GV141" s="18">
        <f>GU141*VLOOKUP('Données projet'!$B$18,Paramètres!$A$1:$I$89,3,0)*VLOOKUP('Données projet'!$B$18,Paramètres!$A$1:$I$89,5,0)</f>
        <v>1.1439169611549005E-13</v>
      </c>
      <c r="GW141" s="14">
        <f t="shared" si="159"/>
        <v>1.6918016515029816E-12</v>
      </c>
      <c r="GX141" s="22">
        <f t="shared" si="136"/>
        <v>3.1457867471021712E-12</v>
      </c>
      <c r="GY141" s="62">
        <f t="shared" si="137"/>
        <v>293.33333333333644</v>
      </c>
      <c r="GZ141" s="62">
        <f ca="1">AVERAGE(OFFSET($GY$3,0,0,'Données projet'!$E$18+1,1))-AVERAGE(OFFSET($H$3,0,0,'Données projet'!$E$18+1,1))</f>
        <v>312.06797204903796</v>
      </c>
      <c r="HA141" s="62">
        <f t="shared" si="160"/>
        <v>258.20189001775151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projet'!$B$18,Paramètres!$A$1:$I$89,3,0)*0.475*44/12</f>
        <v>0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138"/>
        <v>0</v>
      </c>
    </row>
    <row r="142" spans="1:218" s="5" customFormat="1" x14ac:dyDescent="0.25">
      <c r="A142" s="11">
        <f t="shared" si="139"/>
        <v>139</v>
      </c>
      <c r="B142" s="76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9">
        <f t="shared" si="110"/>
        <v>256.66666666666669</v>
      </c>
      <c r="I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2.2737367544323206E-13</v>
      </c>
      <c r="O142" s="14">
        <f>N142*VLOOKUP('Données projet'!$B$9,Paramètres!$A$1:$I$89,3,0)*VLOOKUP('Données projet'!$B$9,Paramètres!$A$1:$I$89,5,0)</f>
        <v>1.2710188457276673E-13</v>
      </c>
      <c r="P142" s="14">
        <f t="shared" si="141"/>
        <v>1.856866851063998E-12</v>
      </c>
      <c r="Q142" s="22">
        <f t="shared" si="108"/>
        <v>3.4554122145673649E-12</v>
      </c>
      <c r="R142" s="62">
        <f t="shared" si="109"/>
        <v>293.33333333333678</v>
      </c>
      <c r="S142" s="62">
        <f ca="1">AVERAGE(OFFSET($R$3,0,0,'Données projet'!$E$9+1,1))-AVERAGE(OFFSET($H$3,0,0,'Données projet'!$E$9+1,1))</f>
        <v>323.98185264074681</v>
      </c>
      <c r="T142" s="62">
        <f t="shared" si="142"/>
        <v>301.22207291854005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0.51530860583429605</v>
      </c>
      <c r="AA142" s="23">
        <f>EXP(-LN(2)/25)*AA141+(1-EXP(-LN(2)/25))/(LN(2)/25)*Calculateur!V142*Calculateur!X142*VLOOKUP('Données projet'!$B$9,Paramètres!$A$1:$I$89,3,0)*0.475*44/12</f>
        <v>0.40162523488610352</v>
      </c>
      <c r="AB142" s="23">
        <f>EXP(-LN(2)/2)*AB141+(1-EXP(-LN(2)/2))/(LN(2)/2)*V142*Y142*VLOOKUP('Données projet'!$B$9,Paramètres!$A$1:$I$89,3,0)*0.475*44/12</f>
        <v>2.389605035659799E-16</v>
      </c>
      <c r="AC142" s="24">
        <f t="shared" si="111"/>
        <v>0.91693384072039974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-2.8421709430404007E-13</v>
      </c>
      <c r="AJ142" s="14">
        <f>AI142*VLOOKUP('Données projet'!$B$10,Paramètres!$A$1:$I$89,3,0)*VLOOKUP('Données projet'!$B$10,Paramètres!$A$1:$I$89,5,0)</f>
        <v>-1.69961822393816E-13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289.12367833861299</v>
      </c>
      <c r="AO142" s="62">
        <f t="shared" si="144"/>
        <v>229.06617320689003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1.6277286208532756E-16</v>
      </c>
      <c r="AX142" s="23">
        <f t="shared" si="114"/>
        <v>1.6277286208532756E-16</v>
      </c>
      <c r="AY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2.7</v>
      </c>
      <c r="BD142" s="13">
        <f>IF('Données projet'!$A$88&gt;35,BD141+BC142-BL141,IF(A142&lt;'Données projet'!$A$88,$BA$205^A142,IF(A142='Données projet'!$A$88,'Données projet'!$B$88,BD141+BC142-BL141)))</f>
        <v>293.29999999999927</v>
      </c>
      <c r="BE142" s="14">
        <f>BD142*VLOOKUP('Données projet'!$B$11,Paramètres!$A$1:$I$89,3,0)*VLOOKUP('Données projet'!$B$11,Paramètres!$A$1:$I$89,5,0)</f>
        <v>265.37783999999937</v>
      </c>
      <c r="BF142" s="14">
        <f t="shared" si="145"/>
        <v>63.867346655917089</v>
      </c>
      <c r="BG142" s="22">
        <f t="shared" si="115"/>
        <v>573.43536675905443</v>
      </c>
      <c r="BH142" s="62">
        <f t="shared" si="116"/>
        <v>866.76870009238769</v>
      </c>
      <c r="BI142" s="62">
        <f ca="1">AVERAGE(OFFSET($BH$3,0,0,'Données projet'!$E$11+1,1))-AVERAGE(OFFSET($H$3,0,0,'Données projet'!$E$11+1,1))</f>
        <v>428.8489304403459</v>
      </c>
      <c r="BJ142" s="62">
        <f t="shared" si="146"/>
        <v>247.01165577562966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-1.7053025658242404E-13</v>
      </c>
      <c r="BZ142" s="14">
        <f>BY142*VLOOKUP('Données projet'!$B$12,Paramètres!$A$1:$I$89,3,0)*VLOOKUP('Données projet'!$B$12,Paramètres!$A$1:$I$89,5,0)</f>
        <v>-1.250327841262333E-13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290.85271051443431</v>
      </c>
      <c r="CE142" s="62">
        <f t="shared" si="148"/>
        <v>318.66958823451142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1.1368683772161603E-13</v>
      </c>
      <c r="CU142" s="18">
        <f>CT142*VLOOKUP('Données projet'!$B$13,Paramètres!$A$1:$I$89,3,0)*VLOOKUP('Données projet'!$B$13,Paramètres!$A$1:$I$89,5,0)</f>
        <v>8.8675733422860506E-14</v>
      </c>
      <c r="CV142" s="14">
        <f t="shared" si="149"/>
        <v>1.3509285393066301E-12</v>
      </c>
      <c r="CW142" s="22">
        <f t="shared" si="121"/>
        <v>2.5073107750038623E-12</v>
      </c>
      <c r="CX142" s="62">
        <f t="shared" si="122"/>
        <v>293.33333333333582</v>
      </c>
      <c r="CY142" s="62">
        <f ca="1">AVERAGE(OFFSET($CX$3,0,0,'Données projet'!$E$13+1,1))-AVERAGE(OFFSET($H$3,0,0,'Données projet'!$E$13+1,1))</f>
        <v>292.57482726862594</v>
      </c>
      <c r="CZ142" s="62">
        <f t="shared" si="150"/>
        <v>283.48738729114024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-1.7053025658242404E-13</v>
      </c>
      <c r="DP142" s="18">
        <f>DO142*VLOOKUP('Données projet'!$B$14,Paramètres!$A$1:$I$89,3,0)*VLOOKUP('Données projet'!$B$14,Paramètres!$A$1:$I$89,5,0)</f>
        <v>-1.3567387213697657E-13</v>
      </c>
      <c r="DQ142" s="14" t="e">
        <f t="shared" si="151"/>
        <v>#NUM!</v>
      </c>
      <c r="DR142" s="22" t="e">
        <f t="shared" si="124"/>
        <v>#NUM!</v>
      </c>
      <c r="DS142" s="62" t="e">
        <f t="shared" si="125"/>
        <v>#NUM!</v>
      </c>
      <c r="DT142" s="62">
        <f ca="1">AVERAGE(OFFSET($DS$3,0,0,'Données projet'!$E$14+1,1))-AVERAGE(OFFSET($H$3,0,0,'Données projet'!$E$14+1,1))</f>
        <v>312.53381881960331</v>
      </c>
      <c r="DU142" s="62">
        <f t="shared" si="152"/>
        <v>342.06887933351783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1.1368683772161603E-13</v>
      </c>
      <c r="EK142" s="18">
        <f>EJ142*VLOOKUP('Données projet'!$B$15,Paramètres!$A$1:$I$89,3,0)*VLOOKUP('Données projet'!$B$15,Paramètres!$A$1:$I$89,5,0)</f>
        <v>1.0818439477588981E-13</v>
      </c>
      <c r="EL142" s="14">
        <f t="shared" si="153"/>
        <v>1.6104228458716316E-12</v>
      </c>
      <c r="EM142" s="22">
        <f t="shared" si="127"/>
        <v>2.9932409441277661E-12</v>
      </c>
      <c r="EN142" s="62">
        <f t="shared" si="128"/>
        <v>293.33333333333633</v>
      </c>
      <c r="EO142" s="62">
        <f ca="1">AVERAGE(OFFSET($EN$3,0,0,'Données projet'!$E$15+1,1))-AVERAGE(OFFSET($H$3,0,0,'Données projet'!$E$15+1,1))</f>
        <v>363.37916970915211</v>
      </c>
      <c r="EP142" s="62">
        <f t="shared" si="154"/>
        <v>281.52963027844595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-6.2527760746888816E-13</v>
      </c>
      <c r="FF142" s="18">
        <f>FE142*VLOOKUP('Données projet'!$B$16,Paramètres!$A$1:$I$89,3,0)*VLOOKUP('Données projet'!$B$16,Paramètres!$A$1:$I$89,5,0)</f>
        <v>-2.9262992029543964E-13</v>
      </c>
      <c r="FG142" s="14" t="e">
        <f t="shared" si="155"/>
        <v>#NUM!</v>
      </c>
      <c r="FH142" s="22" t="e">
        <f t="shared" si="130"/>
        <v>#NUM!</v>
      </c>
      <c r="FI142" s="62" t="e">
        <f t="shared" si="131"/>
        <v>#NUM!</v>
      </c>
      <c r="FJ142" s="62">
        <f ca="1">AVERAGE(OFFSET($FI$3,0,0,'Données projet'!$E$16+1,1))-AVERAGE(OFFSET($H$3,0,0,'Données projet'!$E$16+1,1))</f>
        <v>245.47494516762282</v>
      </c>
      <c r="FK142" s="62">
        <f t="shared" si="156"/>
        <v>145.54897745089966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2.7</v>
      </c>
      <c r="FZ142" s="13">
        <f>IF('Données projet'!$A$244&gt;35,FZ141+FY142-GH141,IF(A142&lt;'Données projet'!$A$244,$FW$205^A142,IF(A142='Données projet'!$A$244,'Données projet'!$B$244,FZ141+FY142-GH141)))</f>
        <v>293.29999999999927</v>
      </c>
      <c r="GA142" s="18">
        <f>FZ142*VLOOKUP('Données projet'!$B$17,Paramètres!$A$1:$I$89,3,0)*VLOOKUP('Données projet'!$B$17,Paramètres!$A$1:$I$89,5,0)</f>
        <v>283.67975999999931</v>
      </c>
      <c r="GB142" s="14">
        <f t="shared" si="157"/>
        <v>67.74405605004435</v>
      </c>
      <c r="GC142" s="22">
        <f t="shared" si="133"/>
        <v>612.06314628715938</v>
      </c>
      <c r="GD142" s="62">
        <f t="shared" si="134"/>
        <v>905.39647962049276</v>
      </c>
      <c r="GE142" s="62">
        <f ca="1">AVERAGE(OFFSET($GD$3,0,0,'Données projet'!$E$17+1,1))-AVERAGE(OFFSET($H$3,0,0,'Données projet'!$E$17+1,1))</f>
        <v>455.50822833641354</v>
      </c>
      <c r="GF142" s="62">
        <f t="shared" si="158"/>
        <v>261.14722581688039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1.7053025658242404E-13</v>
      </c>
      <c r="GV142" s="18">
        <f>GU142*VLOOKUP('Données projet'!$B$18,Paramètres!$A$1:$I$89,3,0)*VLOOKUP('Données projet'!$B$18,Paramètres!$A$1:$I$89,5,0)</f>
        <v>1.1439169611549005E-13</v>
      </c>
      <c r="GW142" s="14">
        <f t="shared" si="159"/>
        <v>1.6918016515029816E-12</v>
      </c>
      <c r="GX142" s="22">
        <f t="shared" si="136"/>
        <v>3.1457867471021712E-12</v>
      </c>
      <c r="GY142" s="62">
        <f t="shared" si="137"/>
        <v>293.33333333333644</v>
      </c>
      <c r="GZ142" s="62">
        <f ca="1">AVERAGE(OFFSET($GY$3,0,0,'Données projet'!$E$18+1,1))-AVERAGE(OFFSET($H$3,0,0,'Données projet'!$E$18+1,1))</f>
        <v>312.06797204903796</v>
      </c>
      <c r="HA142" s="62">
        <f t="shared" si="160"/>
        <v>258.20189001775151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projet'!$B$18,Paramètres!$A$1:$I$89,3,0)*0.475*44/12</f>
        <v>0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138"/>
        <v>0</v>
      </c>
    </row>
    <row r="143" spans="1:218" s="5" customFormat="1" x14ac:dyDescent="0.25">
      <c r="A143" s="11">
        <f t="shared" si="139"/>
        <v>140</v>
      </c>
      <c r="B143" s="76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9">
        <f t="shared" si="110"/>
        <v>256.66666666666669</v>
      </c>
      <c r="I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2.2737367544323206E-13</v>
      </c>
      <c r="O143" s="14">
        <f>N143*VLOOKUP('Données projet'!$B$9,Paramètres!$A$1:$I$89,3,0)*VLOOKUP('Données projet'!$B$9,Paramètres!$A$1:$I$89,5,0)</f>
        <v>1.2710188457276673E-13</v>
      </c>
      <c r="P143" s="14">
        <f t="shared" si="141"/>
        <v>1.856866851063998E-12</v>
      </c>
      <c r="Q143" s="22">
        <f t="shared" si="108"/>
        <v>3.4554122145673649E-12</v>
      </c>
      <c r="R143" s="62">
        <f t="shared" si="109"/>
        <v>293.33333333333678</v>
      </c>
      <c r="S143" s="62">
        <f ca="1">AVERAGE(OFFSET($R$3,0,0,'Données projet'!$E$9+1,1))-AVERAGE(OFFSET($H$3,0,0,'Données projet'!$E$9+1,1))</f>
        <v>323.98185264074681</v>
      </c>
      <c r="T143" s="62">
        <f t="shared" si="142"/>
        <v>301.22207291854005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0.50520371838109979</v>
      </c>
      <c r="AA143" s="23">
        <f>EXP(-LN(2)/25)*AA142+(1-EXP(-LN(2)/25))/(LN(2)/25)*Calculateur!V143*Calculateur!X143*VLOOKUP('Données projet'!$B$9,Paramètres!$A$1:$I$89,3,0)*0.475*44/12</f>
        <v>0.39064277171758982</v>
      </c>
      <c r="AB143" s="23">
        <f>EXP(-LN(2)/2)*AB142+(1-EXP(-LN(2)/2))/(LN(2)/2)*V143*Y143*VLOOKUP('Données projet'!$B$9,Paramètres!$A$1:$I$89,3,0)*0.475*44/12</f>
        <v>1.6897059250725656E-16</v>
      </c>
      <c r="AC143" s="24">
        <f t="shared" si="111"/>
        <v>0.89584649009868977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-2.8421709430404007E-13</v>
      </c>
      <c r="AJ143" s="14">
        <f>AI143*VLOOKUP('Données projet'!$B$10,Paramètres!$A$1:$I$89,3,0)*VLOOKUP('Données projet'!$B$10,Paramètres!$A$1:$I$89,5,0)</f>
        <v>-1.69961822393816E-13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289.12367833861299</v>
      </c>
      <c r="AO143" s="62">
        <f t="shared" si="144"/>
        <v>229.06617320689003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1.1509779457367779E-16</v>
      </c>
      <c r="AX143" s="23">
        <f t="shared" si="114"/>
        <v>1.1509779457367779E-16</v>
      </c>
      <c r="AY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296</v>
      </c>
      <c r="BB143" s="13">
        <f>VLOOKUP(A143,'Données projet'!$A$87:$I$107,9,0)</f>
        <v>2.7</v>
      </c>
      <c r="BC143" s="13">
        <f t="array" ref="BC143">INDEX(BB:BB,MIN(IF(ISNUMBER(BB143:BB339),ROW(BB143:BB339),"")))</f>
        <v>2.7</v>
      </c>
      <c r="BD143" s="13">
        <f>IF('Données projet'!$A$88&gt;35,BD142+BC143-BL142,IF(A143&lt;'Données projet'!$A$88,$BA$205^A143,IF(A143='Données projet'!$A$88,'Données projet'!$B$88,BD142+BC143-BL142)))</f>
        <v>295.99999999999926</v>
      </c>
      <c r="BE143" s="14">
        <f>BD143*VLOOKUP('Données projet'!$B$11,Paramètres!$A$1:$I$89,3,0)*VLOOKUP('Données projet'!$B$11,Paramètres!$A$1:$I$89,5,0)</f>
        <v>267.82079999999934</v>
      </c>
      <c r="BF143" s="14">
        <f t="shared" si="145"/>
        <v>64.386570147897245</v>
      </c>
      <c r="BG143" s="22">
        <f t="shared" si="115"/>
        <v>578.59450300758647</v>
      </c>
      <c r="BH143" s="62">
        <f t="shared" si="116"/>
        <v>871.92783634091984</v>
      </c>
      <c r="BI143" s="62">
        <f ca="1">AVERAGE(OFFSET($BH$3,0,0,'Données projet'!$E$11+1,1))-AVERAGE(OFFSET($H$3,0,0,'Données projet'!$E$11+1,1))</f>
        <v>428.8489304403459</v>
      </c>
      <c r="BJ143" s="62">
        <f t="shared" si="146"/>
        <v>247.01165577562966</v>
      </c>
      <c r="BK143" s="16">
        <f>IF(ISNA(VLOOKUP(A143,'Données projet'!$A$87:$I$107,3,0)),0,VLOOKUP(A143,'Données projet'!$A$87:$I$107,3,0))</f>
        <v>12</v>
      </c>
      <c r="BL143" s="16">
        <f>IF(ISNA(VLOOKUP(A143,'Données projet'!$A$87:$I$107,4,0)),0,VLOOKUP(A143,'Données projet'!$A$87:$I$107,4,0))</f>
        <v>27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-1.7053025658242404E-13</v>
      </c>
      <c r="BZ143" s="14">
        <f>BY143*VLOOKUP('Données projet'!$B$12,Paramètres!$A$1:$I$89,3,0)*VLOOKUP('Données projet'!$B$12,Paramètres!$A$1:$I$89,5,0)</f>
        <v>-1.250327841262333E-13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290.85271051443431</v>
      </c>
      <c r="CE143" s="62">
        <f t="shared" si="148"/>
        <v>318.66958823451142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1.1368683772161603E-13</v>
      </c>
      <c r="CU143" s="18">
        <f>CT143*VLOOKUP('Données projet'!$B$13,Paramètres!$A$1:$I$89,3,0)*VLOOKUP('Données projet'!$B$13,Paramètres!$A$1:$I$89,5,0)</f>
        <v>8.8675733422860506E-14</v>
      </c>
      <c r="CV143" s="14">
        <f t="shared" si="149"/>
        <v>1.3509285393066301E-12</v>
      </c>
      <c r="CW143" s="22">
        <f t="shared" si="121"/>
        <v>2.5073107750038623E-12</v>
      </c>
      <c r="CX143" s="62">
        <f t="shared" si="122"/>
        <v>293.33333333333582</v>
      </c>
      <c r="CY143" s="62">
        <f ca="1">AVERAGE(OFFSET($CX$3,0,0,'Données projet'!$E$13+1,1))-AVERAGE(OFFSET($H$3,0,0,'Données projet'!$E$13+1,1))</f>
        <v>292.57482726862594</v>
      </c>
      <c r="CZ143" s="62">
        <f t="shared" si="150"/>
        <v>283.48738729114024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-1.7053025658242404E-13</v>
      </c>
      <c r="DP143" s="18">
        <f>DO143*VLOOKUP('Données projet'!$B$14,Paramètres!$A$1:$I$89,3,0)*VLOOKUP('Données projet'!$B$14,Paramètres!$A$1:$I$89,5,0)</f>
        <v>-1.3567387213697657E-13</v>
      </c>
      <c r="DQ143" s="14" t="e">
        <f t="shared" si="151"/>
        <v>#NUM!</v>
      </c>
      <c r="DR143" s="22" t="e">
        <f t="shared" si="124"/>
        <v>#NUM!</v>
      </c>
      <c r="DS143" s="62" t="e">
        <f t="shared" si="125"/>
        <v>#NUM!</v>
      </c>
      <c r="DT143" s="62">
        <f ca="1">AVERAGE(OFFSET($DS$3,0,0,'Données projet'!$E$14+1,1))-AVERAGE(OFFSET($H$3,0,0,'Données projet'!$E$14+1,1))</f>
        <v>312.53381881960331</v>
      </c>
      <c r="DU143" s="62">
        <f t="shared" si="152"/>
        <v>342.06887933351783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1.1368683772161603E-13</v>
      </c>
      <c r="EK143" s="18">
        <f>EJ143*VLOOKUP('Données projet'!$B$15,Paramètres!$A$1:$I$89,3,0)*VLOOKUP('Données projet'!$B$15,Paramètres!$A$1:$I$89,5,0)</f>
        <v>1.0818439477588981E-13</v>
      </c>
      <c r="EL143" s="14">
        <f t="shared" si="153"/>
        <v>1.6104228458716316E-12</v>
      </c>
      <c r="EM143" s="22">
        <f t="shared" si="127"/>
        <v>2.9932409441277661E-12</v>
      </c>
      <c r="EN143" s="62">
        <f t="shared" si="128"/>
        <v>293.33333333333633</v>
      </c>
      <c r="EO143" s="62">
        <f ca="1">AVERAGE(OFFSET($EN$3,0,0,'Données projet'!$E$15+1,1))-AVERAGE(OFFSET($H$3,0,0,'Données projet'!$E$15+1,1))</f>
        <v>363.37916970915211</v>
      </c>
      <c r="EP143" s="62">
        <f t="shared" si="154"/>
        <v>281.52963027844595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-6.2527760746888816E-13</v>
      </c>
      <c r="FF143" s="18">
        <f>FE143*VLOOKUP('Données projet'!$B$16,Paramètres!$A$1:$I$89,3,0)*VLOOKUP('Données projet'!$B$16,Paramètres!$A$1:$I$89,5,0)</f>
        <v>-2.9262992029543964E-13</v>
      </c>
      <c r="FG143" s="14" t="e">
        <f t="shared" si="155"/>
        <v>#NUM!</v>
      </c>
      <c r="FH143" s="22" t="e">
        <f t="shared" si="130"/>
        <v>#NUM!</v>
      </c>
      <c r="FI143" s="62" t="e">
        <f t="shared" si="131"/>
        <v>#NUM!</v>
      </c>
      <c r="FJ143" s="62">
        <f ca="1">AVERAGE(OFFSET($FI$3,0,0,'Données projet'!$E$16+1,1))-AVERAGE(OFFSET($H$3,0,0,'Données projet'!$E$16+1,1))</f>
        <v>245.47494516762282</v>
      </c>
      <c r="FK143" s="62">
        <f t="shared" si="156"/>
        <v>145.54897745089966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>
        <f>VLOOKUP(A143,'Données projet'!$A$243:$I$263,2,0)</f>
        <v>296</v>
      </c>
      <c r="FX143" s="13">
        <f>VLOOKUP(A143,'Données projet'!$A$243:$I$263,9,0)</f>
        <v>2.7</v>
      </c>
      <c r="FY143" s="13">
        <f t="array" ref="FY143">INDEX(FX:FX,MIN(IF(ISNUMBER(FX143:FX339),ROW(FX143:FX339),"")))</f>
        <v>2.7</v>
      </c>
      <c r="FZ143" s="13">
        <f>IF('Données projet'!$A$244&gt;35,FZ142+FY143-GH142,IF(A143&lt;'Données projet'!$A$244,$FW$205^A143,IF(A143='Données projet'!$A$244,'Données projet'!$B$244,FZ142+FY143-GH142)))</f>
        <v>295.99999999999926</v>
      </c>
      <c r="GA143" s="18">
        <f>FZ143*VLOOKUP('Données projet'!$B$17,Paramètres!$A$1:$I$89,3,0)*VLOOKUP('Données projet'!$B$17,Paramètres!$A$1:$I$89,5,0)</f>
        <v>286.29119999999926</v>
      </c>
      <c r="GB143" s="14">
        <f t="shared" si="157"/>
        <v>68.294796094604223</v>
      </c>
      <c r="GC143" s="22">
        <f t="shared" si="133"/>
        <v>617.57060986476779</v>
      </c>
      <c r="GD143" s="62">
        <f t="shared" si="134"/>
        <v>910.90394319810116</v>
      </c>
      <c r="GE143" s="62">
        <f ca="1">AVERAGE(OFFSET($GD$3,0,0,'Données projet'!$E$17+1,1))-AVERAGE(OFFSET($H$3,0,0,'Données projet'!$E$17+1,1))</f>
        <v>455.50822833641354</v>
      </c>
      <c r="GF143" s="62">
        <f t="shared" si="158"/>
        <v>261.14722581688039</v>
      </c>
      <c r="GG143" s="16">
        <f>IF(ISNA(VLOOKUP(A143,'Données projet'!$A$243:$I$263,3,0)),0,VLOOKUP(A143,'Données projet'!$A$243:$I$263,3,0))</f>
        <v>12</v>
      </c>
      <c r="GH143" s="16">
        <f>IF(ISNA(VLOOKUP(A143,'Données projet'!$A$243:$I$263,4,0)),0,VLOOKUP(A143,'Données projet'!$A$243:$I$263,4,0))</f>
        <v>27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1.7053025658242404E-13</v>
      </c>
      <c r="GV143" s="18">
        <f>GU143*VLOOKUP('Données projet'!$B$18,Paramètres!$A$1:$I$89,3,0)*VLOOKUP('Données projet'!$B$18,Paramètres!$A$1:$I$89,5,0)</f>
        <v>1.1439169611549005E-13</v>
      </c>
      <c r="GW143" s="14">
        <f t="shared" si="159"/>
        <v>1.6918016515029816E-12</v>
      </c>
      <c r="GX143" s="22">
        <f t="shared" si="136"/>
        <v>3.1457867471021712E-12</v>
      </c>
      <c r="GY143" s="62">
        <f t="shared" si="137"/>
        <v>293.33333333333644</v>
      </c>
      <c r="GZ143" s="62">
        <f ca="1">AVERAGE(OFFSET($GY$3,0,0,'Données projet'!$E$18+1,1))-AVERAGE(OFFSET($H$3,0,0,'Données projet'!$E$18+1,1))</f>
        <v>312.06797204903796</v>
      </c>
      <c r="HA143" s="62">
        <f t="shared" si="160"/>
        <v>258.20189001775151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projet'!$B$18,Paramètres!$A$1:$I$89,3,0)*0.475*44/12</f>
        <v>0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138"/>
        <v>0</v>
      </c>
    </row>
    <row r="144" spans="1:218" s="5" customFormat="1" x14ac:dyDescent="0.25">
      <c r="A144" s="11">
        <f t="shared" si="139"/>
        <v>141</v>
      </c>
      <c r="B144" s="76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9">
        <f t="shared" si="110"/>
        <v>256.66666666666669</v>
      </c>
      <c r="I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2.2737367544323206E-13</v>
      </c>
      <c r="O144" s="14">
        <f>N144*VLOOKUP('Données projet'!$B$9,Paramètres!$A$1:$I$89,3,0)*VLOOKUP('Données projet'!$B$9,Paramètres!$A$1:$I$89,5,0)</f>
        <v>1.2710188457276673E-13</v>
      </c>
      <c r="P144" s="14">
        <f t="shared" si="141"/>
        <v>1.856866851063998E-12</v>
      </c>
      <c r="Q144" s="22">
        <f t="shared" si="108"/>
        <v>3.4554122145673649E-12</v>
      </c>
      <c r="R144" s="62">
        <f t="shared" si="109"/>
        <v>293.33333333333678</v>
      </c>
      <c r="S144" s="62">
        <f ca="1">AVERAGE(OFFSET($R$3,0,0,'Données projet'!$E$9+1,1))-AVERAGE(OFFSET($H$3,0,0,'Données projet'!$E$9+1,1))</f>
        <v>323.98185264074681</v>
      </c>
      <c r="T144" s="62">
        <f t="shared" si="142"/>
        <v>301.22207291854005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0.49529698160748797</v>
      </c>
      <c r="AA144" s="23">
        <f>EXP(-LN(2)/25)*AA143+(1-EXP(-LN(2)/25))/(LN(2)/25)*Calculateur!V144*Calculateur!X144*VLOOKUP('Données projet'!$B$9,Paramètres!$A$1:$I$89,3,0)*0.475*44/12</f>
        <v>0.37996062458196178</v>
      </c>
      <c r="AB144" s="23">
        <f>EXP(-LN(2)/2)*AB143+(1-EXP(-LN(2)/2))/(LN(2)/2)*V144*Y144*VLOOKUP('Données projet'!$B$9,Paramètres!$A$1:$I$89,3,0)*0.475*44/12</f>
        <v>1.1948025178298995E-16</v>
      </c>
      <c r="AC144" s="24">
        <f t="shared" si="111"/>
        <v>0.87525760618944981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-2.8421709430404007E-13</v>
      </c>
      <c r="AJ144" s="14">
        <f>AI144*VLOOKUP('Données projet'!$B$10,Paramètres!$A$1:$I$89,3,0)*VLOOKUP('Données projet'!$B$10,Paramètres!$A$1:$I$89,5,0)</f>
        <v>-1.69961822393816E-13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289.12367833861299</v>
      </c>
      <c r="AO144" s="62">
        <f t="shared" si="144"/>
        <v>229.06617320689003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8.1386431042663778E-17</v>
      </c>
      <c r="AX144" s="23">
        <f t="shared" si="114"/>
        <v>8.1386431042663778E-17</v>
      </c>
      <c r="AY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2.4</v>
      </c>
      <c r="BD144" s="13">
        <f>IF('Données projet'!$A$88&gt;35,BD143+BC144-BL143,IF(A144&lt;'Données projet'!$A$88,$BA$205^A144,IF(A144='Données projet'!$A$88,'Données projet'!$B$88,BD143+BC144-BL143)))</f>
        <v>271.39999999999924</v>
      </c>
      <c r="BE144" s="14">
        <f>BD144*VLOOKUP('Données projet'!$B$11,Paramètres!$A$1:$I$89,3,0)*VLOOKUP('Données projet'!$B$11,Paramètres!$A$1:$I$89,5,0)</f>
        <v>245.5627199999993</v>
      </c>
      <c r="BF144" s="14">
        <f t="shared" si="145"/>
        <v>59.634776048276741</v>
      </c>
      <c r="BG144" s="22">
        <f t="shared" si="115"/>
        <v>531.55230561741405</v>
      </c>
      <c r="BH144" s="62">
        <f t="shared" si="116"/>
        <v>824.88563895074731</v>
      </c>
      <c r="BI144" s="62">
        <f ca="1">AVERAGE(OFFSET($BH$3,0,0,'Données projet'!$E$11+1,1))-AVERAGE(OFFSET($H$3,0,0,'Données projet'!$E$11+1,1))</f>
        <v>428.8489304403459</v>
      </c>
      <c r="BJ144" s="62">
        <f t="shared" si="146"/>
        <v>247.01165577562966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-1.7053025658242404E-13</v>
      </c>
      <c r="BZ144" s="14">
        <f>BY144*VLOOKUP('Données projet'!$B$12,Paramètres!$A$1:$I$89,3,0)*VLOOKUP('Données projet'!$B$12,Paramètres!$A$1:$I$89,5,0)</f>
        <v>-1.250327841262333E-13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290.85271051443431</v>
      </c>
      <c r="CE144" s="62">
        <f t="shared" si="148"/>
        <v>318.66958823451142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1.1368683772161603E-13</v>
      </c>
      <c r="CU144" s="18">
        <f>CT144*VLOOKUP('Données projet'!$B$13,Paramètres!$A$1:$I$89,3,0)*VLOOKUP('Données projet'!$B$13,Paramètres!$A$1:$I$89,5,0)</f>
        <v>8.8675733422860506E-14</v>
      </c>
      <c r="CV144" s="14">
        <f t="shared" si="149"/>
        <v>1.3509285393066301E-12</v>
      </c>
      <c r="CW144" s="22">
        <f t="shared" si="121"/>
        <v>2.5073107750038623E-12</v>
      </c>
      <c r="CX144" s="62">
        <f t="shared" si="122"/>
        <v>293.33333333333582</v>
      </c>
      <c r="CY144" s="62">
        <f ca="1">AVERAGE(OFFSET($CX$3,0,0,'Données projet'!$E$13+1,1))-AVERAGE(OFFSET($H$3,0,0,'Données projet'!$E$13+1,1))</f>
        <v>292.57482726862594</v>
      </c>
      <c r="CZ144" s="62">
        <f t="shared" si="150"/>
        <v>283.48738729114024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-1.7053025658242404E-13</v>
      </c>
      <c r="DP144" s="18">
        <f>DO144*VLOOKUP('Données projet'!$B$14,Paramètres!$A$1:$I$89,3,0)*VLOOKUP('Données projet'!$B$14,Paramètres!$A$1:$I$89,5,0)</f>
        <v>-1.3567387213697657E-13</v>
      </c>
      <c r="DQ144" s="14" t="e">
        <f t="shared" si="151"/>
        <v>#NUM!</v>
      </c>
      <c r="DR144" s="22" t="e">
        <f t="shared" si="124"/>
        <v>#NUM!</v>
      </c>
      <c r="DS144" s="62" t="e">
        <f t="shared" si="125"/>
        <v>#NUM!</v>
      </c>
      <c r="DT144" s="62">
        <f ca="1">AVERAGE(OFFSET($DS$3,0,0,'Données projet'!$E$14+1,1))-AVERAGE(OFFSET($H$3,0,0,'Données projet'!$E$14+1,1))</f>
        <v>312.53381881960331</v>
      </c>
      <c r="DU144" s="62">
        <f t="shared" si="152"/>
        <v>342.06887933351783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1.1368683772161603E-13</v>
      </c>
      <c r="EK144" s="18">
        <f>EJ144*VLOOKUP('Données projet'!$B$15,Paramètres!$A$1:$I$89,3,0)*VLOOKUP('Données projet'!$B$15,Paramètres!$A$1:$I$89,5,0)</f>
        <v>1.0818439477588981E-13</v>
      </c>
      <c r="EL144" s="14">
        <f t="shared" si="153"/>
        <v>1.6104228458716316E-12</v>
      </c>
      <c r="EM144" s="22">
        <f t="shared" si="127"/>
        <v>2.9932409441277661E-12</v>
      </c>
      <c r="EN144" s="62">
        <f t="shared" si="128"/>
        <v>293.33333333333633</v>
      </c>
      <c r="EO144" s="62">
        <f ca="1">AVERAGE(OFFSET($EN$3,0,0,'Données projet'!$E$15+1,1))-AVERAGE(OFFSET($H$3,0,0,'Données projet'!$E$15+1,1))</f>
        <v>363.37916970915211</v>
      </c>
      <c r="EP144" s="62">
        <f t="shared" si="154"/>
        <v>281.52963027844595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-6.2527760746888816E-13</v>
      </c>
      <c r="FF144" s="18">
        <f>FE144*VLOOKUP('Données projet'!$B$16,Paramètres!$A$1:$I$89,3,0)*VLOOKUP('Données projet'!$B$16,Paramètres!$A$1:$I$89,5,0)</f>
        <v>-2.9262992029543964E-13</v>
      </c>
      <c r="FG144" s="14" t="e">
        <f t="shared" si="155"/>
        <v>#NUM!</v>
      </c>
      <c r="FH144" s="22" t="e">
        <f t="shared" si="130"/>
        <v>#NUM!</v>
      </c>
      <c r="FI144" s="62" t="e">
        <f t="shared" si="131"/>
        <v>#NUM!</v>
      </c>
      <c r="FJ144" s="62">
        <f ca="1">AVERAGE(OFFSET($FI$3,0,0,'Données projet'!$E$16+1,1))-AVERAGE(OFFSET($H$3,0,0,'Données projet'!$E$16+1,1))</f>
        <v>245.47494516762282</v>
      </c>
      <c r="FK144" s="62">
        <f t="shared" si="156"/>
        <v>145.54897745089966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2.4</v>
      </c>
      <c r="FZ144" s="13">
        <f>IF('Données projet'!$A$244&gt;35,FZ143+FY144-GH143,IF(A144&lt;'Données projet'!$A$244,$FW$205^A144,IF(A144='Données projet'!$A$244,'Données projet'!$B$244,FZ143+FY144-GH143)))</f>
        <v>271.39999999999924</v>
      </c>
      <c r="GA144" s="18">
        <f>FZ144*VLOOKUP('Données projet'!$B$17,Paramètres!$A$1:$I$89,3,0)*VLOOKUP('Données projet'!$B$17,Paramètres!$A$1:$I$89,5,0)</f>
        <v>262.49807999999928</v>
      </c>
      <c r="GB144" s="14">
        <f t="shared" si="157"/>
        <v>63.254570961137979</v>
      </c>
      <c r="GC144" s="22">
        <f t="shared" si="133"/>
        <v>567.35253375731406</v>
      </c>
      <c r="GD144" s="62">
        <f t="shared" si="134"/>
        <v>860.68586709064743</v>
      </c>
      <c r="GE144" s="62">
        <f ca="1">AVERAGE(OFFSET($GD$3,0,0,'Données projet'!$E$17+1,1))-AVERAGE(OFFSET($H$3,0,0,'Données projet'!$E$17+1,1))</f>
        <v>455.50822833641354</v>
      </c>
      <c r="GF144" s="62">
        <f t="shared" si="158"/>
        <v>261.14722581688039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1.7053025658242404E-13</v>
      </c>
      <c r="GV144" s="18">
        <f>GU144*VLOOKUP('Données projet'!$B$18,Paramètres!$A$1:$I$89,3,0)*VLOOKUP('Données projet'!$B$18,Paramètres!$A$1:$I$89,5,0)</f>
        <v>1.1439169611549005E-13</v>
      </c>
      <c r="GW144" s="14">
        <f t="shared" si="159"/>
        <v>1.6918016515029816E-12</v>
      </c>
      <c r="GX144" s="22">
        <f t="shared" si="136"/>
        <v>3.1457867471021712E-12</v>
      </c>
      <c r="GY144" s="62">
        <f t="shared" si="137"/>
        <v>293.33333333333644</v>
      </c>
      <c r="GZ144" s="62">
        <f ca="1">AVERAGE(OFFSET($GY$3,0,0,'Données projet'!$E$18+1,1))-AVERAGE(OFFSET($H$3,0,0,'Données projet'!$E$18+1,1))</f>
        <v>312.06797204903796</v>
      </c>
      <c r="HA144" s="62">
        <f t="shared" si="160"/>
        <v>258.20189001775151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projet'!$B$18,Paramètres!$A$1:$I$89,3,0)*0.475*44/12</f>
        <v>0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138"/>
        <v>0</v>
      </c>
    </row>
    <row r="145" spans="1:218" s="5" customFormat="1" x14ac:dyDescent="0.25">
      <c r="A145" s="11">
        <f t="shared" si="139"/>
        <v>142</v>
      </c>
      <c r="B145" s="76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9">
        <f t="shared" si="110"/>
        <v>256.66666666666669</v>
      </c>
      <c r="I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2.2737367544323206E-13</v>
      </c>
      <c r="O145" s="14">
        <f>N145*VLOOKUP('Données projet'!$B$9,Paramètres!$A$1:$I$89,3,0)*VLOOKUP('Données projet'!$B$9,Paramètres!$A$1:$I$89,5,0)</f>
        <v>1.2710188457276673E-13</v>
      </c>
      <c r="P145" s="14">
        <f t="shared" si="141"/>
        <v>1.856866851063998E-12</v>
      </c>
      <c r="Q145" s="22">
        <f t="shared" si="108"/>
        <v>3.4554122145673649E-12</v>
      </c>
      <c r="R145" s="62">
        <f t="shared" si="109"/>
        <v>293.33333333333678</v>
      </c>
      <c r="S145" s="62">
        <f ca="1">AVERAGE(OFFSET($R$3,0,0,'Données projet'!$E$9+1,1))-AVERAGE(OFFSET($H$3,0,0,'Données projet'!$E$9+1,1))</f>
        <v>323.98185264074681</v>
      </c>
      <c r="T145" s="62">
        <f t="shared" si="142"/>
        <v>301.22207291854005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0.48558450989949387</v>
      </c>
      <c r="AA145" s="23">
        <f>EXP(-LN(2)/25)*AA144+(1-EXP(-LN(2)/25))/(LN(2)/25)*Calculateur!V145*Calculateur!X145*VLOOKUP('Données projet'!$B$9,Paramètres!$A$1:$I$89,3,0)*0.475*44/12</f>
        <v>0.36957058132150722</v>
      </c>
      <c r="AB145" s="23">
        <f>EXP(-LN(2)/2)*AB144+(1-EXP(-LN(2)/2))/(LN(2)/2)*V145*Y145*VLOOKUP('Données projet'!$B$9,Paramètres!$A$1:$I$89,3,0)*0.475*44/12</f>
        <v>8.4485296253628282E-17</v>
      </c>
      <c r="AC145" s="24">
        <f t="shared" si="111"/>
        <v>0.8551550912210012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-2.8421709430404007E-13</v>
      </c>
      <c r="AJ145" s="14">
        <f>AI145*VLOOKUP('Données projet'!$B$10,Paramètres!$A$1:$I$89,3,0)*VLOOKUP('Données projet'!$B$10,Paramètres!$A$1:$I$89,5,0)</f>
        <v>-1.69961822393816E-13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289.12367833861299</v>
      </c>
      <c r="AO145" s="62">
        <f t="shared" si="144"/>
        <v>229.06617320689003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5.7548897286838894E-17</v>
      </c>
      <c r="AX145" s="23">
        <f t="shared" si="114"/>
        <v>5.7548897286838894E-17</v>
      </c>
      <c r="AY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2.4</v>
      </c>
      <c r="BD145" s="13">
        <f>IF('Données projet'!$A$88&gt;35,BD144+BC145-BL144,IF(A145&lt;'Données projet'!$A$88,$BA$205^A145,IF(A145='Données projet'!$A$88,'Données projet'!$B$88,BD144+BC145-BL144)))</f>
        <v>273.79999999999922</v>
      </c>
      <c r="BE145" s="14">
        <f>BD145*VLOOKUP('Données projet'!$B$11,Paramètres!$A$1:$I$89,3,0)*VLOOKUP('Données projet'!$B$11,Paramètres!$A$1:$I$89,5,0)</f>
        <v>247.73423999999929</v>
      </c>
      <c r="BF145" s="14">
        <f t="shared" si="145"/>
        <v>60.100505665694953</v>
      </c>
      <c r="BG145" s="22">
        <f t="shared" si="115"/>
        <v>536.14551536775082</v>
      </c>
      <c r="BH145" s="62">
        <f t="shared" si="116"/>
        <v>829.47884870108419</v>
      </c>
      <c r="BI145" s="62">
        <f ca="1">AVERAGE(OFFSET($BH$3,0,0,'Données projet'!$E$11+1,1))-AVERAGE(OFFSET($H$3,0,0,'Données projet'!$E$11+1,1))</f>
        <v>428.8489304403459</v>
      </c>
      <c r="BJ145" s="62">
        <f t="shared" si="146"/>
        <v>247.01165577562966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-1.7053025658242404E-13</v>
      </c>
      <c r="BZ145" s="14">
        <f>BY145*VLOOKUP('Données projet'!$B$12,Paramètres!$A$1:$I$89,3,0)*VLOOKUP('Données projet'!$B$12,Paramètres!$A$1:$I$89,5,0)</f>
        <v>-1.250327841262333E-13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290.85271051443431</v>
      </c>
      <c r="CE145" s="62">
        <f t="shared" si="148"/>
        <v>318.66958823451142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1.1368683772161603E-13</v>
      </c>
      <c r="CU145" s="18">
        <f>CT145*VLOOKUP('Données projet'!$B$13,Paramètres!$A$1:$I$89,3,0)*VLOOKUP('Données projet'!$B$13,Paramètres!$A$1:$I$89,5,0)</f>
        <v>8.8675733422860506E-14</v>
      </c>
      <c r="CV145" s="14">
        <f t="shared" si="149"/>
        <v>1.3509285393066301E-12</v>
      </c>
      <c r="CW145" s="22">
        <f t="shared" si="121"/>
        <v>2.5073107750038623E-12</v>
      </c>
      <c r="CX145" s="62">
        <f t="shared" si="122"/>
        <v>293.33333333333582</v>
      </c>
      <c r="CY145" s="62">
        <f ca="1">AVERAGE(OFFSET($CX$3,0,0,'Données projet'!$E$13+1,1))-AVERAGE(OFFSET($H$3,0,0,'Données projet'!$E$13+1,1))</f>
        <v>292.57482726862594</v>
      </c>
      <c r="CZ145" s="62">
        <f t="shared" si="150"/>
        <v>283.48738729114024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-1.7053025658242404E-13</v>
      </c>
      <c r="DP145" s="18">
        <f>DO145*VLOOKUP('Données projet'!$B$14,Paramètres!$A$1:$I$89,3,0)*VLOOKUP('Données projet'!$B$14,Paramètres!$A$1:$I$89,5,0)</f>
        <v>-1.3567387213697657E-13</v>
      </c>
      <c r="DQ145" s="14" t="e">
        <f t="shared" si="151"/>
        <v>#NUM!</v>
      </c>
      <c r="DR145" s="22" t="e">
        <f t="shared" si="124"/>
        <v>#NUM!</v>
      </c>
      <c r="DS145" s="62" t="e">
        <f t="shared" si="125"/>
        <v>#NUM!</v>
      </c>
      <c r="DT145" s="62">
        <f ca="1">AVERAGE(OFFSET($DS$3,0,0,'Données projet'!$E$14+1,1))-AVERAGE(OFFSET($H$3,0,0,'Données projet'!$E$14+1,1))</f>
        <v>312.53381881960331</v>
      </c>
      <c r="DU145" s="62">
        <f t="shared" si="152"/>
        <v>342.06887933351783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1.1368683772161603E-13</v>
      </c>
      <c r="EK145" s="18">
        <f>EJ145*VLOOKUP('Données projet'!$B$15,Paramètres!$A$1:$I$89,3,0)*VLOOKUP('Données projet'!$B$15,Paramètres!$A$1:$I$89,5,0)</f>
        <v>1.0818439477588981E-13</v>
      </c>
      <c r="EL145" s="14">
        <f t="shared" si="153"/>
        <v>1.6104228458716316E-12</v>
      </c>
      <c r="EM145" s="22">
        <f t="shared" si="127"/>
        <v>2.9932409441277661E-12</v>
      </c>
      <c r="EN145" s="62">
        <f t="shared" si="128"/>
        <v>293.33333333333633</v>
      </c>
      <c r="EO145" s="62">
        <f ca="1">AVERAGE(OFFSET($EN$3,0,0,'Données projet'!$E$15+1,1))-AVERAGE(OFFSET($H$3,0,0,'Données projet'!$E$15+1,1))</f>
        <v>363.37916970915211</v>
      </c>
      <c r="EP145" s="62">
        <f t="shared" si="154"/>
        <v>281.52963027844595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-6.2527760746888816E-13</v>
      </c>
      <c r="FF145" s="18">
        <f>FE145*VLOOKUP('Données projet'!$B$16,Paramètres!$A$1:$I$89,3,0)*VLOOKUP('Données projet'!$B$16,Paramètres!$A$1:$I$89,5,0)</f>
        <v>-2.9262992029543964E-13</v>
      </c>
      <c r="FG145" s="14" t="e">
        <f t="shared" si="155"/>
        <v>#NUM!</v>
      </c>
      <c r="FH145" s="22" t="e">
        <f t="shared" si="130"/>
        <v>#NUM!</v>
      </c>
      <c r="FI145" s="62" t="e">
        <f t="shared" si="131"/>
        <v>#NUM!</v>
      </c>
      <c r="FJ145" s="62">
        <f ca="1">AVERAGE(OFFSET($FI$3,0,0,'Données projet'!$E$16+1,1))-AVERAGE(OFFSET($H$3,0,0,'Données projet'!$E$16+1,1))</f>
        <v>245.47494516762282</v>
      </c>
      <c r="FK145" s="62">
        <f t="shared" si="156"/>
        <v>145.54897745089966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2.4</v>
      </c>
      <c r="FZ145" s="13">
        <f>IF('Données projet'!$A$244&gt;35,FZ144+FY145-GH144,IF(A145&lt;'Données projet'!$A$244,$FW$205^A145,IF(A145='Données projet'!$A$244,'Données projet'!$B$244,FZ144+FY145-GH144)))</f>
        <v>273.79999999999922</v>
      </c>
      <c r="GA145" s="18">
        <f>FZ145*VLOOKUP('Données projet'!$B$17,Paramètres!$A$1:$I$89,3,0)*VLOOKUP('Données projet'!$B$17,Paramètres!$A$1:$I$89,5,0)</f>
        <v>264.81935999999928</v>
      </c>
      <c r="GB145" s="14">
        <f t="shared" si="157"/>
        <v>63.748570085236892</v>
      </c>
      <c r="GC145" s="22">
        <f t="shared" si="133"/>
        <v>572.25581156511964</v>
      </c>
      <c r="GD145" s="62">
        <f t="shared" si="134"/>
        <v>865.58914489845301</v>
      </c>
      <c r="GE145" s="62">
        <f ca="1">AVERAGE(OFFSET($GD$3,0,0,'Données projet'!$E$17+1,1))-AVERAGE(OFFSET($H$3,0,0,'Données projet'!$E$17+1,1))</f>
        <v>455.50822833641354</v>
      </c>
      <c r="GF145" s="62">
        <f t="shared" si="158"/>
        <v>261.14722581688039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1.7053025658242404E-13</v>
      </c>
      <c r="GV145" s="18">
        <f>GU145*VLOOKUP('Données projet'!$B$18,Paramètres!$A$1:$I$89,3,0)*VLOOKUP('Données projet'!$B$18,Paramètres!$A$1:$I$89,5,0)</f>
        <v>1.1439169611549005E-13</v>
      </c>
      <c r="GW145" s="14">
        <f t="shared" si="159"/>
        <v>1.6918016515029816E-12</v>
      </c>
      <c r="GX145" s="22">
        <f t="shared" si="136"/>
        <v>3.1457867471021712E-12</v>
      </c>
      <c r="GY145" s="62">
        <f t="shared" si="137"/>
        <v>293.33333333333644</v>
      </c>
      <c r="GZ145" s="62">
        <f ca="1">AVERAGE(OFFSET($GY$3,0,0,'Données projet'!$E$18+1,1))-AVERAGE(OFFSET($H$3,0,0,'Données projet'!$E$18+1,1))</f>
        <v>312.06797204903796</v>
      </c>
      <c r="HA145" s="62">
        <f t="shared" si="160"/>
        <v>258.20189001775151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projet'!$B$18,Paramètres!$A$1:$I$89,3,0)*0.475*44/12</f>
        <v>0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138"/>
        <v>0</v>
      </c>
    </row>
    <row r="146" spans="1:218" s="5" customFormat="1" x14ac:dyDescent="0.25">
      <c r="A146" s="11">
        <f t="shared" si="139"/>
        <v>143</v>
      </c>
      <c r="B146" s="76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9">
        <f t="shared" si="110"/>
        <v>256.66666666666669</v>
      </c>
      <c r="I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2.2737367544323206E-13</v>
      </c>
      <c r="O146" s="14">
        <f>N146*VLOOKUP('Données projet'!$B$9,Paramètres!$A$1:$I$89,3,0)*VLOOKUP('Données projet'!$B$9,Paramètres!$A$1:$I$89,5,0)</f>
        <v>1.2710188457276673E-13</v>
      </c>
      <c r="P146" s="14">
        <f t="shared" si="141"/>
        <v>1.856866851063998E-12</v>
      </c>
      <c r="Q146" s="22">
        <f t="shared" si="108"/>
        <v>3.4554122145673649E-12</v>
      </c>
      <c r="R146" s="62">
        <f t="shared" si="109"/>
        <v>293.33333333333678</v>
      </c>
      <c r="S146" s="62">
        <f ca="1">AVERAGE(OFFSET($R$3,0,0,'Données projet'!$E$9+1,1))-AVERAGE(OFFSET($H$3,0,0,'Données projet'!$E$9+1,1))</f>
        <v>323.98185264074681</v>
      </c>
      <c r="T146" s="62">
        <f t="shared" si="142"/>
        <v>301.22207291854005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0.47606249383767074</v>
      </c>
      <c r="AA146" s="23">
        <f>EXP(-LN(2)/25)*AA145+(1-EXP(-LN(2)/25))/(LN(2)/25)*Calculateur!V146*Calculateur!X146*VLOOKUP('Données projet'!$B$9,Paramètres!$A$1:$I$89,3,0)*0.475*44/12</f>
        <v>0.35946465434039837</v>
      </c>
      <c r="AB146" s="23">
        <f>EXP(-LN(2)/2)*AB145+(1-EXP(-LN(2)/2))/(LN(2)/2)*V146*Y146*VLOOKUP('Données projet'!$B$9,Paramètres!$A$1:$I$89,3,0)*0.475*44/12</f>
        <v>5.9740125891494975E-17</v>
      </c>
      <c r="AC146" s="24">
        <f t="shared" si="111"/>
        <v>0.83552714817806917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-2.8421709430404007E-13</v>
      </c>
      <c r="AJ146" s="14">
        <f>AI146*VLOOKUP('Données projet'!$B$10,Paramètres!$A$1:$I$89,3,0)*VLOOKUP('Données projet'!$B$10,Paramètres!$A$1:$I$89,5,0)</f>
        <v>-1.69961822393816E-13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289.12367833861299</v>
      </c>
      <c r="AO146" s="62">
        <f t="shared" si="144"/>
        <v>229.06617320689003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4.0693215521331889E-17</v>
      </c>
      <c r="AX146" s="23">
        <f t="shared" si="114"/>
        <v>4.0693215521331889E-17</v>
      </c>
      <c r="AY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2.4</v>
      </c>
      <c r="BD146" s="13">
        <f>IF('Données projet'!$A$88&gt;35,BD145+BC146-BL145,IF(A146&lt;'Données projet'!$A$88,$BA$205^A146,IF(A146='Données projet'!$A$88,'Données projet'!$B$88,BD145+BC146-BL145)))</f>
        <v>276.19999999999919</v>
      </c>
      <c r="BE146" s="14">
        <f>BD146*VLOOKUP('Données projet'!$B$11,Paramètres!$A$1:$I$89,3,0)*VLOOKUP('Données projet'!$B$11,Paramètres!$A$1:$I$89,5,0)</f>
        <v>249.90575999999925</v>
      </c>
      <c r="BF146" s="14">
        <f t="shared" si="145"/>
        <v>60.565760331923727</v>
      </c>
      <c r="BG146" s="22">
        <f t="shared" si="115"/>
        <v>540.73789791143247</v>
      </c>
      <c r="BH146" s="62">
        <f t="shared" si="116"/>
        <v>834.07123124476584</v>
      </c>
      <c r="BI146" s="62">
        <f ca="1">AVERAGE(OFFSET($BH$3,0,0,'Données projet'!$E$11+1,1))-AVERAGE(OFFSET($H$3,0,0,'Données projet'!$E$11+1,1))</f>
        <v>428.8489304403459</v>
      </c>
      <c r="BJ146" s="62">
        <f t="shared" si="146"/>
        <v>247.01165577562966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-1.7053025658242404E-13</v>
      </c>
      <c r="BZ146" s="14">
        <f>BY146*VLOOKUP('Données projet'!$B$12,Paramètres!$A$1:$I$89,3,0)*VLOOKUP('Données projet'!$B$12,Paramètres!$A$1:$I$89,5,0)</f>
        <v>-1.250327841262333E-13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290.85271051443431</v>
      </c>
      <c r="CE146" s="62">
        <f t="shared" si="148"/>
        <v>318.66958823451142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1.1368683772161603E-13</v>
      </c>
      <c r="CU146" s="18">
        <f>CT146*VLOOKUP('Données projet'!$B$13,Paramètres!$A$1:$I$89,3,0)*VLOOKUP('Données projet'!$B$13,Paramètres!$A$1:$I$89,5,0)</f>
        <v>8.8675733422860506E-14</v>
      </c>
      <c r="CV146" s="14">
        <f t="shared" si="149"/>
        <v>1.3509285393066301E-12</v>
      </c>
      <c r="CW146" s="22">
        <f t="shared" si="121"/>
        <v>2.5073107750038623E-12</v>
      </c>
      <c r="CX146" s="62">
        <f t="shared" si="122"/>
        <v>293.33333333333582</v>
      </c>
      <c r="CY146" s="62">
        <f ca="1">AVERAGE(OFFSET($CX$3,0,0,'Données projet'!$E$13+1,1))-AVERAGE(OFFSET($H$3,0,0,'Données projet'!$E$13+1,1))</f>
        <v>292.57482726862594</v>
      </c>
      <c r="CZ146" s="62">
        <f t="shared" si="150"/>
        <v>283.48738729114024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-1.7053025658242404E-13</v>
      </c>
      <c r="DP146" s="18">
        <f>DO146*VLOOKUP('Données projet'!$B$14,Paramètres!$A$1:$I$89,3,0)*VLOOKUP('Données projet'!$B$14,Paramètres!$A$1:$I$89,5,0)</f>
        <v>-1.3567387213697657E-13</v>
      </c>
      <c r="DQ146" s="14" t="e">
        <f t="shared" si="151"/>
        <v>#NUM!</v>
      </c>
      <c r="DR146" s="22" t="e">
        <f t="shared" si="124"/>
        <v>#NUM!</v>
      </c>
      <c r="DS146" s="62" t="e">
        <f t="shared" si="125"/>
        <v>#NUM!</v>
      </c>
      <c r="DT146" s="62">
        <f ca="1">AVERAGE(OFFSET($DS$3,0,0,'Données projet'!$E$14+1,1))-AVERAGE(OFFSET($H$3,0,0,'Données projet'!$E$14+1,1))</f>
        <v>312.53381881960331</v>
      </c>
      <c r="DU146" s="62">
        <f t="shared" si="152"/>
        <v>342.06887933351783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1.1368683772161603E-13</v>
      </c>
      <c r="EK146" s="18">
        <f>EJ146*VLOOKUP('Données projet'!$B$15,Paramètres!$A$1:$I$89,3,0)*VLOOKUP('Données projet'!$B$15,Paramètres!$A$1:$I$89,5,0)</f>
        <v>1.0818439477588981E-13</v>
      </c>
      <c r="EL146" s="14">
        <f t="shared" si="153"/>
        <v>1.6104228458716316E-12</v>
      </c>
      <c r="EM146" s="22">
        <f t="shared" si="127"/>
        <v>2.9932409441277661E-12</v>
      </c>
      <c r="EN146" s="62">
        <f t="shared" si="128"/>
        <v>293.33333333333633</v>
      </c>
      <c r="EO146" s="62">
        <f ca="1">AVERAGE(OFFSET($EN$3,0,0,'Données projet'!$E$15+1,1))-AVERAGE(OFFSET($H$3,0,0,'Données projet'!$E$15+1,1))</f>
        <v>363.37916970915211</v>
      </c>
      <c r="EP146" s="62">
        <f t="shared" si="154"/>
        <v>281.52963027844595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-6.2527760746888816E-13</v>
      </c>
      <c r="FF146" s="18">
        <f>FE146*VLOOKUP('Données projet'!$B$16,Paramètres!$A$1:$I$89,3,0)*VLOOKUP('Données projet'!$B$16,Paramètres!$A$1:$I$89,5,0)</f>
        <v>-2.9262992029543964E-13</v>
      </c>
      <c r="FG146" s="14" t="e">
        <f t="shared" si="155"/>
        <v>#NUM!</v>
      </c>
      <c r="FH146" s="22" t="e">
        <f t="shared" si="130"/>
        <v>#NUM!</v>
      </c>
      <c r="FI146" s="62" t="e">
        <f t="shared" si="131"/>
        <v>#NUM!</v>
      </c>
      <c r="FJ146" s="62">
        <f ca="1">AVERAGE(OFFSET($FI$3,0,0,'Données projet'!$E$16+1,1))-AVERAGE(OFFSET($H$3,0,0,'Données projet'!$E$16+1,1))</f>
        <v>245.47494516762282</v>
      </c>
      <c r="FK146" s="62">
        <f t="shared" si="156"/>
        <v>145.54897745089966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2.4</v>
      </c>
      <c r="FZ146" s="13">
        <f>IF('Données projet'!$A$244&gt;35,FZ145+FY146-GH145,IF(A146&lt;'Données projet'!$A$244,$FW$205^A146,IF(A146='Données projet'!$A$244,'Données projet'!$B$244,FZ145+FY146-GH145)))</f>
        <v>276.19999999999919</v>
      </c>
      <c r="GA146" s="18">
        <f>FZ146*VLOOKUP('Données projet'!$B$17,Paramètres!$A$1:$I$89,3,0)*VLOOKUP('Données projet'!$B$17,Paramètres!$A$1:$I$89,5,0)</f>
        <v>267.14063999999922</v>
      </c>
      <c r="GB146" s="14">
        <f t="shared" si="157"/>
        <v>64.242065428895785</v>
      </c>
      <c r="GC146" s="22">
        <f t="shared" si="133"/>
        <v>577.15821195532533</v>
      </c>
      <c r="GD146" s="62">
        <f t="shared" si="134"/>
        <v>870.4915452886587</v>
      </c>
      <c r="GE146" s="62">
        <f ca="1">AVERAGE(OFFSET($GD$3,0,0,'Données projet'!$E$17+1,1))-AVERAGE(OFFSET($H$3,0,0,'Données projet'!$E$17+1,1))</f>
        <v>455.50822833641354</v>
      </c>
      <c r="GF146" s="62">
        <f t="shared" si="158"/>
        <v>261.14722581688039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1.7053025658242404E-13</v>
      </c>
      <c r="GV146" s="18">
        <f>GU146*VLOOKUP('Données projet'!$B$18,Paramètres!$A$1:$I$89,3,0)*VLOOKUP('Données projet'!$B$18,Paramètres!$A$1:$I$89,5,0)</f>
        <v>1.1439169611549005E-13</v>
      </c>
      <c r="GW146" s="14">
        <f t="shared" si="159"/>
        <v>1.6918016515029816E-12</v>
      </c>
      <c r="GX146" s="22">
        <f t="shared" si="136"/>
        <v>3.1457867471021712E-12</v>
      </c>
      <c r="GY146" s="62">
        <f t="shared" si="137"/>
        <v>293.33333333333644</v>
      </c>
      <c r="GZ146" s="62">
        <f ca="1">AVERAGE(OFFSET($GY$3,0,0,'Données projet'!$E$18+1,1))-AVERAGE(OFFSET($H$3,0,0,'Données projet'!$E$18+1,1))</f>
        <v>312.06797204903796</v>
      </c>
      <c r="HA146" s="62">
        <f t="shared" si="160"/>
        <v>258.20189001775151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projet'!$B$18,Paramètres!$A$1:$I$89,3,0)*0.475*44/12</f>
        <v>0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138"/>
        <v>0</v>
      </c>
    </row>
    <row r="147" spans="1:218" s="5" customFormat="1" x14ac:dyDescent="0.25">
      <c r="A147" s="11">
        <f t="shared" si="139"/>
        <v>144</v>
      </c>
      <c r="B147" s="76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9">
        <f t="shared" si="110"/>
        <v>256.66666666666669</v>
      </c>
      <c r="I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2.2737367544323206E-13</v>
      </c>
      <c r="O147" s="14">
        <f>N147*VLOOKUP('Données projet'!$B$9,Paramètres!$A$1:$I$89,3,0)*VLOOKUP('Données projet'!$B$9,Paramètres!$A$1:$I$89,5,0)</f>
        <v>1.2710188457276673E-13</v>
      </c>
      <c r="P147" s="14">
        <f t="shared" si="141"/>
        <v>1.856866851063998E-12</v>
      </c>
      <c r="Q147" s="22">
        <f t="shared" si="108"/>
        <v>3.4554122145673649E-12</v>
      </c>
      <c r="R147" s="62">
        <f t="shared" si="109"/>
        <v>293.33333333333678</v>
      </c>
      <c r="S147" s="62">
        <f ca="1">AVERAGE(OFFSET($R$3,0,0,'Données projet'!$E$9+1,1))-AVERAGE(OFFSET($H$3,0,0,'Données projet'!$E$9+1,1))</f>
        <v>323.98185264074681</v>
      </c>
      <c r="T147" s="62">
        <f t="shared" si="142"/>
        <v>301.22207291854005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0.46672719870296364</v>
      </c>
      <c r="AA147" s="23">
        <f>EXP(-LN(2)/25)*AA146+(1-EXP(-LN(2)/25))/(LN(2)/25)*Calculateur!V147*Calculateur!X147*VLOOKUP('Données projet'!$B$9,Paramètres!$A$1:$I$89,3,0)*0.475*44/12</f>
        <v>0.34963507446403558</v>
      </c>
      <c r="AB147" s="23">
        <f>EXP(-LN(2)/2)*AB146+(1-EXP(-LN(2)/2))/(LN(2)/2)*V147*Y147*VLOOKUP('Données projet'!$B$9,Paramètres!$A$1:$I$89,3,0)*0.475*44/12</f>
        <v>4.2242648126814141E-17</v>
      </c>
      <c r="AC147" s="24">
        <f t="shared" si="111"/>
        <v>0.81636227316699927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-2.8421709430404007E-13</v>
      </c>
      <c r="AJ147" s="14">
        <f>AI147*VLOOKUP('Données projet'!$B$10,Paramètres!$A$1:$I$89,3,0)*VLOOKUP('Données projet'!$B$10,Paramètres!$A$1:$I$89,5,0)</f>
        <v>-1.69961822393816E-13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289.12367833861299</v>
      </c>
      <c r="AO147" s="62">
        <f t="shared" si="144"/>
        <v>229.06617320689003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2.8774448643419447E-17</v>
      </c>
      <c r="AX147" s="23">
        <f t="shared" si="114"/>
        <v>2.8774448643419447E-17</v>
      </c>
      <c r="AY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2.4</v>
      </c>
      <c r="BD147" s="13">
        <f>IF('Données projet'!$A$88&gt;35,BD146+BC147-BL146,IF(A147&lt;'Données projet'!$A$88,$BA$205^A147,IF(A147='Données projet'!$A$88,'Données projet'!$B$88,BD146+BC147-BL146)))</f>
        <v>278.59999999999917</v>
      </c>
      <c r="BE147" s="14">
        <f>BD147*VLOOKUP('Données projet'!$B$11,Paramètres!$A$1:$I$89,3,0)*VLOOKUP('Données projet'!$B$11,Paramètres!$A$1:$I$89,5,0)</f>
        <v>252.07727999999923</v>
      </c>
      <c r="BF147" s="14">
        <f t="shared" si="145"/>
        <v>61.030544652154823</v>
      </c>
      <c r="BG147" s="22">
        <f t="shared" si="115"/>
        <v>545.32946126916829</v>
      </c>
      <c r="BH147" s="62">
        <f t="shared" si="116"/>
        <v>838.66279460250166</v>
      </c>
      <c r="BI147" s="62">
        <f ca="1">AVERAGE(OFFSET($BH$3,0,0,'Données projet'!$E$11+1,1))-AVERAGE(OFFSET($H$3,0,0,'Données projet'!$E$11+1,1))</f>
        <v>428.8489304403459</v>
      </c>
      <c r="BJ147" s="62">
        <f t="shared" si="146"/>
        <v>247.01165577562966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-1.7053025658242404E-13</v>
      </c>
      <c r="BZ147" s="14">
        <f>BY147*VLOOKUP('Données projet'!$B$12,Paramètres!$A$1:$I$89,3,0)*VLOOKUP('Données projet'!$B$12,Paramètres!$A$1:$I$89,5,0)</f>
        <v>-1.250327841262333E-13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290.85271051443431</v>
      </c>
      <c r="CE147" s="62">
        <f t="shared" si="148"/>
        <v>318.66958823451142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1.1368683772161603E-13</v>
      </c>
      <c r="CU147" s="18">
        <f>CT147*VLOOKUP('Données projet'!$B$13,Paramètres!$A$1:$I$89,3,0)*VLOOKUP('Données projet'!$B$13,Paramètres!$A$1:$I$89,5,0)</f>
        <v>8.8675733422860506E-14</v>
      </c>
      <c r="CV147" s="14">
        <f t="shared" si="149"/>
        <v>1.3509285393066301E-12</v>
      </c>
      <c r="CW147" s="22">
        <f t="shared" si="121"/>
        <v>2.5073107750038623E-12</v>
      </c>
      <c r="CX147" s="62">
        <f t="shared" si="122"/>
        <v>293.33333333333582</v>
      </c>
      <c r="CY147" s="62">
        <f ca="1">AVERAGE(OFFSET($CX$3,0,0,'Données projet'!$E$13+1,1))-AVERAGE(OFFSET($H$3,0,0,'Données projet'!$E$13+1,1))</f>
        <v>292.57482726862594</v>
      </c>
      <c r="CZ147" s="62">
        <f t="shared" si="150"/>
        <v>283.48738729114024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-1.7053025658242404E-13</v>
      </c>
      <c r="DP147" s="18">
        <f>DO147*VLOOKUP('Données projet'!$B$14,Paramètres!$A$1:$I$89,3,0)*VLOOKUP('Données projet'!$B$14,Paramètres!$A$1:$I$89,5,0)</f>
        <v>-1.3567387213697657E-13</v>
      </c>
      <c r="DQ147" s="14" t="e">
        <f t="shared" si="151"/>
        <v>#NUM!</v>
      </c>
      <c r="DR147" s="22" t="e">
        <f t="shared" si="124"/>
        <v>#NUM!</v>
      </c>
      <c r="DS147" s="62" t="e">
        <f t="shared" si="125"/>
        <v>#NUM!</v>
      </c>
      <c r="DT147" s="62">
        <f ca="1">AVERAGE(OFFSET($DS$3,0,0,'Données projet'!$E$14+1,1))-AVERAGE(OFFSET($H$3,0,0,'Données projet'!$E$14+1,1))</f>
        <v>312.53381881960331</v>
      </c>
      <c r="DU147" s="62">
        <f t="shared" si="152"/>
        <v>342.06887933351783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1.1368683772161603E-13</v>
      </c>
      <c r="EK147" s="18">
        <f>EJ147*VLOOKUP('Données projet'!$B$15,Paramètres!$A$1:$I$89,3,0)*VLOOKUP('Données projet'!$B$15,Paramètres!$A$1:$I$89,5,0)</f>
        <v>1.0818439477588981E-13</v>
      </c>
      <c r="EL147" s="14">
        <f t="shared" si="153"/>
        <v>1.6104228458716316E-12</v>
      </c>
      <c r="EM147" s="22">
        <f t="shared" si="127"/>
        <v>2.9932409441277661E-12</v>
      </c>
      <c r="EN147" s="62">
        <f t="shared" si="128"/>
        <v>293.33333333333633</v>
      </c>
      <c r="EO147" s="62">
        <f ca="1">AVERAGE(OFFSET($EN$3,0,0,'Données projet'!$E$15+1,1))-AVERAGE(OFFSET($H$3,0,0,'Données projet'!$E$15+1,1))</f>
        <v>363.37916970915211</v>
      </c>
      <c r="EP147" s="62">
        <f t="shared" si="154"/>
        <v>281.52963027844595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-6.2527760746888816E-13</v>
      </c>
      <c r="FF147" s="18">
        <f>FE147*VLOOKUP('Données projet'!$B$16,Paramètres!$A$1:$I$89,3,0)*VLOOKUP('Données projet'!$B$16,Paramètres!$A$1:$I$89,5,0)</f>
        <v>-2.9262992029543964E-13</v>
      </c>
      <c r="FG147" s="14" t="e">
        <f t="shared" si="155"/>
        <v>#NUM!</v>
      </c>
      <c r="FH147" s="22" t="e">
        <f t="shared" si="130"/>
        <v>#NUM!</v>
      </c>
      <c r="FI147" s="62" t="e">
        <f t="shared" si="131"/>
        <v>#NUM!</v>
      </c>
      <c r="FJ147" s="62">
        <f ca="1">AVERAGE(OFFSET($FI$3,0,0,'Données projet'!$E$16+1,1))-AVERAGE(OFFSET($H$3,0,0,'Données projet'!$E$16+1,1))</f>
        <v>245.47494516762282</v>
      </c>
      <c r="FK147" s="62">
        <f t="shared" si="156"/>
        <v>145.54897745089966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2.4</v>
      </c>
      <c r="FZ147" s="13">
        <f>IF('Données projet'!$A$244&gt;35,FZ146+FY147-GH146,IF(A147&lt;'Données projet'!$A$244,$FW$205^A147,IF(A147='Données projet'!$A$244,'Données projet'!$B$244,FZ146+FY147-GH146)))</f>
        <v>278.59999999999917</v>
      </c>
      <c r="GA147" s="18">
        <f>FZ147*VLOOKUP('Données projet'!$B$17,Paramètres!$A$1:$I$89,3,0)*VLOOKUP('Données projet'!$B$17,Paramètres!$A$1:$I$89,5,0)</f>
        <v>269.46191999999922</v>
      </c>
      <c r="GB147" s="14">
        <f t="shared" si="157"/>
        <v>64.735061876838927</v>
      </c>
      <c r="GC147" s="22">
        <f t="shared" si="133"/>
        <v>582.05974343549315</v>
      </c>
      <c r="GD147" s="62">
        <f t="shared" si="134"/>
        <v>875.3930767688264</v>
      </c>
      <c r="GE147" s="62">
        <f ca="1">AVERAGE(OFFSET($GD$3,0,0,'Données projet'!$E$17+1,1))-AVERAGE(OFFSET($H$3,0,0,'Données projet'!$E$17+1,1))</f>
        <v>455.50822833641354</v>
      </c>
      <c r="GF147" s="62">
        <f t="shared" si="158"/>
        <v>261.14722581688039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1.7053025658242404E-13</v>
      </c>
      <c r="GV147" s="18">
        <f>GU147*VLOOKUP('Données projet'!$B$18,Paramètres!$A$1:$I$89,3,0)*VLOOKUP('Données projet'!$B$18,Paramètres!$A$1:$I$89,5,0)</f>
        <v>1.1439169611549005E-13</v>
      </c>
      <c r="GW147" s="14">
        <f t="shared" si="159"/>
        <v>1.6918016515029816E-12</v>
      </c>
      <c r="GX147" s="22">
        <f t="shared" si="136"/>
        <v>3.1457867471021712E-12</v>
      </c>
      <c r="GY147" s="62">
        <f t="shared" si="137"/>
        <v>293.33333333333644</v>
      </c>
      <c r="GZ147" s="62">
        <f ca="1">AVERAGE(OFFSET($GY$3,0,0,'Données projet'!$E$18+1,1))-AVERAGE(OFFSET($H$3,0,0,'Données projet'!$E$18+1,1))</f>
        <v>312.06797204903796</v>
      </c>
      <c r="HA147" s="62">
        <f t="shared" si="160"/>
        <v>258.20189001775151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projet'!$B$18,Paramètres!$A$1:$I$89,3,0)*0.475*44/12</f>
        <v>0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138"/>
        <v>0</v>
      </c>
    </row>
    <row r="148" spans="1:218" s="5" customFormat="1" x14ac:dyDescent="0.25">
      <c r="A148" s="11">
        <f t="shared" si="139"/>
        <v>145</v>
      </c>
      <c r="B148" s="76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9">
        <f t="shared" si="110"/>
        <v>256.66666666666669</v>
      </c>
      <c r="I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2.2737367544323206E-13</v>
      </c>
      <c r="O148" s="14">
        <f>N148*VLOOKUP('Données projet'!$B$9,Paramètres!$A$1:$I$89,3,0)*VLOOKUP('Données projet'!$B$9,Paramètres!$A$1:$I$89,5,0)</f>
        <v>1.2710188457276673E-13</v>
      </c>
      <c r="P148" s="14">
        <f t="shared" si="141"/>
        <v>1.856866851063998E-12</v>
      </c>
      <c r="Q148" s="22">
        <f t="shared" si="108"/>
        <v>3.4554122145673649E-12</v>
      </c>
      <c r="R148" s="62">
        <f t="shared" si="109"/>
        <v>293.33333333333678</v>
      </c>
      <c r="S148" s="62">
        <f ca="1">AVERAGE(OFFSET($R$3,0,0,'Données projet'!$E$9+1,1))-AVERAGE(OFFSET($H$3,0,0,'Données projet'!$E$9+1,1))</f>
        <v>323.98185264074681</v>
      </c>
      <c r="T148" s="62">
        <f t="shared" si="142"/>
        <v>301.22207291854005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0.45757496301188039</v>
      </c>
      <c r="AA148" s="23">
        <f>EXP(-LN(2)/25)*AA147+(1-EXP(-LN(2)/25))/(LN(2)/25)*Calculateur!V148*Calculateur!X148*VLOOKUP('Données projet'!$B$9,Paramètres!$A$1:$I$89,3,0)*0.475*44/12</f>
        <v>0.34007428496630704</v>
      </c>
      <c r="AB148" s="23">
        <f>EXP(-LN(2)/2)*AB147+(1-EXP(-LN(2)/2))/(LN(2)/2)*V148*Y148*VLOOKUP('Données projet'!$B$9,Paramètres!$A$1:$I$89,3,0)*0.475*44/12</f>
        <v>2.9870062945747488E-17</v>
      </c>
      <c r="AC148" s="24">
        <f t="shared" si="111"/>
        <v>0.79764924797818737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-2.8421709430404007E-13</v>
      </c>
      <c r="AJ148" s="14">
        <f>AI148*VLOOKUP('Données projet'!$B$10,Paramètres!$A$1:$I$89,3,0)*VLOOKUP('Données projet'!$B$10,Paramètres!$A$1:$I$89,5,0)</f>
        <v>-1.69961822393816E-13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289.12367833861299</v>
      </c>
      <c r="AO148" s="62">
        <f t="shared" si="144"/>
        <v>229.06617320689003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2.0346607760665945E-17</v>
      </c>
      <c r="AX148" s="23">
        <f t="shared" si="114"/>
        <v>2.0346607760665945E-17</v>
      </c>
      <c r="AY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2.4</v>
      </c>
      <c r="BD148" s="13">
        <f>IF('Données projet'!$A$88&gt;35,BD147+BC148-BL147,IF(A148&lt;'Données projet'!$A$88,$BA$205^A148,IF(A148='Données projet'!$A$88,'Données projet'!$B$88,BD147+BC148-BL147)))</f>
        <v>280.99999999999915</v>
      </c>
      <c r="BE148" s="14">
        <f>BD148*VLOOKUP('Données projet'!$B$11,Paramètres!$A$1:$I$89,3,0)*VLOOKUP('Données projet'!$B$11,Paramètres!$A$1:$I$89,5,0)</f>
        <v>254.24879999999925</v>
      </c>
      <c r="BF148" s="14">
        <f t="shared" si="145"/>
        <v>61.494863147658698</v>
      </c>
      <c r="BG148" s="22">
        <f t="shared" si="115"/>
        <v>549.92021331550427</v>
      </c>
      <c r="BH148" s="62">
        <f t="shared" si="116"/>
        <v>843.25354664883753</v>
      </c>
      <c r="BI148" s="62">
        <f ca="1">AVERAGE(OFFSET($BH$3,0,0,'Données projet'!$E$11+1,1))-AVERAGE(OFFSET($H$3,0,0,'Données projet'!$E$11+1,1))</f>
        <v>428.8489304403459</v>
      </c>
      <c r="BJ148" s="62">
        <f t="shared" si="146"/>
        <v>247.01165577562966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-1.7053025658242404E-13</v>
      </c>
      <c r="BZ148" s="14">
        <f>BY148*VLOOKUP('Données projet'!$B$12,Paramètres!$A$1:$I$89,3,0)*VLOOKUP('Données projet'!$B$12,Paramètres!$A$1:$I$89,5,0)</f>
        <v>-1.250327841262333E-13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290.85271051443431</v>
      </c>
      <c r="CE148" s="62">
        <f t="shared" si="148"/>
        <v>318.66958823451142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1.1368683772161603E-13</v>
      </c>
      <c r="CU148" s="18">
        <f>CT148*VLOOKUP('Données projet'!$B$13,Paramètres!$A$1:$I$89,3,0)*VLOOKUP('Données projet'!$B$13,Paramètres!$A$1:$I$89,5,0)</f>
        <v>8.8675733422860506E-14</v>
      </c>
      <c r="CV148" s="14">
        <f t="shared" si="149"/>
        <v>1.3509285393066301E-12</v>
      </c>
      <c r="CW148" s="22">
        <f t="shared" si="121"/>
        <v>2.5073107750038623E-12</v>
      </c>
      <c r="CX148" s="62">
        <f t="shared" si="122"/>
        <v>293.33333333333582</v>
      </c>
      <c r="CY148" s="62">
        <f ca="1">AVERAGE(OFFSET($CX$3,0,0,'Données projet'!$E$13+1,1))-AVERAGE(OFFSET($H$3,0,0,'Données projet'!$E$13+1,1))</f>
        <v>292.57482726862594</v>
      </c>
      <c r="CZ148" s="62">
        <f t="shared" si="150"/>
        <v>283.48738729114024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-1.7053025658242404E-13</v>
      </c>
      <c r="DP148" s="18">
        <f>DO148*VLOOKUP('Données projet'!$B$14,Paramètres!$A$1:$I$89,3,0)*VLOOKUP('Données projet'!$B$14,Paramètres!$A$1:$I$89,5,0)</f>
        <v>-1.3567387213697657E-13</v>
      </c>
      <c r="DQ148" s="14" t="e">
        <f t="shared" si="151"/>
        <v>#NUM!</v>
      </c>
      <c r="DR148" s="22" t="e">
        <f t="shared" si="124"/>
        <v>#NUM!</v>
      </c>
      <c r="DS148" s="62" t="e">
        <f t="shared" si="125"/>
        <v>#NUM!</v>
      </c>
      <c r="DT148" s="62">
        <f ca="1">AVERAGE(OFFSET($DS$3,0,0,'Données projet'!$E$14+1,1))-AVERAGE(OFFSET($H$3,0,0,'Données projet'!$E$14+1,1))</f>
        <v>312.53381881960331</v>
      </c>
      <c r="DU148" s="62">
        <f t="shared" si="152"/>
        <v>342.06887933351783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1.1368683772161603E-13</v>
      </c>
      <c r="EK148" s="18">
        <f>EJ148*VLOOKUP('Données projet'!$B$15,Paramètres!$A$1:$I$89,3,0)*VLOOKUP('Données projet'!$B$15,Paramètres!$A$1:$I$89,5,0)</f>
        <v>1.0818439477588981E-13</v>
      </c>
      <c r="EL148" s="14">
        <f t="shared" si="153"/>
        <v>1.6104228458716316E-12</v>
      </c>
      <c r="EM148" s="22">
        <f t="shared" si="127"/>
        <v>2.9932409441277661E-12</v>
      </c>
      <c r="EN148" s="62">
        <f t="shared" si="128"/>
        <v>293.33333333333633</v>
      </c>
      <c r="EO148" s="62">
        <f ca="1">AVERAGE(OFFSET($EN$3,0,0,'Données projet'!$E$15+1,1))-AVERAGE(OFFSET($H$3,0,0,'Données projet'!$E$15+1,1))</f>
        <v>363.37916970915211</v>
      </c>
      <c r="EP148" s="62">
        <f t="shared" si="154"/>
        <v>281.52963027844595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-6.2527760746888816E-13</v>
      </c>
      <c r="FF148" s="18">
        <f>FE148*VLOOKUP('Données projet'!$B$16,Paramètres!$A$1:$I$89,3,0)*VLOOKUP('Données projet'!$B$16,Paramètres!$A$1:$I$89,5,0)</f>
        <v>-2.9262992029543964E-13</v>
      </c>
      <c r="FG148" s="14" t="e">
        <f t="shared" si="155"/>
        <v>#NUM!</v>
      </c>
      <c r="FH148" s="22" t="e">
        <f t="shared" si="130"/>
        <v>#NUM!</v>
      </c>
      <c r="FI148" s="62" t="e">
        <f t="shared" si="131"/>
        <v>#NUM!</v>
      </c>
      <c r="FJ148" s="62">
        <f ca="1">AVERAGE(OFFSET($FI$3,0,0,'Données projet'!$E$16+1,1))-AVERAGE(OFFSET($H$3,0,0,'Données projet'!$E$16+1,1))</f>
        <v>245.47494516762282</v>
      </c>
      <c r="FK148" s="62">
        <f t="shared" si="156"/>
        <v>145.54897745089966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2.4</v>
      </c>
      <c r="FZ148" s="13">
        <f>IF('Données projet'!$A$244&gt;35,FZ147+FY148-GH147,IF(A148&lt;'Données projet'!$A$244,$FW$205^A148,IF(A148='Données projet'!$A$244,'Données projet'!$B$244,FZ147+FY148-GH147)))</f>
        <v>280.99999999999915</v>
      </c>
      <c r="GA148" s="18">
        <f>FZ148*VLOOKUP('Données projet'!$B$17,Paramètres!$A$1:$I$89,3,0)*VLOOKUP('Données projet'!$B$17,Paramètres!$A$1:$I$89,5,0)</f>
        <v>271.78319999999917</v>
      </c>
      <c r="GB148" s="14">
        <f t="shared" si="157"/>
        <v>65.227564224775008</v>
      </c>
      <c r="GC148" s="22">
        <f t="shared" si="133"/>
        <v>586.96041435814834</v>
      </c>
      <c r="GD148" s="62">
        <f t="shared" si="134"/>
        <v>880.29374769148171</v>
      </c>
      <c r="GE148" s="62">
        <f ca="1">AVERAGE(OFFSET($GD$3,0,0,'Données projet'!$E$17+1,1))-AVERAGE(OFFSET($H$3,0,0,'Données projet'!$E$17+1,1))</f>
        <v>455.50822833641354</v>
      </c>
      <c r="GF148" s="62">
        <f t="shared" si="158"/>
        <v>261.14722581688039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1.7053025658242404E-13</v>
      </c>
      <c r="GV148" s="18">
        <f>GU148*VLOOKUP('Données projet'!$B$18,Paramètres!$A$1:$I$89,3,0)*VLOOKUP('Données projet'!$B$18,Paramètres!$A$1:$I$89,5,0)</f>
        <v>1.1439169611549005E-13</v>
      </c>
      <c r="GW148" s="14">
        <f t="shared" si="159"/>
        <v>1.6918016515029816E-12</v>
      </c>
      <c r="GX148" s="22">
        <f t="shared" si="136"/>
        <v>3.1457867471021712E-12</v>
      </c>
      <c r="GY148" s="62">
        <f t="shared" si="137"/>
        <v>293.33333333333644</v>
      </c>
      <c r="GZ148" s="62">
        <f ca="1">AVERAGE(OFFSET($GY$3,0,0,'Données projet'!$E$18+1,1))-AVERAGE(OFFSET($H$3,0,0,'Données projet'!$E$18+1,1))</f>
        <v>312.06797204903796</v>
      </c>
      <c r="HA148" s="62">
        <f t="shared" si="160"/>
        <v>258.20189001775151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projet'!$B$18,Paramètres!$A$1:$I$89,3,0)*0.475*44/12</f>
        <v>0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138"/>
        <v>0</v>
      </c>
    </row>
    <row r="149" spans="1:218" s="5" customFormat="1" x14ac:dyDescent="0.25">
      <c r="A149" s="11">
        <f t="shared" si="139"/>
        <v>146</v>
      </c>
      <c r="B149" s="76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9">
        <f t="shared" si="110"/>
        <v>256.66666666666669</v>
      </c>
      <c r="I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2.2737367544323206E-13</v>
      </c>
      <c r="O149" s="14">
        <f>N149*VLOOKUP('Données projet'!$B$9,Paramètres!$A$1:$I$89,3,0)*VLOOKUP('Données projet'!$B$9,Paramètres!$A$1:$I$89,5,0)</f>
        <v>1.2710188457276673E-13</v>
      </c>
      <c r="P149" s="14">
        <f t="shared" si="141"/>
        <v>1.856866851063998E-12</v>
      </c>
      <c r="Q149" s="22">
        <f t="shared" si="108"/>
        <v>3.4554122145673649E-12</v>
      </c>
      <c r="R149" s="62">
        <f t="shared" si="109"/>
        <v>293.33333333333678</v>
      </c>
      <c r="S149" s="62">
        <f ca="1">AVERAGE(OFFSET($R$3,0,0,'Données projet'!$E$9+1,1))-AVERAGE(OFFSET($H$3,0,0,'Données projet'!$E$9+1,1))</f>
        <v>323.98185264074681</v>
      </c>
      <c r="T149" s="62">
        <f t="shared" si="142"/>
        <v>301.22207291854005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0.44860219708038668</v>
      </c>
      <c r="AA149" s="23">
        <f>EXP(-LN(2)/25)*AA148+(1-EXP(-LN(2)/25))/(LN(2)/25)*Calculateur!V149*Calculateur!X149*VLOOKUP('Données projet'!$B$9,Paramètres!$A$1:$I$89,3,0)*0.475*44/12</f>
        <v>0.33077493576017397</v>
      </c>
      <c r="AB149" s="23">
        <f>EXP(-LN(2)/2)*AB148+(1-EXP(-LN(2)/2))/(LN(2)/2)*V149*Y149*VLOOKUP('Données projet'!$B$9,Paramètres!$A$1:$I$89,3,0)*0.475*44/12</f>
        <v>2.112132406340707E-17</v>
      </c>
      <c r="AC149" s="24">
        <f t="shared" si="111"/>
        <v>0.77937713284056065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-2.8421709430404007E-13</v>
      </c>
      <c r="AJ149" s="14">
        <f>AI149*VLOOKUP('Données projet'!$B$10,Paramètres!$A$1:$I$89,3,0)*VLOOKUP('Données projet'!$B$10,Paramètres!$A$1:$I$89,5,0)</f>
        <v>-1.69961822393816E-13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289.12367833861299</v>
      </c>
      <c r="AO149" s="62">
        <f t="shared" si="144"/>
        <v>229.06617320689003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1.4387224321709724E-17</v>
      </c>
      <c r="AX149" s="23">
        <f t="shared" si="114"/>
        <v>1.4387224321709724E-17</v>
      </c>
      <c r="AY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2.4</v>
      </c>
      <c r="BD149" s="13">
        <f>IF('Données projet'!$A$88&gt;35,BD148+BC149-BL148,IF(A149&lt;'Données projet'!$A$88,$BA$205^A149,IF(A149='Données projet'!$A$88,'Données projet'!$B$88,BD148+BC149-BL148)))</f>
        <v>283.39999999999912</v>
      </c>
      <c r="BE149" s="14">
        <f>BD149*VLOOKUP('Données projet'!$B$11,Paramètres!$A$1:$I$89,3,0)*VLOOKUP('Données projet'!$B$11,Paramètres!$A$1:$I$89,5,0)</f>
        <v>256.42031999999921</v>
      </c>
      <c r="BF149" s="14">
        <f t="shared" si="145"/>
        <v>61.958720258016747</v>
      </c>
      <c r="BG149" s="22">
        <f t="shared" si="115"/>
        <v>554.51016178271107</v>
      </c>
      <c r="BH149" s="62">
        <f t="shared" si="116"/>
        <v>847.84349511604432</v>
      </c>
      <c r="BI149" s="62">
        <f ca="1">AVERAGE(OFFSET($BH$3,0,0,'Données projet'!$E$11+1,1))-AVERAGE(OFFSET($H$3,0,0,'Données projet'!$E$11+1,1))</f>
        <v>428.8489304403459</v>
      </c>
      <c r="BJ149" s="62">
        <f t="shared" si="146"/>
        <v>247.01165577562966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-1.7053025658242404E-13</v>
      </c>
      <c r="BZ149" s="14">
        <f>BY149*VLOOKUP('Données projet'!$B$12,Paramètres!$A$1:$I$89,3,0)*VLOOKUP('Données projet'!$B$12,Paramètres!$A$1:$I$89,5,0)</f>
        <v>-1.250327841262333E-13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290.85271051443431</v>
      </c>
      <c r="CE149" s="62">
        <f t="shared" si="148"/>
        <v>318.66958823451142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1.1368683772161603E-13</v>
      </c>
      <c r="CU149" s="18">
        <f>CT149*VLOOKUP('Données projet'!$B$13,Paramètres!$A$1:$I$89,3,0)*VLOOKUP('Données projet'!$B$13,Paramètres!$A$1:$I$89,5,0)</f>
        <v>8.8675733422860506E-14</v>
      </c>
      <c r="CV149" s="14">
        <f t="shared" si="149"/>
        <v>1.3509285393066301E-12</v>
      </c>
      <c r="CW149" s="22">
        <f t="shared" si="121"/>
        <v>2.5073107750038623E-12</v>
      </c>
      <c r="CX149" s="62">
        <f t="shared" si="122"/>
        <v>293.33333333333582</v>
      </c>
      <c r="CY149" s="62">
        <f ca="1">AVERAGE(OFFSET($CX$3,0,0,'Données projet'!$E$13+1,1))-AVERAGE(OFFSET($H$3,0,0,'Données projet'!$E$13+1,1))</f>
        <v>292.57482726862594</v>
      </c>
      <c r="CZ149" s="62">
        <f t="shared" si="150"/>
        <v>283.48738729114024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-1.7053025658242404E-13</v>
      </c>
      <c r="DP149" s="18">
        <f>DO149*VLOOKUP('Données projet'!$B$14,Paramètres!$A$1:$I$89,3,0)*VLOOKUP('Données projet'!$B$14,Paramètres!$A$1:$I$89,5,0)</f>
        <v>-1.3567387213697657E-13</v>
      </c>
      <c r="DQ149" s="14" t="e">
        <f t="shared" si="151"/>
        <v>#NUM!</v>
      </c>
      <c r="DR149" s="22" t="e">
        <f t="shared" si="124"/>
        <v>#NUM!</v>
      </c>
      <c r="DS149" s="62" t="e">
        <f t="shared" si="125"/>
        <v>#NUM!</v>
      </c>
      <c r="DT149" s="62">
        <f ca="1">AVERAGE(OFFSET($DS$3,0,0,'Données projet'!$E$14+1,1))-AVERAGE(OFFSET($H$3,0,0,'Données projet'!$E$14+1,1))</f>
        <v>312.53381881960331</v>
      </c>
      <c r="DU149" s="62">
        <f t="shared" si="152"/>
        <v>342.06887933351783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1.1368683772161603E-13</v>
      </c>
      <c r="EK149" s="18">
        <f>EJ149*VLOOKUP('Données projet'!$B$15,Paramètres!$A$1:$I$89,3,0)*VLOOKUP('Données projet'!$B$15,Paramètres!$A$1:$I$89,5,0)</f>
        <v>1.0818439477588981E-13</v>
      </c>
      <c r="EL149" s="14">
        <f t="shared" si="153"/>
        <v>1.6104228458716316E-12</v>
      </c>
      <c r="EM149" s="22">
        <f t="shared" si="127"/>
        <v>2.9932409441277661E-12</v>
      </c>
      <c r="EN149" s="62">
        <f t="shared" si="128"/>
        <v>293.33333333333633</v>
      </c>
      <c r="EO149" s="62">
        <f ca="1">AVERAGE(OFFSET($EN$3,0,0,'Données projet'!$E$15+1,1))-AVERAGE(OFFSET($H$3,0,0,'Données projet'!$E$15+1,1))</f>
        <v>363.37916970915211</v>
      </c>
      <c r="EP149" s="62">
        <f t="shared" si="154"/>
        <v>281.52963027844595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-6.2527760746888816E-13</v>
      </c>
      <c r="FF149" s="18">
        <f>FE149*VLOOKUP('Données projet'!$B$16,Paramètres!$A$1:$I$89,3,0)*VLOOKUP('Données projet'!$B$16,Paramètres!$A$1:$I$89,5,0)</f>
        <v>-2.9262992029543964E-13</v>
      </c>
      <c r="FG149" s="14" t="e">
        <f t="shared" si="155"/>
        <v>#NUM!</v>
      </c>
      <c r="FH149" s="22" t="e">
        <f t="shared" si="130"/>
        <v>#NUM!</v>
      </c>
      <c r="FI149" s="62" t="e">
        <f t="shared" si="131"/>
        <v>#NUM!</v>
      </c>
      <c r="FJ149" s="62">
        <f ca="1">AVERAGE(OFFSET($FI$3,0,0,'Données projet'!$E$16+1,1))-AVERAGE(OFFSET($H$3,0,0,'Données projet'!$E$16+1,1))</f>
        <v>245.47494516762282</v>
      </c>
      <c r="FK149" s="62">
        <f t="shared" si="156"/>
        <v>145.54897745089966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2.4</v>
      </c>
      <c r="FZ149" s="13">
        <f>IF('Données projet'!$A$244&gt;35,FZ148+FY149-GH148,IF(A149&lt;'Données projet'!$A$244,$FW$205^A149,IF(A149='Données projet'!$A$244,'Données projet'!$B$244,FZ148+FY149-GH148)))</f>
        <v>283.39999999999912</v>
      </c>
      <c r="GA149" s="18">
        <f>FZ149*VLOOKUP('Données projet'!$B$17,Paramètres!$A$1:$I$89,3,0)*VLOOKUP('Données projet'!$B$17,Paramètres!$A$1:$I$89,5,0)</f>
        <v>274.10447999999917</v>
      </c>
      <c r="GB149" s="14">
        <f t="shared" si="157"/>
        <v>65.719577181765331</v>
      </c>
      <c r="GC149" s="22">
        <f t="shared" si="133"/>
        <v>591.86023292490643</v>
      </c>
      <c r="GD149" s="62">
        <f t="shared" si="134"/>
        <v>885.1935662582398</v>
      </c>
      <c r="GE149" s="62">
        <f ca="1">AVERAGE(OFFSET($GD$3,0,0,'Données projet'!$E$17+1,1))-AVERAGE(OFFSET($H$3,0,0,'Données projet'!$E$17+1,1))</f>
        <v>455.50822833641354</v>
      </c>
      <c r="GF149" s="62">
        <f t="shared" si="158"/>
        <v>261.14722581688039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1.7053025658242404E-13</v>
      </c>
      <c r="GV149" s="18">
        <f>GU149*VLOOKUP('Données projet'!$B$18,Paramètres!$A$1:$I$89,3,0)*VLOOKUP('Données projet'!$B$18,Paramètres!$A$1:$I$89,5,0)</f>
        <v>1.1439169611549005E-13</v>
      </c>
      <c r="GW149" s="14">
        <f t="shared" si="159"/>
        <v>1.6918016515029816E-12</v>
      </c>
      <c r="GX149" s="22">
        <f t="shared" si="136"/>
        <v>3.1457867471021712E-12</v>
      </c>
      <c r="GY149" s="62">
        <f t="shared" si="137"/>
        <v>293.33333333333644</v>
      </c>
      <c r="GZ149" s="62">
        <f ca="1">AVERAGE(OFFSET($GY$3,0,0,'Données projet'!$E$18+1,1))-AVERAGE(OFFSET($H$3,0,0,'Données projet'!$E$18+1,1))</f>
        <v>312.06797204903796</v>
      </c>
      <c r="HA149" s="62">
        <f t="shared" si="160"/>
        <v>258.20189001775151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projet'!$B$18,Paramètres!$A$1:$I$89,3,0)*0.475*44/12</f>
        <v>0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138"/>
        <v>0</v>
      </c>
    </row>
    <row r="150" spans="1:218" s="5" customFormat="1" x14ac:dyDescent="0.25">
      <c r="A150" s="11">
        <f t="shared" si="139"/>
        <v>147</v>
      </c>
      <c r="B150" s="76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9">
        <f t="shared" si="110"/>
        <v>256.66666666666669</v>
      </c>
      <c r="I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2.2737367544323206E-13</v>
      </c>
      <c r="O150" s="14">
        <f>N150*VLOOKUP('Données projet'!$B$9,Paramètres!$A$1:$I$89,3,0)*VLOOKUP('Données projet'!$B$9,Paramètres!$A$1:$I$89,5,0)</f>
        <v>1.2710188457276673E-13</v>
      </c>
      <c r="P150" s="14">
        <f t="shared" si="141"/>
        <v>1.856866851063998E-12</v>
      </c>
      <c r="Q150" s="22">
        <f t="shared" si="108"/>
        <v>3.4554122145673649E-12</v>
      </c>
      <c r="R150" s="62">
        <f t="shared" si="109"/>
        <v>293.33333333333678</v>
      </c>
      <c r="S150" s="62">
        <f ca="1">AVERAGE(OFFSET($R$3,0,0,'Données projet'!$E$9+1,1))-AVERAGE(OFFSET($H$3,0,0,'Données projet'!$E$9+1,1))</f>
        <v>323.98185264074681</v>
      </c>
      <c r="T150" s="62">
        <f t="shared" si="142"/>
        <v>301.22207291854005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0.43980538161596278</v>
      </c>
      <c r="AA150" s="23">
        <f>EXP(-LN(2)/25)*AA149+(1-EXP(-LN(2)/25))/(LN(2)/25)*Calculateur!V150*Calculateur!X150*VLOOKUP('Données projet'!$B$9,Paramètres!$A$1:$I$89,3,0)*0.475*44/12</f>
        <v>0.32172987774711415</v>
      </c>
      <c r="AB150" s="23">
        <f>EXP(-LN(2)/2)*AB149+(1-EXP(-LN(2)/2))/(LN(2)/2)*V150*Y150*VLOOKUP('Données projet'!$B$9,Paramètres!$A$1:$I$89,3,0)*0.475*44/12</f>
        <v>1.4935031472873744E-17</v>
      </c>
      <c r="AC150" s="24">
        <f t="shared" si="111"/>
        <v>0.76153525936307687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-2.8421709430404007E-13</v>
      </c>
      <c r="AJ150" s="14">
        <f>AI150*VLOOKUP('Données projet'!$B$10,Paramètres!$A$1:$I$89,3,0)*VLOOKUP('Données projet'!$B$10,Paramètres!$A$1:$I$89,5,0)</f>
        <v>-1.69961822393816E-13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289.12367833861299</v>
      </c>
      <c r="AO150" s="62">
        <f t="shared" si="144"/>
        <v>229.06617320689003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1.0173303880332972E-17</v>
      </c>
      <c r="AX150" s="23">
        <f t="shared" si="114"/>
        <v>1.0173303880332972E-17</v>
      </c>
      <c r="AY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2.4</v>
      </c>
      <c r="BD150" s="13">
        <f>IF('Données projet'!$A$88&gt;35,BD149+BC150-BL149,IF(A150&lt;'Données projet'!$A$88,$BA$205^A150,IF(A150='Données projet'!$A$88,'Données projet'!$B$88,BD149+BC150-BL149)))</f>
        <v>285.7999999999991</v>
      </c>
      <c r="BE150" s="14">
        <f>BD150*VLOOKUP('Données projet'!$B$11,Paramètres!$A$1:$I$89,3,0)*VLOOKUP('Données projet'!$B$11,Paramètres!$A$1:$I$89,5,0)</f>
        <v>258.59183999999919</v>
      </c>
      <c r="BF150" s="14">
        <f t="shared" si="145"/>
        <v>62.422120343276475</v>
      </c>
      <c r="BG150" s="22">
        <f t="shared" si="115"/>
        <v>559.09931426453841</v>
      </c>
      <c r="BH150" s="62">
        <f t="shared" si="116"/>
        <v>852.43264759787166</v>
      </c>
      <c r="BI150" s="62">
        <f ca="1">AVERAGE(OFFSET($BH$3,0,0,'Données projet'!$E$11+1,1))-AVERAGE(OFFSET($H$3,0,0,'Données projet'!$E$11+1,1))</f>
        <v>428.8489304403459</v>
      </c>
      <c r="BJ150" s="62">
        <f t="shared" si="146"/>
        <v>247.01165577562966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-1.7053025658242404E-13</v>
      </c>
      <c r="BZ150" s="14">
        <f>BY150*VLOOKUP('Données projet'!$B$12,Paramètres!$A$1:$I$89,3,0)*VLOOKUP('Données projet'!$B$12,Paramètres!$A$1:$I$89,5,0)</f>
        <v>-1.250327841262333E-13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290.85271051443431</v>
      </c>
      <c r="CE150" s="62">
        <f t="shared" si="148"/>
        <v>318.66958823451142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1.1368683772161603E-13</v>
      </c>
      <c r="CU150" s="18">
        <f>CT150*VLOOKUP('Données projet'!$B$13,Paramètres!$A$1:$I$89,3,0)*VLOOKUP('Données projet'!$B$13,Paramètres!$A$1:$I$89,5,0)</f>
        <v>8.8675733422860506E-14</v>
      </c>
      <c r="CV150" s="14">
        <f t="shared" si="149"/>
        <v>1.3509285393066301E-12</v>
      </c>
      <c r="CW150" s="22">
        <f t="shared" si="121"/>
        <v>2.5073107750038623E-12</v>
      </c>
      <c r="CX150" s="62">
        <f t="shared" si="122"/>
        <v>293.33333333333582</v>
      </c>
      <c r="CY150" s="62">
        <f ca="1">AVERAGE(OFFSET($CX$3,0,0,'Données projet'!$E$13+1,1))-AVERAGE(OFFSET($H$3,0,0,'Données projet'!$E$13+1,1))</f>
        <v>292.57482726862594</v>
      </c>
      <c r="CZ150" s="62">
        <f t="shared" si="150"/>
        <v>283.48738729114024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-1.7053025658242404E-13</v>
      </c>
      <c r="DP150" s="18">
        <f>DO150*VLOOKUP('Données projet'!$B$14,Paramètres!$A$1:$I$89,3,0)*VLOOKUP('Données projet'!$B$14,Paramètres!$A$1:$I$89,5,0)</f>
        <v>-1.3567387213697657E-13</v>
      </c>
      <c r="DQ150" s="14" t="e">
        <f t="shared" si="151"/>
        <v>#NUM!</v>
      </c>
      <c r="DR150" s="22" t="e">
        <f t="shared" si="124"/>
        <v>#NUM!</v>
      </c>
      <c r="DS150" s="62" t="e">
        <f t="shared" si="125"/>
        <v>#NUM!</v>
      </c>
      <c r="DT150" s="62">
        <f ca="1">AVERAGE(OFFSET($DS$3,0,0,'Données projet'!$E$14+1,1))-AVERAGE(OFFSET($H$3,0,0,'Données projet'!$E$14+1,1))</f>
        <v>312.53381881960331</v>
      </c>
      <c r="DU150" s="62">
        <f t="shared" si="152"/>
        <v>342.06887933351783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1.1368683772161603E-13</v>
      </c>
      <c r="EK150" s="18">
        <f>EJ150*VLOOKUP('Données projet'!$B$15,Paramètres!$A$1:$I$89,3,0)*VLOOKUP('Données projet'!$B$15,Paramètres!$A$1:$I$89,5,0)</f>
        <v>1.0818439477588981E-13</v>
      </c>
      <c r="EL150" s="14">
        <f t="shared" si="153"/>
        <v>1.6104228458716316E-12</v>
      </c>
      <c r="EM150" s="22">
        <f t="shared" si="127"/>
        <v>2.9932409441277661E-12</v>
      </c>
      <c r="EN150" s="62">
        <f t="shared" si="128"/>
        <v>293.33333333333633</v>
      </c>
      <c r="EO150" s="62">
        <f ca="1">AVERAGE(OFFSET($EN$3,0,0,'Données projet'!$E$15+1,1))-AVERAGE(OFFSET($H$3,0,0,'Données projet'!$E$15+1,1))</f>
        <v>363.37916970915211</v>
      </c>
      <c r="EP150" s="62">
        <f t="shared" si="154"/>
        <v>281.52963027844595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-6.2527760746888816E-13</v>
      </c>
      <c r="FF150" s="18">
        <f>FE150*VLOOKUP('Données projet'!$B$16,Paramètres!$A$1:$I$89,3,0)*VLOOKUP('Données projet'!$B$16,Paramètres!$A$1:$I$89,5,0)</f>
        <v>-2.9262992029543964E-13</v>
      </c>
      <c r="FG150" s="14" t="e">
        <f t="shared" si="155"/>
        <v>#NUM!</v>
      </c>
      <c r="FH150" s="22" t="e">
        <f t="shared" si="130"/>
        <v>#NUM!</v>
      </c>
      <c r="FI150" s="62" t="e">
        <f t="shared" si="131"/>
        <v>#NUM!</v>
      </c>
      <c r="FJ150" s="62">
        <f ca="1">AVERAGE(OFFSET($FI$3,0,0,'Données projet'!$E$16+1,1))-AVERAGE(OFFSET($H$3,0,0,'Données projet'!$E$16+1,1))</f>
        <v>245.47494516762282</v>
      </c>
      <c r="FK150" s="62">
        <f t="shared" si="156"/>
        <v>145.54897745089966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2.4</v>
      </c>
      <c r="FZ150" s="13">
        <f>IF('Données projet'!$A$244&gt;35,FZ149+FY150-GH149,IF(A150&lt;'Données projet'!$A$244,$FW$205^A150,IF(A150='Données projet'!$A$244,'Données projet'!$B$244,FZ149+FY150-GH149)))</f>
        <v>285.7999999999991</v>
      </c>
      <c r="GA150" s="18">
        <f>FZ150*VLOOKUP('Données projet'!$B$17,Paramètres!$A$1:$I$89,3,0)*VLOOKUP('Données projet'!$B$17,Paramètres!$A$1:$I$89,5,0)</f>
        <v>276.42575999999912</v>
      </c>
      <c r="GB150" s="14">
        <f t="shared" si="157"/>
        <v>66.211105372509707</v>
      </c>
      <c r="GC150" s="22">
        <f t="shared" si="133"/>
        <v>596.75920719045291</v>
      </c>
      <c r="GD150" s="62">
        <f t="shared" si="134"/>
        <v>890.09254052378628</v>
      </c>
      <c r="GE150" s="62">
        <f ca="1">AVERAGE(OFFSET($GD$3,0,0,'Données projet'!$E$17+1,1))-AVERAGE(OFFSET($H$3,0,0,'Données projet'!$E$17+1,1))</f>
        <v>455.50822833641354</v>
      </c>
      <c r="GF150" s="62">
        <f t="shared" si="158"/>
        <v>261.14722581688039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1.7053025658242404E-13</v>
      </c>
      <c r="GV150" s="18">
        <f>GU150*VLOOKUP('Données projet'!$B$18,Paramètres!$A$1:$I$89,3,0)*VLOOKUP('Données projet'!$B$18,Paramètres!$A$1:$I$89,5,0)</f>
        <v>1.1439169611549005E-13</v>
      </c>
      <c r="GW150" s="14">
        <f t="shared" si="159"/>
        <v>1.6918016515029816E-12</v>
      </c>
      <c r="GX150" s="22">
        <f t="shared" si="136"/>
        <v>3.1457867471021712E-12</v>
      </c>
      <c r="GY150" s="62">
        <f t="shared" si="137"/>
        <v>293.33333333333644</v>
      </c>
      <c r="GZ150" s="62">
        <f ca="1">AVERAGE(OFFSET($GY$3,0,0,'Données projet'!$E$18+1,1))-AVERAGE(OFFSET($H$3,0,0,'Données projet'!$E$18+1,1))</f>
        <v>312.06797204903796</v>
      </c>
      <c r="HA150" s="62">
        <f t="shared" si="160"/>
        <v>258.20189001775151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projet'!$B$18,Paramètres!$A$1:$I$89,3,0)*0.475*44/12</f>
        <v>0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138"/>
        <v>0</v>
      </c>
    </row>
    <row r="151" spans="1:218" s="5" customFormat="1" x14ac:dyDescent="0.25">
      <c r="A151" s="11">
        <f t="shared" si="139"/>
        <v>148</v>
      </c>
      <c r="B151" s="76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9">
        <f t="shared" si="110"/>
        <v>256.66666666666669</v>
      </c>
      <c r="I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2.2737367544323206E-13</v>
      </c>
      <c r="O151" s="14">
        <f>N151*VLOOKUP('Données projet'!$B$9,Paramètres!$A$1:$I$89,3,0)*VLOOKUP('Données projet'!$B$9,Paramètres!$A$1:$I$89,5,0)</f>
        <v>1.2710188457276673E-13</v>
      </c>
      <c r="P151" s="14">
        <f t="shared" si="141"/>
        <v>1.856866851063998E-12</v>
      </c>
      <c r="Q151" s="22">
        <f t="shared" si="108"/>
        <v>3.4554122145673649E-12</v>
      </c>
      <c r="R151" s="62">
        <f t="shared" si="109"/>
        <v>293.33333333333678</v>
      </c>
      <c r="S151" s="62">
        <f ca="1">AVERAGE(OFFSET($R$3,0,0,'Données projet'!$E$9+1,1))-AVERAGE(OFFSET($H$3,0,0,'Données projet'!$E$9+1,1))</f>
        <v>323.98185264074681</v>
      </c>
      <c r="T151" s="62">
        <f t="shared" si="142"/>
        <v>301.22207291854005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0.43118106633726855</v>
      </c>
      <c r="AA151" s="23">
        <f>EXP(-LN(2)/25)*AA150+(1-EXP(-LN(2)/25))/(LN(2)/25)*Calculateur!V151*Calculateur!X151*VLOOKUP('Données projet'!$B$9,Paramètres!$A$1:$I$89,3,0)*0.475*44/12</f>
        <v>0.31293215732108037</v>
      </c>
      <c r="AB151" s="23">
        <f>EXP(-LN(2)/2)*AB150+(1-EXP(-LN(2)/2))/(LN(2)/2)*V151*Y151*VLOOKUP('Données projet'!$B$9,Paramètres!$A$1:$I$89,3,0)*0.475*44/12</f>
        <v>1.0560662031703535E-17</v>
      </c>
      <c r="AC151" s="24">
        <f t="shared" si="111"/>
        <v>0.74411322365834898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-2.8421709430404007E-13</v>
      </c>
      <c r="AJ151" s="14">
        <f>AI151*VLOOKUP('Données projet'!$B$10,Paramètres!$A$1:$I$89,3,0)*VLOOKUP('Données projet'!$B$10,Paramètres!$A$1:$I$89,5,0)</f>
        <v>-1.69961822393816E-13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289.12367833861299</v>
      </c>
      <c r="AO151" s="62">
        <f t="shared" si="144"/>
        <v>229.06617320689003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7.1936121608548618E-18</v>
      </c>
      <c r="AX151" s="23">
        <f t="shared" si="114"/>
        <v>7.1936121608548618E-18</v>
      </c>
      <c r="AY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2.4</v>
      </c>
      <c r="BD151" s="13">
        <f>IF('Données projet'!$A$88&gt;35,BD150+BC151-BL150,IF(A151&lt;'Données projet'!$A$88,$BA$205^A151,IF(A151='Données projet'!$A$88,'Données projet'!$B$88,BD150+BC151-BL150)))</f>
        <v>288.19999999999908</v>
      </c>
      <c r="BE151" s="14">
        <f>BD151*VLOOKUP('Données projet'!$B$11,Paramètres!$A$1:$I$89,3,0)*VLOOKUP('Données projet'!$B$11,Paramètres!$A$1:$I$89,5,0)</f>
        <v>260.76335999999918</v>
      </c>
      <c r="BF151" s="14">
        <f t="shared" si="145"/>
        <v>62.885067686031789</v>
      </c>
      <c r="BG151" s="22">
        <f t="shared" si="115"/>
        <v>563.68767821983727</v>
      </c>
      <c r="BH151" s="62">
        <f t="shared" si="116"/>
        <v>857.02101155317064</v>
      </c>
      <c r="BI151" s="62">
        <f ca="1">AVERAGE(OFFSET($BH$3,0,0,'Données projet'!$E$11+1,1))-AVERAGE(OFFSET($H$3,0,0,'Données projet'!$E$11+1,1))</f>
        <v>428.8489304403459</v>
      </c>
      <c r="BJ151" s="62">
        <f t="shared" si="146"/>
        <v>247.01165577562966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-1.7053025658242404E-13</v>
      </c>
      <c r="BZ151" s="14">
        <f>BY151*VLOOKUP('Données projet'!$B$12,Paramètres!$A$1:$I$89,3,0)*VLOOKUP('Données projet'!$B$12,Paramètres!$A$1:$I$89,5,0)</f>
        <v>-1.250327841262333E-13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290.85271051443431</v>
      </c>
      <c r="CE151" s="62">
        <f t="shared" si="148"/>
        <v>318.66958823451142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1.1368683772161603E-13</v>
      </c>
      <c r="CU151" s="18">
        <f>CT151*VLOOKUP('Données projet'!$B$13,Paramètres!$A$1:$I$89,3,0)*VLOOKUP('Données projet'!$B$13,Paramètres!$A$1:$I$89,5,0)</f>
        <v>8.8675733422860506E-14</v>
      </c>
      <c r="CV151" s="14">
        <f t="shared" si="149"/>
        <v>1.3509285393066301E-12</v>
      </c>
      <c r="CW151" s="22">
        <f t="shared" si="121"/>
        <v>2.5073107750038623E-12</v>
      </c>
      <c r="CX151" s="62">
        <f t="shared" si="122"/>
        <v>293.33333333333582</v>
      </c>
      <c r="CY151" s="62">
        <f ca="1">AVERAGE(OFFSET($CX$3,0,0,'Données projet'!$E$13+1,1))-AVERAGE(OFFSET($H$3,0,0,'Données projet'!$E$13+1,1))</f>
        <v>292.57482726862594</v>
      </c>
      <c r="CZ151" s="62">
        <f t="shared" si="150"/>
        <v>283.48738729114024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-1.7053025658242404E-13</v>
      </c>
      <c r="DP151" s="18">
        <f>DO151*VLOOKUP('Données projet'!$B$14,Paramètres!$A$1:$I$89,3,0)*VLOOKUP('Données projet'!$B$14,Paramètres!$A$1:$I$89,5,0)</f>
        <v>-1.3567387213697657E-13</v>
      </c>
      <c r="DQ151" s="14" t="e">
        <f t="shared" si="151"/>
        <v>#NUM!</v>
      </c>
      <c r="DR151" s="22" t="e">
        <f t="shared" si="124"/>
        <v>#NUM!</v>
      </c>
      <c r="DS151" s="62" t="e">
        <f t="shared" si="125"/>
        <v>#NUM!</v>
      </c>
      <c r="DT151" s="62">
        <f ca="1">AVERAGE(OFFSET($DS$3,0,0,'Données projet'!$E$14+1,1))-AVERAGE(OFFSET($H$3,0,0,'Données projet'!$E$14+1,1))</f>
        <v>312.53381881960331</v>
      </c>
      <c r="DU151" s="62">
        <f t="shared" si="152"/>
        <v>342.06887933351783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1.1368683772161603E-13</v>
      </c>
      <c r="EK151" s="18">
        <f>EJ151*VLOOKUP('Données projet'!$B$15,Paramètres!$A$1:$I$89,3,0)*VLOOKUP('Données projet'!$B$15,Paramètres!$A$1:$I$89,5,0)</f>
        <v>1.0818439477588981E-13</v>
      </c>
      <c r="EL151" s="14">
        <f t="shared" si="153"/>
        <v>1.6104228458716316E-12</v>
      </c>
      <c r="EM151" s="22">
        <f t="shared" si="127"/>
        <v>2.9932409441277661E-12</v>
      </c>
      <c r="EN151" s="62">
        <f t="shared" si="128"/>
        <v>293.33333333333633</v>
      </c>
      <c r="EO151" s="62">
        <f ca="1">AVERAGE(OFFSET($EN$3,0,0,'Données projet'!$E$15+1,1))-AVERAGE(OFFSET($H$3,0,0,'Données projet'!$E$15+1,1))</f>
        <v>363.37916970915211</v>
      </c>
      <c r="EP151" s="62">
        <f t="shared" si="154"/>
        <v>281.52963027844595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-6.2527760746888816E-13</v>
      </c>
      <c r="FF151" s="18">
        <f>FE151*VLOOKUP('Données projet'!$B$16,Paramètres!$A$1:$I$89,3,0)*VLOOKUP('Données projet'!$B$16,Paramètres!$A$1:$I$89,5,0)</f>
        <v>-2.9262992029543964E-13</v>
      </c>
      <c r="FG151" s="14" t="e">
        <f t="shared" si="155"/>
        <v>#NUM!</v>
      </c>
      <c r="FH151" s="22" t="e">
        <f t="shared" si="130"/>
        <v>#NUM!</v>
      </c>
      <c r="FI151" s="62" t="e">
        <f t="shared" si="131"/>
        <v>#NUM!</v>
      </c>
      <c r="FJ151" s="62">
        <f ca="1">AVERAGE(OFFSET($FI$3,0,0,'Données projet'!$E$16+1,1))-AVERAGE(OFFSET($H$3,0,0,'Données projet'!$E$16+1,1))</f>
        <v>245.47494516762282</v>
      </c>
      <c r="FK151" s="62">
        <f t="shared" si="156"/>
        <v>145.54897745089966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2.4</v>
      </c>
      <c r="FZ151" s="13">
        <f>IF('Données projet'!$A$244&gt;35,FZ150+FY151-GH150,IF(A151&lt;'Données projet'!$A$244,$FW$205^A151,IF(A151='Données projet'!$A$244,'Données projet'!$B$244,FZ150+FY151-GH150)))</f>
        <v>288.19999999999908</v>
      </c>
      <c r="GA151" s="18">
        <f>FZ151*VLOOKUP('Données projet'!$B$17,Paramètres!$A$1:$I$89,3,0)*VLOOKUP('Données projet'!$B$17,Paramètres!$A$1:$I$89,5,0)</f>
        <v>278.74703999999912</v>
      </c>
      <c r="GB151" s="14">
        <f t="shared" si="157"/>
        <v>66.702153339553078</v>
      </c>
      <c r="GC151" s="22">
        <f t="shared" si="133"/>
        <v>601.65734506638671</v>
      </c>
      <c r="GD151" s="62">
        <f t="shared" si="134"/>
        <v>894.99067839972008</v>
      </c>
      <c r="GE151" s="62">
        <f ca="1">AVERAGE(OFFSET($GD$3,0,0,'Données projet'!$E$17+1,1))-AVERAGE(OFFSET($H$3,0,0,'Données projet'!$E$17+1,1))</f>
        <v>455.50822833641354</v>
      </c>
      <c r="GF151" s="62">
        <f t="shared" si="158"/>
        <v>261.14722581688039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1.7053025658242404E-13</v>
      </c>
      <c r="GV151" s="18">
        <f>GU151*VLOOKUP('Données projet'!$B$18,Paramètres!$A$1:$I$89,3,0)*VLOOKUP('Données projet'!$B$18,Paramètres!$A$1:$I$89,5,0)</f>
        <v>1.1439169611549005E-13</v>
      </c>
      <c r="GW151" s="14">
        <f t="shared" si="159"/>
        <v>1.6918016515029816E-12</v>
      </c>
      <c r="GX151" s="22">
        <f t="shared" si="136"/>
        <v>3.1457867471021712E-12</v>
      </c>
      <c r="GY151" s="62">
        <f t="shared" si="137"/>
        <v>293.33333333333644</v>
      </c>
      <c r="GZ151" s="62">
        <f ca="1">AVERAGE(OFFSET($GY$3,0,0,'Données projet'!$E$18+1,1))-AVERAGE(OFFSET($H$3,0,0,'Données projet'!$E$18+1,1))</f>
        <v>312.06797204903796</v>
      </c>
      <c r="HA151" s="62">
        <f t="shared" si="160"/>
        <v>258.20189001775151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projet'!$B$18,Paramètres!$A$1:$I$89,3,0)*0.475*44/12</f>
        <v>0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138"/>
        <v>0</v>
      </c>
    </row>
    <row r="152" spans="1:218" s="5" customFormat="1" x14ac:dyDescent="0.25">
      <c r="A152" s="11">
        <f t="shared" si="139"/>
        <v>149</v>
      </c>
      <c r="B152" s="76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9">
        <f t="shared" si="110"/>
        <v>256.66666666666669</v>
      </c>
      <c r="I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2.2737367544323206E-13</v>
      </c>
      <c r="O152" s="14">
        <f>N152*VLOOKUP('Données projet'!$B$9,Paramètres!$A$1:$I$89,3,0)*VLOOKUP('Données projet'!$B$9,Paramètres!$A$1:$I$89,5,0)</f>
        <v>1.2710188457276673E-13</v>
      </c>
      <c r="P152" s="14">
        <f t="shared" si="141"/>
        <v>1.856866851063998E-12</v>
      </c>
      <c r="Q152" s="22">
        <f t="shared" si="108"/>
        <v>3.4554122145673649E-12</v>
      </c>
      <c r="R152" s="62">
        <f t="shared" si="109"/>
        <v>293.33333333333678</v>
      </c>
      <c r="S152" s="62">
        <f ca="1">AVERAGE(OFFSET($R$3,0,0,'Données projet'!$E$9+1,1))-AVERAGE(OFFSET($H$3,0,0,'Données projet'!$E$9+1,1))</f>
        <v>323.98185264074681</v>
      </c>
      <c r="T152" s="62">
        <f t="shared" si="142"/>
        <v>301.22207291854005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0.42272586862087663</v>
      </c>
      <c r="AA152" s="23">
        <f>EXP(-LN(2)/25)*AA151+(1-EXP(-LN(2)/25))/(LN(2)/25)*Calculateur!V152*Calculateur!X152*VLOOKUP('Données projet'!$B$9,Paramètres!$A$1:$I$89,3,0)*0.475*44/12</f>
        <v>0.3043750110227485</v>
      </c>
      <c r="AB152" s="23">
        <f>EXP(-LN(2)/2)*AB151+(1-EXP(-LN(2)/2))/(LN(2)/2)*V152*Y152*VLOOKUP('Données projet'!$B$9,Paramètres!$A$1:$I$89,3,0)*0.475*44/12</f>
        <v>7.4675157364368719E-18</v>
      </c>
      <c r="AC152" s="24">
        <f t="shared" si="111"/>
        <v>0.72710087964362513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-2.8421709430404007E-13</v>
      </c>
      <c r="AJ152" s="14">
        <f>AI152*VLOOKUP('Données projet'!$B$10,Paramètres!$A$1:$I$89,3,0)*VLOOKUP('Données projet'!$B$10,Paramètres!$A$1:$I$89,5,0)</f>
        <v>-1.69961822393816E-13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289.12367833861299</v>
      </c>
      <c r="AO152" s="62">
        <f t="shared" si="144"/>
        <v>229.06617320689003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5.0866519401664861E-18</v>
      </c>
      <c r="AX152" s="23">
        <f t="shared" si="114"/>
        <v>5.0866519401664861E-18</v>
      </c>
      <c r="AY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2.4</v>
      </c>
      <c r="BD152" s="13">
        <f>IF('Données projet'!$A$88&gt;35,BD151+BC152-BL151,IF(A152&lt;'Données projet'!$A$88,$BA$205^A152,IF(A152='Données projet'!$A$88,'Données projet'!$B$88,BD151+BC152-BL151)))</f>
        <v>290.59999999999906</v>
      </c>
      <c r="BE152" s="14">
        <f>BD152*VLOOKUP('Données projet'!$B$11,Paramètres!$A$1:$I$89,3,0)*VLOOKUP('Données projet'!$B$11,Paramètres!$A$1:$I$89,5,0)</f>
        <v>262.93487999999911</v>
      </c>
      <c r="BF152" s="14">
        <f t="shared" si="145"/>
        <v>63.347566493432595</v>
      </c>
      <c r="BG152" s="22">
        <f t="shared" si="115"/>
        <v>568.27526097606028</v>
      </c>
      <c r="BH152" s="62">
        <f t="shared" si="116"/>
        <v>861.60859430939354</v>
      </c>
      <c r="BI152" s="62">
        <f ca="1">AVERAGE(OFFSET($BH$3,0,0,'Données projet'!$E$11+1,1))-AVERAGE(OFFSET($H$3,0,0,'Données projet'!$E$11+1,1))</f>
        <v>428.8489304403459</v>
      </c>
      <c r="BJ152" s="62">
        <f t="shared" si="146"/>
        <v>247.01165577562966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-1.7053025658242404E-13</v>
      </c>
      <c r="BZ152" s="14">
        <f>BY152*VLOOKUP('Données projet'!$B$12,Paramètres!$A$1:$I$89,3,0)*VLOOKUP('Données projet'!$B$12,Paramètres!$A$1:$I$89,5,0)</f>
        <v>-1.250327841262333E-13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290.85271051443431</v>
      </c>
      <c r="CE152" s="62">
        <f t="shared" si="148"/>
        <v>318.66958823451142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1.1368683772161603E-13</v>
      </c>
      <c r="CU152" s="18">
        <f>CT152*VLOOKUP('Données projet'!$B$13,Paramètres!$A$1:$I$89,3,0)*VLOOKUP('Données projet'!$B$13,Paramètres!$A$1:$I$89,5,0)</f>
        <v>8.8675733422860506E-14</v>
      </c>
      <c r="CV152" s="14">
        <f t="shared" si="149"/>
        <v>1.3509285393066301E-12</v>
      </c>
      <c r="CW152" s="22">
        <f t="shared" si="121"/>
        <v>2.5073107750038623E-12</v>
      </c>
      <c r="CX152" s="62">
        <f t="shared" si="122"/>
        <v>293.33333333333582</v>
      </c>
      <c r="CY152" s="62">
        <f ca="1">AVERAGE(OFFSET($CX$3,0,0,'Données projet'!$E$13+1,1))-AVERAGE(OFFSET($H$3,0,0,'Données projet'!$E$13+1,1))</f>
        <v>292.57482726862594</v>
      </c>
      <c r="CZ152" s="62">
        <f t="shared" si="150"/>
        <v>283.48738729114024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-1.7053025658242404E-13</v>
      </c>
      <c r="DP152" s="18">
        <f>DO152*VLOOKUP('Données projet'!$B$14,Paramètres!$A$1:$I$89,3,0)*VLOOKUP('Données projet'!$B$14,Paramètres!$A$1:$I$89,5,0)</f>
        <v>-1.3567387213697657E-13</v>
      </c>
      <c r="DQ152" s="14" t="e">
        <f t="shared" si="151"/>
        <v>#NUM!</v>
      </c>
      <c r="DR152" s="22" t="e">
        <f t="shared" si="124"/>
        <v>#NUM!</v>
      </c>
      <c r="DS152" s="62" t="e">
        <f t="shared" si="125"/>
        <v>#NUM!</v>
      </c>
      <c r="DT152" s="62">
        <f ca="1">AVERAGE(OFFSET($DS$3,0,0,'Données projet'!$E$14+1,1))-AVERAGE(OFFSET($H$3,0,0,'Données projet'!$E$14+1,1))</f>
        <v>312.53381881960331</v>
      </c>
      <c r="DU152" s="62">
        <f t="shared" si="152"/>
        <v>342.06887933351783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1.1368683772161603E-13</v>
      </c>
      <c r="EK152" s="18">
        <f>EJ152*VLOOKUP('Données projet'!$B$15,Paramètres!$A$1:$I$89,3,0)*VLOOKUP('Données projet'!$B$15,Paramètres!$A$1:$I$89,5,0)</f>
        <v>1.0818439477588981E-13</v>
      </c>
      <c r="EL152" s="14">
        <f t="shared" si="153"/>
        <v>1.6104228458716316E-12</v>
      </c>
      <c r="EM152" s="22">
        <f t="shared" si="127"/>
        <v>2.9932409441277661E-12</v>
      </c>
      <c r="EN152" s="62">
        <f t="shared" si="128"/>
        <v>293.33333333333633</v>
      </c>
      <c r="EO152" s="62">
        <f ca="1">AVERAGE(OFFSET($EN$3,0,0,'Données projet'!$E$15+1,1))-AVERAGE(OFFSET($H$3,0,0,'Données projet'!$E$15+1,1))</f>
        <v>363.37916970915211</v>
      </c>
      <c r="EP152" s="62">
        <f t="shared" si="154"/>
        <v>281.52963027844595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-6.2527760746888816E-13</v>
      </c>
      <c r="FF152" s="18">
        <f>FE152*VLOOKUP('Données projet'!$B$16,Paramètres!$A$1:$I$89,3,0)*VLOOKUP('Données projet'!$B$16,Paramètres!$A$1:$I$89,5,0)</f>
        <v>-2.9262992029543964E-13</v>
      </c>
      <c r="FG152" s="14" t="e">
        <f t="shared" si="155"/>
        <v>#NUM!</v>
      </c>
      <c r="FH152" s="22" t="e">
        <f t="shared" si="130"/>
        <v>#NUM!</v>
      </c>
      <c r="FI152" s="62" t="e">
        <f t="shared" si="131"/>
        <v>#NUM!</v>
      </c>
      <c r="FJ152" s="62">
        <f ca="1">AVERAGE(OFFSET($FI$3,0,0,'Données projet'!$E$16+1,1))-AVERAGE(OFFSET($H$3,0,0,'Données projet'!$E$16+1,1))</f>
        <v>245.47494516762282</v>
      </c>
      <c r="FK152" s="62">
        <f t="shared" si="156"/>
        <v>145.54897745089966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2.4</v>
      </c>
      <c r="FZ152" s="13">
        <f>IF('Données projet'!$A$244&gt;35,FZ151+FY152-GH151,IF(A152&lt;'Données projet'!$A$244,$FW$205^A152,IF(A152='Données projet'!$A$244,'Données projet'!$B$244,FZ151+FY152-GH151)))</f>
        <v>290.59999999999906</v>
      </c>
      <c r="GA152" s="18">
        <f>FZ152*VLOOKUP('Données projet'!$B$17,Paramètres!$A$1:$I$89,3,0)*VLOOKUP('Données projet'!$B$17,Paramètres!$A$1:$I$89,5,0)</f>
        <v>281.06831999999906</v>
      </c>
      <c r="GB152" s="14">
        <f t="shared" si="157"/>
        <v>67.192725545416479</v>
      </c>
      <c r="GC152" s="22">
        <f t="shared" si="133"/>
        <v>606.55465432493213</v>
      </c>
      <c r="GD152" s="62">
        <f t="shared" si="134"/>
        <v>899.8879876582655</v>
      </c>
      <c r="GE152" s="62">
        <f ca="1">AVERAGE(OFFSET($GD$3,0,0,'Données projet'!$E$17+1,1))-AVERAGE(OFFSET($H$3,0,0,'Données projet'!$E$17+1,1))</f>
        <v>455.50822833641354</v>
      </c>
      <c r="GF152" s="62">
        <f t="shared" si="158"/>
        <v>261.14722581688039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1.7053025658242404E-13</v>
      </c>
      <c r="GV152" s="18">
        <f>GU152*VLOOKUP('Données projet'!$B$18,Paramètres!$A$1:$I$89,3,0)*VLOOKUP('Données projet'!$B$18,Paramètres!$A$1:$I$89,5,0)</f>
        <v>1.1439169611549005E-13</v>
      </c>
      <c r="GW152" s="14">
        <f t="shared" si="159"/>
        <v>1.6918016515029816E-12</v>
      </c>
      <c r="GX152" s="22">
        <f t="shared" si="136"/>
        <v>3.1457867471021712E-12</v>
      </c>
      <c r="GY152" s="62">
        <f t="shared" si="137"/>
        <v>293.33333333333644</v>
      </c>
      <c r="GZ152" s="62">
        <f ca="1">AVERAGE(OFFSET($GY$3,0,0,'Données projet'!$E$18+1,1))-AVERAGE(OFFSET($H$3,0,0,'Données projet'!$E$18+1,1))</f>
        <v>312.06797204903796</v>
      </c>
      <c r="HA152" s="62">
        <f t="shared" si="160"/>
        <v>258.20189001775151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projet'!$B$18,Paramètres!$A$1:$I$89,3,0)*0.475*44/12</f>
        <v>0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138"/>
        <v>0</v>
      </c>
    </row>
    <row r="153" spans="1:218" s="5" customFormat="1" x14ac:dyDescent="0.25">
      <c r="A153" s="11">
        <f>A152+1</f>
        <v>150</v>
      </c>
      <c r="B153" s="76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9">
        <f t="shared" si="110"/>
        <v>256.66666666666669</v>
      </c>
      <c r="I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2.2737367544323206E-13</v>
      </c>
      <c r="O153" s="14">
        <f>N153*VLOOKUP('Données projet'!$B$9,Paramètres!$A$1:$I$89,3,0)*VLOOKUP('Données projet'!$B$9,Paramètres!$A$1:$I$89,5,0)</f>
        <v>1.2710188457276673E-13</v>
      </c>
      <c r="P153" s="14">
        <f t="shared" si="141"/>
        <v>1.856866851063998E-12</v>
      </c>
      <c r="Q153" s="22">
        <f t="shared" si="108"/>
        <v>3.4554122145673649E-12</v>
      </c>
      <c r="R153" s="62">
        <f t="shared" si="109"/>
        <v>293.33333333333678</v>
      </c>
      <c r="S153" s="62">
        <f ca="1">AVERAGE(OFFSET($R$3,0,0,'Données projet'!$E$9+1,1))-AVERAGE(OFFSET($H$3,0,0,'Données projet'!$E$9+1,1))</f>
        <v>323.98185264074681</v>
      </c>
      <c r="T153" s="62">
        <f t="shared" si="142"/>
        <v>301.22207291854005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0.41443647217454177</v>
      </c>
      <c r="AA153" s="23">
        <f>EXP(-LN(2)/25)*AA152+(1-EXP(-LN(2)/25))/(LN(2)/25)*Calculateur!V153*Calculateur!X153*VLOOKUP('Données projet'!$B$9,Paramètres!$A$1:$I$89,3,0)*0.475*44/12</f>
        <v>0.29605186033994529</v>
      </c>
      <c r="AB153" s="23">
        <f>EXP(-LN(2)/2)*AB152+(1-EXP(-LN(2)/2))/(LN(2)/2)*V153*Y153*VLOOKUP('Données projet'!$B$9,Paramètres!$A$1:$I$89,3,0)*0.475*44/12</f>
        <v>5.2803310158517676E-18</v>
      </c>
      <c r="AC153" s="24">
        <f t="shared" si="111"/>
        <v>0.71048833251448706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-2.8421709430404007E-13</v>
      </c>
      <c r="AJ153" s="14">
        <f>AI153*VLOOKUP('Données projet'!$B$10,Paramètres!$A$1:$I$89,3,0)*VLOOKUP('Données projet'!$B$10,Paramètres!$A$1:$I$89,5,0)</f>
        <v>-1.69961822393816E-13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289.12367833861299</v>
      </c>
      <c r="AO153" s="62">
        <f t="shared" si="144"/>
        <v>229.06617320689003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3.5968060804274309E-18</v>
      </c>
      <c r="AX153" s="23">
        <f t="shared" si="114"/>
        <v>3.5968060804274309E-18</v>
      </c>
      <c r="AY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293</v>
      </c>
      <c r="BB153" s="13">
        <f>VLOOKUP(A153,'Données projet'!$A$87:$I$107,9,0)</f>
        <v>2.4</v>
      </c>
      <c r="BC153" s="13">
        <f t="array" ref="BC153">INDEX(BB:BB,MIN(IF(ISNUMBER(BB153:BB349),ROW(BB153:BB349),"")))</f>
        <v>2.4</v>
      </c>
      <c r="BD153" s="13">
        <f>IF('Données projet'!$A$88&gt;35,BD152+BC153-BL152,IF(A153&lt;'Données projet'!$A$88,$BA$205^A153,IF(A153='Données projet'!$A$88,'Données projet'!$B$88,BD152+BC153-BL152)))</f>
        <v>292.99999999999903</v>
      </c>
      <c r="BE153" s="14">
        <f>BD153*VLOOKUP('Données projet'!$B$11,Paramètres!$A$1:$I$89,3,0)*VLOOKUP('Données projet'!$B$11,Paramètres!$A$1:$I$89,5,0)</f>
        <v>265.1063999999991</v>
      </c>
      <c r="BF153" s="14">
        <f t="shared" si="145"/>
        <v>63.809620899125136</v>
      </c>
      <c r="BG153" s="22">
        <f t="shared" si="115"/>
        <v>572.86206973264132</v>
      </c>
      <c r="BH153" s="62">
        <f t="shared" si="116"/>
        <v>866.19540306597469</v>
      </c>
      <c r="BI153" s="62">
        <f ca="1">AVERAGE(OFFSET($BH$3,0,0,'Données projet'!$E$11+1,1))-AVERAGE(OFFSET($H$3,0,0,'Données projet'!$E$11+1,1))</f>
        <v>428.8489304403459</v>
      </c>
      <c r="BJ153" s="62">
        <f t="shared" si="146"/>
        <v>247.01165577562966</v>
      </c>
      <c r="BK153" s="16">
        <f>IF(ISNA(VLOOKUP(A153,'Données projet'!$A$87:$I$107,3,0)),0,VLOOKUP(A153,'Données projet'!$A$87:$I$107,3,0))</f>
        <v>13</v>
      </c>
      <c r="BL153" s="16">
        <f>IF(ISNA(VLOOKUP(A153,'Données projet'!$A$87:$I$107,4,0)),0,VLOOKUP(A153,'Données projet'!$A$87:$I$107,4,0))</f>
        <v>293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-1.7053025658242404E-13</v>
      </c>
      <c r="BZ153" s="14">
        <f>BY153*VLOOKUP('Données projet'!$B$12,Paramètres!$A$1:$I$89,3,0)*VLOOKUP('Données projet'!$B$12,Paramètres!$A$1:$I$89,5,0)</f>
        <v>-1.250327841262333E-13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290.85271051443431</v>
      </c>
      <c r="CE153" s="62">
        <f t="shared" si="148"/>
        <v>318.66958823451142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1.1368683772161603E-13</v>
      </c>
      <c r="CU153" s="18">
        <f>CT153*VLOOKUP('Données projet'!$B$13,Paramètres!$A$1:$I$89,3,0)*VLOOKUP('Données projet'!$B$13,Paramètres!$A$1:$I$89,5,0)</f>
        <v>8.8675733422860506E-14</v>
      </c>
      <c r="CV153" s="14">
        <f t="shared" si="149"/>
        <v>1.3509285393066301E-12</v>
      </c>
      <c r="CW153" s="22">
        <f t="shared" si="121"/>
        <v>2.5073107750038623E-12</v>
      </c>
      <c r="CX153" s="62">
        <f t="shared" si="122"/>
        <v>293.33333333333582</v>
      </c>
      <c r="CY153" s="62">
        <f ca="1">AVERAGE(OFFSET($CX$3,0,0,'Données projet'!$E$13+1,1))-AVERAGE(OFFSET($H$3,0,0,'Données projet'!$E$13+1,1))</f>
        <v>292.57482726862594</v>
      </c>
      <c r="CZ153" s="62">
        <f t="shared" si="150"/>
        <v>283.48738729114024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-1.7053025658242404E-13</v>
      </c>
      <c r="DP153" s="18">
        <f>DO153*VLOOKUP('Données projet'!$B$14,Paramètres!$A$1:$I$89,3,0)*VLOOKUP('Données projet'!$B$14,Paramètres!$A$1:$I$89,5,0)</f>
        <v>-1.3567387213697657E-13</v>
      </c>
      <c r="DQ153" s="14" t="e">
        <f t="shared" si="151"/>
        <v>#NUM!</v>
      </c>
      <c r="DR153" s="22" t="e">
        <f t="shared" si="124"/>
        <v>#NUM!</v>
      </c>
      <c r="DS153" s="62" t="e">
        <f t="shared" si="125"/>
        <v>#NUM!</v>
      </c>
      <c r="DT153" s="62">
        <f ca="1">AVERAGE(OFFSET($DS$3,0,0,'Données projet'!$E$14+1,1))-AVERAGE(OFFSET($H$3,0,0,'Données projet'!$E$14+1,1))</f>
        <v>312.53381881960331</v>
      </c>
      <c r="DU153" s="62">
        <f t="shared" si="152"/>
        <v>342.06887933351783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1.1368683772161603E-13</v>
      </c>
      <c r="EK153" s="18">
        <f>EJ153*VLOOKUP('Données projet'!$B$15,Paramètres!$A$1:$I$89,3,0)*VLOOKUP('Données projet'!$B$15,Paramètres!$A$1:$I$89,5,0)</f>
        <v>1.0818439477588981E-13</v>
      </c>
      <c r="EL153" s="14">
        <f t="shared" si="153"/>
        <v>1.6104228458716316E-12</v>
      </c>
      <c r="EM153" s="22">
        <f t="shared" si="127"/>
        <v>2.9932409441277661E-12</v>
      </c>
      <c r="EN153" s="62">
        <f t="shared" si="128"/>
        <v>293.33333333333633</v>
      </c>
      <c r="EO153" s="62">
        <f ca="1">AVERAGE(OFFSET($EN$3,0,0,'Données projet'!$E$15+1,1))-AVERAGE(OFFSET($H$3,0,0,'Données projet'!$E$15+1,1))</f>
        <v>363.37916970915211</v>
      </c>
      <c r="EP153" s="62">
        <f t="shared" si="154"/>
        <v>281.52963027844595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-6.2527760746888816E-13</v>
      </c>
      <c r="FF153" s="18">
        <f>FE153*VLOOKUP('Données projet'!$B$16,Paramètres!$A$1:$I$89,3,0)*VLOOKUP('Données projet'!$B$16,Paramètres!$A$1:$I$89,5,0)</f>
        <v>-2.9262992029543964E-13</v>
      </c>
      <c r="FG153" s="14" t="e">
        <f t="shared" si="155"/>
        <v>#NUM!</v>
      </c>
      <c r="FH153" s="22" t="e">
        <f t="shared" si="130"/>
        <v>#NUM!</v>
      </c>
      <c r="FI153" s="62" t="e">
        <f t="shared" si="131"/>
        <v>#NUM!</v>
      </c>
      <c r="FJ153" s="62">
        <f ca="1">AVERAGE(OFFSET($FI$3,0,0,'Données projet'!$E$16+1,1))-AVERAGE(OFFSET($H$3,0,0,'Données projet'!$E$16+1,1))</f>
        <v>245.47494516762282</v>
      </c>
      <c r="FK153" s="62">
        <f t="shared" si="156"/>
        <v>145.54897745089966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>
        <f>VLOOKUP(A153,'Données projet'!$A$243:$I$263,2,0)</f>
        <v>293</v>
      </c>
      <c r="FX153" s="13">
        <f>VLOOKUP(A153,'Données projet'!$A$243:$I$263,9,0)</f>
        <v>2.4</v>
      </c>
      <c r="FY153" s="13">
        <f t="array" ref="FY153">INDEX(FX:FX,MIN(IF(ISNUMBER(FX153:FX349),ROW(FX153:FX349),"")))</f>
        <v>2.4</v>
      </c>
      <c r="FZ153" s="13">
        <f>IF('Données projet'!$A$244&gt;35,FZ152+FY153-GH152,IF(A153&lt;'Données projet'!$A$244,$FW$205^A153,IF(A153='Données projet'!$A$244,'Données projet'!$B$244,FZ152+FY153-GH152)))</f>
        <v>292.99999999999903</v>
      </c>
      <c r="GA153" s="18">
        <f>FZ153*VLOOKUP('Données projet'!$B$17,Paramètres!$A$1:$I$89,3,0)*VLOOKUP('Données projet'!$B$17,Paramètres!$A$1:$I$89,5,0)</f>
        <v>283.38959999999906</v>
      </c>
      <c r="GB153" s="14">
        <f t="shared" si="157"/>
        <v>67.682826374656187</v>
      </c>
      <c r="GC153" s="22">
        <f t="shared" si="133"/>
        <v>611.45114260252456</v>
      </c>
      <c r="GD153" s="62">
        <f t="shared" si="134"/>
        <v>904.78447593585793</v>
      </c>
      <c r="GE153" s="62">
        <f ca="1">AVERAGE(OFFSET($GD$3,0,0,'Données projet'!$E$17+1,1))-AVERAGE(OFFSET($H$3,0,0,'Données projet'!$E$17+1,1))</f>
        <v>455.50822833641354</v>
      </c>
      <c r="GF153" s="62">
        <f t="shared" si="158"/>
        <v>261.14722581688039</v>
      </c>
      <c r="GG153" s="16">
        <f>IF(ISNA(VLOOKUP(A153,'Données projet'!$A$243:$I$263,3,0)),0,VLOOKUP(A153,'Données projet'!$A$243:$I$263,3,0))</f>
        <v>13</v>
      </c>
      <c r="GH153" s="16">
        <f>IF(ISNA(VLOOKUP(A153,'Données projet'!$A$243:$I$263,4,0)),0,VLOOKUP(A153,'Données projet'!$A$243:$I$263,4,0))</f>
        <v>293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1.7053025658242404E-13</v>
      </c>
      <c r="GV153" s="18">
        <f>GU153*VLOOKUP('Données projet'!$B$18,Paramètres!$A$1:$I$89,3,0)*VLOOKUP('Données projet'!$B$18,Paramètres!$A$1:$I$89,5,0)</f>
        <v>1.1439169611549005E-13</v>
      </c>
      <c r="GW153" s="14">
        <f t="shared" si="159"/>
        <v>1.6918016515029816E-12</v>
      </c>
      <c r="GX153" s="22">
        <f t="shared" si="136"/>
        <v>3.1457867471021712E-12</v>
      </c>
      <c r="GY153" s="62">
        <f t="shared" si="137"/>
        <v>293.33333333333644</v>
      </c>
      <c r="GZ153" s="62">
        <f ca="1">AVERAGE(OFFSET($GY$3,0,0,'Données projet'!$E$18+1,1))-AVERAGE(OFFSET($H$3,0,0,'Données projet'!$E$18+1,1))</f>
        <v>312.06797204903796</v>
      </c>
      <c r="HA153" s="62">
        <f t="shared" si="160"/>
        <v>258.20189001775151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projet'!$B$18,Paramètres!$A$1:$I$89,3,0)*0.475*44/12</f>
        <v>0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138"/>
        <v>0</v>
      </c>
    </row>
    <row r="154" spans="1:218" x14ac:dyDescent="0.25">
      <c r="A154" s="11">
        <f t="shared" ref="A154:A202" si="161">A153+1</f>
        <v>151</v>
      </c>
      <c r="B154" s="76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9">
        <f t="shared" si="110"/>
        <v>256.66666666666669</v>
      </c>
      <c r="I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2.2737367544323206E-13</v>
      </c>
      <c r="O154" s="14">
        <f>N154*VLOOKUP('Données projet'!$B$9,Paramètres!$A$1:$I$89,3,0)*VLOOKUP('Données projet'!$B$9,Paramètres!$A$1:$I$89,5,0)</f>
        <v>1.2710188457276673E-13</v>
      </c>
      <c r="P154" s="14">
        <f t="shared" si="141"/>
        <v>1.856866851063998E-12</v>
      </c>
      <c r="Q154" s="22">
        <f t="shared" ref="Q154:Q203" si="162">(O154+P154)*0.475*44/12</f>
        <v>3.4554122145673649E-12</v>
      </c>
      <c r="R154" s="62">
        <f t="shared" si="109"/>
        <v>293.33333333333678</v>
      </c>
      <c r="S154" s="62">
        <f ca="1">AVERAGE(OFFSET($R$3,0,0,'Données projet'!$E$9+1,1))-AVERAGE(OFFSET($H$3,0,0,'Données projet'!$E$9+1,1))</f>
        <v>323.98185264074681</v>
      </c>
      <c r="T154" s="62">
        <f t="shared" si="142"/>
        <v>301.22207291854005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0.40630962573648693</v>
      </c>
      <c r="AA154" s="23">
        <f>EXP(-LN(2)/25)*AA153+(1-EXP(-LN(2)/25))/(LN(2)/25)*Calculateur!V154*Calculateur!X154*VLOOKUP('Données projet'!$B$9,Paramètres!$A$1:$I$89,3,0)*0.475*44/12</f>
        <v>0.28795630665025879</v>
      </c>
      <c r="AB154" s="23">
        <f>EXP(-LN(2)/2)*AB153+(1-EXP(-LN(2)/2))/(LN(2)/2)*V154*Y154*VLOOKUP('Données projet'!$B$9,Paramètres!$A$1:$I$89,3,0)*0.475*44/12</f>
        <v>3.733757868218436E-18</v>
      </c>
      <c r="AC154" s="24">
        <f t="shared" ref="AC154:AC203" si="163">SUM(Z154:AB154)</f>
        <v>0.69426593238674572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-2.8421709430404007E-13</v>
      </c>
      <c r="AJ154" s="14">
        <f>AI154*VLOOKUP('Données projet'!$B$10,Paramètres!$A$1:$I$89,3,0)*VLOOKUP('Données projet'!$B$10,Paramètres!$A$1:$I$89,5,0)</f>
        <v>-1.69961822393816E-13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289.12367833861299</v>
      </c>
      <c r="AO154" s="62">
        <f t="shared" si="144"/>
        <v>229.06617320689003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2.5433259700832431E-18</v>
      </c>
      <c r="AX154" s="23">
        <f t="shared" ref="AX154:AX203" si="166">SUM(AU154:AW154)</f>
        <v>2.5433259700832431E-18</v>
      </c>
      <c r="AY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-9.6633812063373625E-13</v>
      </c>
      <c r="BE154" s="14">
        <f>BD154*VLOOKUP('Données projet'!$B$11,Paramètres!$A$1:$I$89,3,0)*VLOOKUP('Données projet'!$B$11,Paramètres!$A$1:$I$89,5,0)</f>
        <v>-8.7434273154940449E-13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428.8489304403459</v>
      </c>
      <c r="BJ154" s="62">
        <f t="shared" si="146"/>
        <v>247.01165577562966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-1.7053025658242404E-13</v>
      </c>
      <c r="BZ154" s="14">
        <f>BY154*VLOOKUP('Données projet'!$B$12,Paramètres!$A$1:$I$89,3,0)*VLOOKUP('Données projet'!$B$12,Paramètres!$A$1:$I$89,5,0)</f>
        <v>-1.250327841262333E-13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290.85271051443431</v>
      </c>
      <c r="CE154" s="62">
        <f t="shared" si="148"/>
        <v>318.66958823451142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1.1368683772161603E-13</v>
      </c>
      <c r="CU154" s="18">
        <f>CT154*VLOOKUP('Données projet'!$B$13,Paramètres!$A$1:$I$89,3,0)*VLOOKUP('Données projet'!$B$13,Paramètres!$A$1:$I$89,5,0)</f>
        <v>8.8675733422860506E-14</v>
      </c>
      <c r="CV154" s="14">
        <f t="shared" ref="CV154:CV203" si="173">EXP(-1.0587+0.8836*LN(CU154)+0.284)</f>
        <v>1.3509285393066301E-12</v>
      </c>
      <c r="CW154" s="22">
        <f t="shared" ref="CW154:CW203" si="174">(CU154+CV154)*0.475*44/12</f>
        <v>2.5073107750038623E-12</v>
      </c>
      <c r="CX154" s="62">
        <f t="shared" si="122"/>
        <v>293.33333333333582</v>
      </c>
      <c r="CY154" s="62">
        <f ca="1">AVERAGE(OFFSET($CX$3,0,0,'Données projet'!$E$13+1,1))-AVERAGE(OFFSET($H$3,0,0,'Données projet'!$E$13+1,1))</f>
        <v>292.57482726862594</v>
      </c>
      <c r="CZ154" s="62">
        <f t="shared" si="150"/>
        <v>283.48738729114024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-1.7053025658242404E-13</v>
      </c>
      <c r="DP154" s="18">
        <f>DO154*VLOOKUP('Données projet'!$B$14,Paramètres!$A$1:$I$89,3,0)*VLOOKUP('Données projet'!$B$14,Paramètres!$A$1:$I$89,5,0)</f>
        <v>-1.3567387213697657E-13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25"/>
        <v>#NUM!</v>
      </c>
      <c r="DT154" s="62">
        <f ca="1">AVERAGE(OFFSET($DS$3,0,0,'Données projet'!$E$14+1,1))-AVERAGE(OFFSET($H$3,0,0,'Données projet'!$E$14+1,1))</f>
        <v>312.53381881960331</v>
      </c>
      <c r="DU154" s="62">
        <f t="shared" si="152"/>
        <v>342.06887933351783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1.1368683772161603E-13</v>
      </c>
      <c r="EK154" s="18">
        <f>EJ154*VLOOKUP('Données projet'!$B$15,Paramètres!$A$1:$I$89,3,0)*VLOOKUP('Données projet'!$B$15,Paramètres!$A$1:$I$89,5,0)</f>
        <v>1.0818439477588981E-13</v>
      </c>
      <c r="EL154" s="14">
        <f t="shared" ref="EL154:EL203" si="179">EXP(-1.0587+0.8836*LN(EK154)+0.284)</f>
        <v>1.6104228458716316E-12</v>
      </c>
      <c r="EM154" s="22">
        <f t="shared" ref="EM154:EM203" si="180">(EK154+EL154)*0.475*44/12</f>
        <v>2.9932409441277661E-12</v>
      </c>
      <c r="EN154" s="62">
        <f t="shared" si="128"/>
        <v>293.33333333333633</v>
      </c>
      <c r="EO154" s="62">
        <f ca="1">AVERAGE(OFFSET($EN$3,0,0,'Données projet'!$E$15+1,1))-AVERAGE(OFFSET($H$3,0,0,'Données projet'!$E$15+1,1))</f>
        <v>363.37916970915211</v>
      </c>
      <c r="EP154" s="62">
        <f t="shared" si="154"/>
        <v>281.52963027844595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-6.2527760746888816E-13</v>
      </c>
      <c r="FF154" s="18">
        <f>FE154*VLOOKUP('Données projet'!$B$16,Paramètres!$A$1:$I$89,3,0)*VLOOKUP('Données projet'!$B$16,Paramètres!$A$1:$I$89,5,0)</f>
        <v>-2.9262992029543964E-13</v>
      </c>
      <c r="FG154" s="14" t="e">
        <f t="shared" ref="FG154:FG203" si="182">EXP(-1.0587+0.8836*LN(FF154)+0.284)</f>
        <v>#NUM!</v>
      </c>
      <c r="FH154" s="22" t="e">
        <f t="shared" ref="FH154:FH203" si="183">(FF154+FG154)*0.475*44/12</f>
        <v>#NUM!</v>
      </c>
      <c r="FI154" s="62" t="e">
        <f t="shared" si="131"/>
        <v>#NUM!</v>
      </c>
      <c r="FJ154" s="62">
        <f ca="1">AVERAGE(OFFSET($FI$3,0,0,'Données projet'!$E$16+1,1))-AVERAGE(OFFSET($H$3,0,0,'Données projet'!$E$16+1,1))</f>
        <v>245.47494516762282</v>
      </c>
      <c r="FK154" s="62">
        <f t="shared" si="156"/>
        <v>145.54897745089966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-9.6633812063373625E-13</v>
      </c>
      <c r="GA154" s="18">
        <f>FZ154*VLOOKUP('Données projet'!$B$17,Paramètres!$A$1:$I$89,3,0)*VLOOKUP('Données projet'!$B$17,Paramètres!$A$1:$I$89,5,0)</f>
        <v>-9.3464223027694966E-13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2" t="e">
        <f t="shared" si="134"/>
        <v>#NUM!</v>
      </c>
      <c r="GE154" s="62">
        <f ca="1">AVERAGE(OFFSET($GD$3,0,0,'Données projet'!$E$17+1,1))-AVERAGE(OFFSET($H$3,0,0,'Données projet'!$E$17+1,1))</f>
        <v>455.50822833641354</v>
      </c>
      <c r="GF154" s="62">
        <f t="shared" si="158"/>
        <v>261.14722581688039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1.7053025658242404E-13</v>
      </c>
      <c r="GV154" s="18">
        <f>GU154*VLOOKUP('Données projet'!$B$18,Paramètres!$A$1:$I$89,3,0)*VLOOKUP('Données projet'!$B$18,Paramètres!$A$1:$I$89,5,0)</f>
        <v>1.1439169611549005E-13</v>
      </c>
      <c r="GW154" s="14">
        <f t="shared" ref="GW154:GW203" si="188">EXP(-1.0587+0.8836*LN(GV154)+0.284)</f>
        <v>1.6918016515029816E-12</v>
      </c>
      <c r="GX154" s="22">
        <f t="shared" ref="GX154:GX203" si="189">(GV154+GW154)*0.475*44/12</f>
        <v>3.1457867471021712E-12</v>
      </c>
      <c r="GY154" s="62">
        <f t="shared" si="137"/>
        <v>293.33333333333644</v>
      </c>
      <c r="GZ154" s="62">
        <f ca="1">AVERAGE(OFFSET($GY$3,0,0,'Données projet'!$E$18+1,1))-AVERAGE(OFFSET($H$3,0,0,'Données projet'!$E$18+1,1))</f>
        <v>312.06797204903796</v>
      </c>
      <c r="HA154" s="62">
        <f t="shared" si="160"/>
        <v>258.20189001775151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projet'!$B$18,Paramètres!$A$1:$I$89,3,0)*0.475*44/12</f>
        <v>0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190">SUM(HG154:HI154)</f>
        <v>0</v>
      </c>
    </row>
    <row r="155" spans="1:218" x14ac:dyDescent="0.25">
      <c r="A155" s="11">
        <f t="shared" si="161"/>
        <v>152</v>
      </c>
      <c r="B155" s="76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9">
        <f t="shared" si="110"/>
        <v>256.66666666666669</v>
      </c>
      <c r="I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2.2737367544323206E-13</v>
      </c>
      <c r="O155" s="14">
        <f>N155*VLOOKUP('Données projet'!$B$9,Paramètres!$A$1:$I$89,3,0)*VLOOKUP('Données projet'!$B$9,Paramètres!$A$1:$I$89,5,0)</f>
        <v>1.2710188457276673E-13</v>
      </c>
      <c r="P155" s="14">
        <f t="shared" si="141"/>
        <v>1.856866851063998E-12</v>
      </c>
      <c r="Q155" s="22">
        <f t="shared" si="162"/>
        <v>3.4554122145673649E-12</v>
      </c>
      <c r="R155" s="62">
        <f t="shared" si="109"/>
        <v>293.33333333333678</v>
      </c>
      <c r="S155" s="62">
        <f ca="1">AVERAGE(OFFSET($R$3,0,0,'Données projet'!$E$9+1,1))-AVERAGE(OFFSET($H$3,0,0,'Données projet'!$E$9+1,1))</f>
        <v>323.98185264074681</v>
      </c>
      <c r="T155" s="62">
        <f t="shared" si="142"/>
        <v>301.22207291854005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0.3983421418001955</v>
      </c>
      <c r="AA155" s="23">
        <f>EXP(-LN(2)/25)*AA154+(1-EXP(-LN(2)/25))/(LN(2)/25)*Calculateur!V155*Calculateur!X155*VLOOKUP('Données projet'!$B$9,Paramètres!$A$1:$I$89,3,0)*0.475*44/12</f>
        <v>0.2800821263019434</v>
      </c>
      <c r="AB155" s="23">
        <f>EXP(-LN(2)/2)*AB154+(1-EXP(-LN(2)/2))/(LN(2)/2)*V155*Y155*VLOOKUP('Données projet'!$B$9,Paramètres!$A$1:$I$89,3,0)*0.475*44/12</f>
        <v>2.6401655079258838E-18</v>
      </c>
      <c r="AC155" s="24">
        <f t="shared" si="163"/>
        <v>0.67842426810213885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-2.8421709430404007E-13</v>
      </c>
      <c r="AJ155" s="14">
        <f>AI155*VLOOKUP('Données projet'!$B$10,Paramètres!$A$1:$I$89,3,0)*VLOOKUP('Données projet'!$B$10,Paramètres!$A$1:$I$89,5,0)</f>
        <v>-1.69961822393816E-13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289.12367833861299</v>
      </c>
      <c r="AO155" s="62">
        <f t="shared" si="144"/>
        <v>229.06617320689003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1.7984030402137154E-18</v>
      </c>
      <c r="AX155" s="23">
        <f t="shared" si="166"/>
        <v>1.7984030402137154E-18</v>
      </c>
      <c r="AY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-9.6633812063373625E-13</v>
      </c>
      <c r="BE155" s="14">
        <f>BD155*VLOOKUP('Données projet'!$B$11,Paramètres!$A$1:$I$89,3,0)*VLOOKUP('Données projet'!$B$11,Paramètres!$A$1:$I$89,5,0)</f>
        <v>-8.7434273154940449E-13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428.8489304403459</v>
      </c>
      <c r="BJ155" s="62">
        <f t="shared" si="146"/>
        <v>247.01165577562966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-1.7053025658242404E-13</v>
      </c>
      <c r="BZ155" s="14">
        <f>BY155*VLOOKUP('Données projet'!$B$12,Paramètres!$A$1:$I$89,3,0)*VLOOKUP('Données projet'!$B$12,Paramètres!$A$1:$I$89,5,0)</f>
        <v>-1.250327841262333E-13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290.85271051443431</v>
      </c>
      <c r="CE155" s="62">
        <f t="shared" si="148"/>
        <v>318.66958823451142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1.1368683772161603E-13</v>
      </c>
      <c r="CU155" s="18">
        <f>CT155*VLOOKUP('Données projet'!$B$13,Paramètres!$A$1:$I$89,3,0)*VLOOKUP('Données projet'!$B$13,Paramètres!$A$1:$I$89,5,0)</f>
        <v>8.8675733422860506E-14</v>
      </c>
      <c r="CV155" s="14">
        <f t="shared" si="173"/>
        <v>1.3509285393066301E-12</v>
      </c>
      <c r="CW155" s="22">
        <f t="shared" si="174"/>
        <v>2.5073107750038623E-12</v>
      </c>
      <c r="CX155" s="62">
        <f t="shared" si="122"/>
        <v>293.33333333333582</v>
      </c>
      <c r="CY155" s="62">
        <f ca="1">AVERAGE(OFFSET($CX$3,0,0,'Données projet'!$E$13+1,1))-AVERAGE(OFFSET($H$3,0,0,'Données projet'!$E$13+1,1))</f>
        <v>292.57482726862594</v>
      </c>
      <c r="CZ155" s="62">
        <f t="shared" si="150"/>
        <v>283.48738729114024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-1.7053025658242404E-13</v>
      </c>
      <c r="DP155" s="18">
        <f>DO155*VLOOKUP('Données projet'!$B$14,Paramètres!$A$1:$I$89,3,0)*VLOOKUP('Données projet'!$B$14,Paramètres!$A$1:$I$89,5,0)</f>
        <v>-1.3567387213697657E-13</v>
      </c>
      <c r="DQ155" s="14" t="e">
        <f t="shared" si="176"/>
        <v>#NUM!</v>
      </c>
      <c r="DR155" s="22" t="e">
        <f t="shared" si="177"/>
        <v>#NUM!</v>
      </c>
      <c r="DS155" s="62" t="e">
        <f t="shared" si="125"/>
        <v>#NUM!</v>
      </c>
      <c r="DT155" s="62">
        <f ca="1">AVERAGE(OFFSET($DS$3,0,0,'Données projet'!$E$14+1,1))-AVERAGE(OFFSET($H$3,0,0,'Données projet'!$E$14+1,1))</f>
        <v>312.53381881960331</v>
      </c>
      <c r="DU155" s="62">
        <f t="shared" si="152"/>
        <v>342.06887933351783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1.1368683772161603E-13</v>
      </c>
      <c r="EK155" s="18">
        <f>EJ155*VLOOKUP('Données projet'!$B$15,Paramètres!$A$1:$I$89,3,0)*VLOOKUP('Données projet'!$B$15,Paramètres!$A$1:$I$89,5,0)</f>
        <v>1.0818439477588981E-13</v>
      </c>
      <c r="EL155" s="14">
        <f t="shared" si="179"/>
        <v>1.6104228458716316E-12</v>
      </c>
      <c r="EM155" s="22">
        <f t="shared" si="180"/>
        <v>2.9932409441277661E-12</v>
      </c>
      <c r="EN155" s="62">
        <f t="shared" si="128"/>
        <v>293.33333333333633</v>
      </c>
      <c r="EO155" s="62">
        <f ca="1">AVERAGE(OFFSET($EN$3,0,0,'Données projet'!$E$15+1,1))-AVERAGE(OFFSET($H$3,0,0,'Données projet'!$E$15+1,1))</f>
        <v>363.37916970915211</v>
      </c>
      <c r="EP155" s="62">
        <f t="shared" si="154"/>
        <v>281.52963027844595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-6.2527760746888816E-13</v>
      </c>
      <c r="FF155" s="18">
        <f>FE155*VLOOKUP('Données projet'!$B$16,Paramètres!$A$1:$I$89,3,0)*VLOOKUP('Données projet'!$B$16,Paramètres!$A$1:$I$89,5,0)</f>
        <v>-2.9262992029543964E-13</v>
      </c>
      <c r="FG155" s="14" t="e">
        <f t="shared" si="182"/>
        <v>#NUM!</v>
      </c>
      <c r="FH155" s="22" t="e">
        <f t="shared" si="183"/>
        <v>#NUM!</v>
      </c>
      <c r="FI155" s="62" t="e">
        <f t="shared" si="131"/>
        <v>#NUM!</v>
      </c>
      <c r="FJ155" s="62">
        <f ca="1">AVERAGE(OFFSET($FI$3,0,0,'Données projet'!$E$16+1,1))-AVERAGE(OFFSET($H$3,0,0,'Données projet'!$E$16+1,1))</f>
        <v>245.47494516762282</v>
      </c>
      <c r="FK155" s="62">
        <f t="shared" si="156"/>
        <v>145.54897745089966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-9.6633812063373625E-13</v>
      </c>
      <c r="GA155" s="18">
        <f>FZ155*VLOOKUP('Données projet'!$B$17,Paramètres!$A$1:$I$89,3,0)*VLOOKUP('Données projet'!$B$17,Paramètres!$A$1:$I$89,5,0)</f>
        <v>-9.3464223027694966E-13</v>
      </c>
      <c r="GB155" s="14" t="e">
        <f t="shared" si="185"/>
        <v>#NUM!</v>
      </c>
      <c r="GC155" s="22" t="e">
        <f t="shared" si="186"/>
        <v>#NUM!</v>
      </c>
      <c r="GD155" s="62" t="e">
        <f t="shared" si="134"/>
        <v>#NUM!</v>
      </c>
      <c r="GE155" s="62">
        <f ca="1">AVERAGE(OFFSET($GD$3,0,0,'Données projet'!$E$17+1,1))-AVERAGE(OFFSET($H$3,0,0,'Données projet'!$E$17+1,1))</f>
        <v>455.50822833641354</v>
      </c>
      <c r="GF155" s="62">
        <f t="shared" si="158"/>
        <v>261.14722581688039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1.7053025658242404E-13</v>
      </c>
      <c r="GV155" s="18">
        <f>GU155*VLOOKUP('Données projet'!$B$18,Paramètres!$A$1:$I$89,3,0)*VLOOKUP('Données projet'!$B$18,Paramètres!$A$1:$I$89,5,0)</f>
        <v>1.1439169611549005E-13</v>
      </c>
      <c r="GW155" s="14">
        <f t="shared" si="188"/>
        <v>1.6918016515029816E-12</v>
      </c>
      <c r="GX155" s="22">
        <f t="shared" si="189"/>
        <v>3.1457867471021712E-12</v>
      </c>
      <c r="GY155" s="62">
        <f t="shared" si="137"/>
        <v>293.33333333333644</v>
      </c>
      <c r="GZ155" s="62">
        <f ca="1">AVERAGE(OFFSET($GY$3,0,0,'Données projet'!$E$18+1,1))-AVERAGE(OFFSET($H$3,0,0,'Données projet'!$E$18+1,1))</f>
        <v>312.06797204903796</v>
      </c>
      <c r="HA155" s="62">
        <f t="shared" si="160"/>
        <v>258.20189001775151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projet'!$B$18,Paramètres!$A$1:$I$89,3,0)*0.475*44/12</f>
        <v>0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190"/>
        <v>0</v>
      </c>
    </row>
    <row r="156" spans="1:218" x14ac:dyDescent="0.25">
      <c r="A156" s="11">
        <f t="shared" si="161"/>
        <v>153</v>
      </c>
      <c r="B156" s="76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9">
        <f t="shared" si="110"/>
        <v>256.66666666666669</v>
      </c>
      <c r="I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2.2737367544323206E-13</v>
      </c>
      <c r="O156" s="14">
        <f>N156*VLOOKUP('Données projet'!$B$9,Paramètres!$A$1:$I$89,3,0)*VLOOKUP('Données projet'!$B$9,Paramètres!$A$1:$I$89,5,0)</f>
        <v>1.2710188457276673E-13</v>
      </c>
      <c r="P156" s="14">
        <f t="shared" si="141"/>
        <v>1.856866851063998E-12</v>
      </c>
      <c r="Q156" s="22">
        <f t="shared" si="162"/>
        <v>3.4554122145673649E-12</v>
      </c>
      <c r="R156" s="62">
        <f t="shared" si="109"/>
        <v>293.33333333333678</v>
      </c>
      <c r="S156" s="62">
        <f ca="1">AVERAGE(OFFSET($R$3,0,0,'Données projet'!$E$9+1,1))-AVERAGE(OFFSET($H$3,0,0,'Données projet'!$E$9+1,1))</f>
        <v>323.98185264074681</v>
      </c>
      <c r="T156" s="62">
        <f t="shared" si="142"/>
        <v>301.22207291854005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0.39053089536420937</v>
      </c>
      <c r="AA156" s="23">
        <f>EXP(-LN(2)/25)*AA155+(1-EXP(-LN(2)/25))/(LN(2)/25)*Calculateur!V156*Calculateur!X156*VLOOKUP('Données projet'!$B$9,Paramètres!$A$1:$I$89,3,0)*0.475*44/12</f>
        <v>0.27242326582933785</v>
      </c>
      <c r="AB156" s="23">
        <f>EXP(-LN(2)/2)*AB155+(1-EXP(-LN(2)/2))/(LN(2)/2)*V156*Y156*VLOOKUP('Données projet'!$B$9,Paramètres!$A$1:$I$89,3,0)*0.475*44/12</f>
        <v>1.866878934109218E-18</v>
      </c>
      <c r="AC156" s="24">
        <f t="shared" si="163"/>
        <v>0.66295416119354722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-2.8421709430404007E-13</v>
      </c>
      <c r="AJ156" s="14">
        <f>AI156*VLOOKUP('Données projet'!$B$10,Paramètres!$A$1:$I$89,3,0)*VLOOKUP('Données projet'!$B$10,Paramètres!$A$1:$I$89,5,0)</f>
        <v>-1.69961822393816E-13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289.12367833861299</v>
      </c>
      <c r="AO156" s="62">
        <f t="shared" si="144"/>
        <v>229.06617320689003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1.2716629850416215E-18</v>
      </c>
      <c r="AX156" s="23">
        <f t="shared" si="166"/>
        <v>1.2716629850416215E-18</v>
      </c>
      <c r="AY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-9.6633812063373625E-13</v>
      </c>
      <c r="BE156" s="14">
        <f>BD156*VLOOKUP('Données projet'!$B$11,Paramètres!$A$1:$I$89,3,0)*VLOOKUP('Données projet'!$B$11,Paramètres!$A$1:$I$89,5,0)</f>
        <v>-8.7434273154940449E-13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428.8489304403459</v>
      </c>
      <c r="BJ156" s="62">
        <f t="shared" si="146"/>
        <v>247.01165577562966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-1.7053025658242404E-13</v>
      </c>
      <c r="BZ156" s="14">
        <f>BY156*VLOOKUP('Données projet'!$B$12,Paramètres!$A$1:$I$89,3,0)*VLOOKUP('Données projet'!$B$12,Paramètres!$A$1:$I$89,5,0)</f>
        <v>-1.250327841262333E-13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290.85271051443431</v>
      </c>
      <c r="CE156" s="62">
        <f t="shared" si="148"/>
        <v>318.66958823451142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1.1368683772161603E-13</v>
      </c>
      <c r="CU156" s="18">
        <f>CT156*VLOOKUP('Données projet'!$B$13,Paramètres!$A$1:$I$89,3,0)*VLOOKUP('Données projet'!$B$13,Paramètres!$A$1:$I$89,5,0)</f>
        <v>8.8675733422860506E-14</v>
      </c>
      <c r="CV156" s="14">
        <f t="shared" si="173"/>
        <v>1.3509285393066301E-12</v>
      </c>
      <c r="CW156" s="22">
        <f t="shared" si="174"/>
        <v>2.5073107750038623E-12</v>
      </c>
      <c r="CX156" s="62">
        <f t="shared" si="122"/>
        <v>293.33333333333582</v>
      </c>
      <c r="CY156" s="62">
        <f ca="1">AVERAGE(OFFSET($CX$3,0,0,'Données projet'!$E$13+1,1))-AVERAGE(OFFSET($H$3,0,0,'Données projet'!$E$13+1,1))</f>
        <v>292.57482726862594</v>
      </c>
      <c r="CZ156" s="62">
        <f t="shared" si="150"/>
        <v>283.48738729114024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-1.7053025658242404E-13</v>
      </c>
      <c r="DP156" s="18">
        <f>DO156*VLOOKUP('Données projet'!$B$14,Paramètres!$A$1:$I$89,3,0)*VLOOKUP('Données projet'!$B$14,Paramètres!$A$1:$I$89,5,0)</f>
        <v>-1.3567387213697657E-13</v>
      </c>
      <c r="DQ156" s="14" t="e">
        <f t="shared" si="176"/>
        <v>#NUM!</v>
      </c>
      <c r="DR156" s="22" t="e">
        <f t="shared" si="177"/>
        <v>#NUM!</v>
      </c>
      <c r="DS156" s="62" t="e">
        <f t="shared" si="125"/>
        <v>#NUM!</v>
      </c>
      <c r="DT156" s="62">
        <f ca="1">AVERAGE(OFFSET($DS$3,0,0,'Données projet'!$E$14+1,1))-AVERAGE(OFFSET($H$3,0,0,'Données projet'!$E$14+1,1))</f>
        <v>312.53381881960331</v>
      </c>
      <c r="DU156" s="62">
        <f t="shared" si="152"/>
        <v>342.06887933351783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1.1368683772161603E-13</v>
      </c>
      <c r="EK156" s="18">
        <f>EJ156*VLOOKUP('Données projet'!$B$15,Paramètres!$A$1:$I$89,3,0)*VLOOKUP('Données projet'!$B$15,Paramètres!$A$1:$I$89,5,0)</f>
        <v>1.0818439477588981E-13</v>
      </c>
      <c r="EL156" s="14">
        <f t="shared" si="179"/>
        <v>1.6104228458716316E-12</v>
      </c>
      <c r="EM156" s="22">
        <f t="shared" si="180"/>
        <v>2.9932409441277661E-12</v>
      </c>
      <c r="EN156" s="62">
        <f t="shared" si="128"/>
        <v>293.33333333333633</v>
      </c>
      <c r="EO156" s="62">
        <f ca="1">AVERAGE(OFFSET($EN$3,0,0,'Données projet'!$E$15+1,1))-AVERAGE(OFFSET($H$3,0,0,'Données projet'!$E$15+1,1))</f>
        <v>363.37916970915211</v>
      </c>
      <c r="EP156" s="62">
        <f t="shared" si="154"/>
        <v>281.52963027844595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-6.2527760746888816E-13</v>
      </c>
      <c r="FF156" s="18">
        <f>FE156*VLOOKUP('Données projet'!$B$16,Paramètres!$A$1:$I$89,3,0)*VLOOKUP('Données projet'!$B$16,Paramètres!$A$1:$I$89,5,0)</f>
        <v>-2.9262992029543964E-13</v>
      </c>
      <c r="FG156" s="14" t="e">
        <f t="shared" si="182"/>
        <v>#NUM!</v>
      </c>
      <c r="FH156" s="22" t="e">
        <f t="shared" si="183"/>
        <v>#NUM!</v>
      </c>
      <c r="FI156" s="62" t="e">
        <f t="shared" si="131"/>
        <v>#NUM!</v>
      </c>
      <c r="FJ156" s="62">
        <f ca="1">AVERAGE(OFFSET($FI$3,0,0,'Données projet'!$E$16+1,1))-AVERAGE(OFFSET($H$3,0,0,'Données projet'!$E$16+1,1))</f>
        <v>245.47494516762282</v>
      </c>
      <c r="FK156" s="62">
        <f t="shared" si="156"/>
        <v>145.54897745089966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-9.6633812063373625E-13</v>
      </c>
      <c r="GA156" s="18">
        <f>FZ156*VLOOKUP('Données projet'!$B$17,Paramètres!$A$1:$I$89,3,0)*VLOOKUP('Données projet'!$B$17,Paramètres!$A$1:$I$89,5,0)</f>
        <v>-9.3464223027694966E-13</v>
      </c>
      <c r="GB156" s="14" t="e">
        <f t="shared" si="185"/>
        <v>#NUM!</v>
      </c>
      <c r="GC156" s="22" t="e">
        <f t="shared" si="186"/>
        <v>#NUM!</v>
      </c>
      <c r="GD156" s="62" t="e">
        <f t="shared" si="134"/>
        <v>#NUM!</v>
      </c>
      <c r="GE156" s="62">
        <f ca="1">AVERAGE(OFFSET($GD$3,0,0,'Données projet'!$E$17+1,1))-AVERAGE(OFFSET($H$3,0,0,'Données projet'!$E$17+1,1))</f>
        <v>455.50822833641354</v>
      </c>
      <c r="GF156" s="62">
        <f t="shared" si="158"/>
        <v>261.14722581688039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1.7053025658242404E-13</v>
      </c>
      <c r="GV156" s="18">
        <f>GU156*VLOOKUP('Données projet'!$B$18,Paramètres!$A$1:$I$89,3,0)*VLOOKUP('Données projet'!$B$18,Paramètres!$A$1:$I$89,5,0)</f>
        <v>1.1439169611549005E-13</v>
      </c>
      <c r="GW156" s="14">
        <f t="shared" si="188"/>
        <v>1.6918016515029816E-12</v>
      </c>
      <c r="GX156" s="22">
        <f t="shared" si="189"/>
        <v>3.1457867471021712E-12</v>
      </c>
      <c r="GY156" s="62">
        <f t="shared" si="137"/>
        <v>293.33333333333644</v>
      </c>
      <c r="GZ156" s="62">
        <f ca="1">AVERAGE(OFFSET($GY$3,0,0,'Données projet'!$E$18+1,1))-AVERAGE(OFFSET($H$3,0,0,'Données projet'!$E$18+1,1))</f>
        <v>312.06797204903796</v>
      </c>
      <c r="HA156" s="62">
        <f t="shared" si="160"/>
        <v>258.20189001775151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projet'!$B$18,Paramètres!$A$1:$I$89,3,0)*0.475*44/12</f>
        <v>0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190"/>
        <v>0</v>
      </c>
    </row>
    <row r="157" spans="1:218" x14ac:dyDescent="0.25">
      <c r="A157" s="11">
        <f t="shared" si="161"/>
        <v>154</v>
      </c>
      <c r="B157" s="76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9">
        <f t="shared" si="110"/>
        <v>256.66666666666669</v>
      </c>
      <c r="I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2.2737367544323206E-13</v>
      </c>
      <c r="O157" s="14">
        <f>N157*VLOOKUP('Données projet'!$B$9,Paramètres!$A$1:$I$89,3,0)*VLOOKUP('Données projet'!$B$9,Paramètres!$A$1:$I$89,5,0)</f>
        <v>1.2710188457276673E-13</v>
      </c>
      <c r="P157" s="14">
        <f t="shared" si="141"/>
        <v>1.856866851063998E-12</v>
      </c>
      <c r="Q157" s="22">
        <f t="shared" si="162"/>
        <v>3.4554122145673649E-12</v>
      </c>
      <c r="R157" s="62">
        <f t="shared" si="109"/>
        <v>293.33333333333678</v>
      </c>
      <c r="S157" s="62">
        <f ca="1">AVERAGE(OFFSET($R$3,0,0,'Données projet'!$E$9+1,1))-AVERAGE(OFFSET($H$3,0,0,'Données projet'!$E$9+1,1))</f>
        <v>323.98185264074681</v>
      </c>
      <c r="T157" s="62">
        <f t="shared" si="142"/>
        <v>301.22207291854005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0.38287282270644307</v>
      </c>
      <c r="AA157" s="23">
        <f>EXP(-LN(2)/25)*AA156+(1-EXP(-LN(2)/25))/(LN(2)/25)*Calculateur!V157*Calculateur!X157*VLOOKUP('Données projet'!$B$9,Paramètres!$A$1:$I$89,3,0)*0.475*44/12</f>
        <v>0.26497383729911766</v>
      </c>
      <c r="AB157" s="23">
        <f>EXP(-LN(2)/2)*AB156+(1-EXP(-LN(2)/2))/(LN(2)/2)*V157*Y157*VLOOKUP('Données projet'!$B$9,Paramètres!$A$1:$I$89,3,0)*0.475*44/12</f>
        <v>1.3200827539629419E-18</v>
      </c>
      <c r="AC157" s="24">
        <f t="shared" si="163"/>
        <v>0.64784666000556079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-2.8421709430404007E-13</v>
      </c>
      <c r="AJ157" s="14">
        <f>AI157*VLOOKUP('Données projet'!$B$10,Paramètres!$A$1:$I$89,3,0)*VLOOKUP('Données projet'!$B$10,Paramètres!$A$1:$I$89,5,0)</f>
        <v>-1.69961822393816E-13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289.12367833861299</v>
      </c>
      <c r="AO157" s="62">
        <f t="shared" si="144"/>
        <v>229.06617320689003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8.9920152010685772E-19</v>
      </c>
      <c r="AX157" s="23">
        <f t="shared" si="166"/>
        <v>8.9920152010685772E-19</v>
      </c>
      <c r="AY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-9.6633812063373625E-13</v>
      </c>
      <c r="BE157" s="14">
        <f>BD157*VLOOKUP('Données projet'!$B$11,Paramètres!$A$1:$I$89,3,0)*VLOOKUP('Données projet'!$B$11,Paramètres!$A$1:$I$89,5,0)</f>
        <v>-8.7434273154940449E-13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428.8489304403459</v>
      </c>
      <c r="BJ157" s="62">
        <f t="shared" si="146"/>
        <v>247.01165577562966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-1.7053025658242404E-13</v>
      </c>
      <c r="BZ157" s="14">
        <f>BY157*VLOOKUP('Données projet'!$B$12,Paramètres!$A$1:$I$89,3,0)*VLOOKUP('Données projet'!$B$12,Paramètres!$A$1:$I$89,5,0)</f>
        <v>-1.250327841262333E-13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290.85271051443431</v>
      </c>
      <c r="CE157" s="62">
        <f t="shared" si="148"/>
        <v>318.66958823451142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1.1368683772161603E-13</v>
      </c>
      <c r="CU157" s="18">
        <f>CT157*VLOOKUP('Données projet'!$B$13,Paramètres!$A$1:$I$89,3,0)*VLOOKUP('Données projet'!$B$13,Paramètres!$A$1:$I$89,5,0)</f>
        <v>8.8675733422860506E-14</v>
      </c>
      <c r="CV157" s="14">
        <f t="shared" si="173"/>
        <v>1.3509285393066301E-12</v>
      </c>
      <c r="CW157" s="22">
        <f t="shared" si="174"/>
        <v>2.5073107750038623E-12</v>
      </c>
      <c r="CX157" s="62">
        <f t="shared" si="122"/>
        <v>293.33333333333582</v>
      </c>
      <c r="CY157" s="62">
        <f ca="1">AVERAGE(OFFSET($CX$3,0,0,'Données projet'!$E$13+1,1))-AVERAGE(OFFSET($H$3,0,0,'Données projet'!$E$13+1,1))</f>
        <v>292.57482726862594</v>
      </c>
      <c r="CZ157" s="62">
        <f t="shared" si="150"/>
        <v>283.48738729114024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-1.7053025658242404E-13</v>
      </c>
      <c r="DP157" s="18">
        <f>DO157*VLOOKUP('Données projet'!$B$14,Paramètres!$A$1:$I$89,3,0)*VLOOKUP('Données projet'!$B$14,Paramètres!$A$1:$I$89,5,0)</f>
        <v>-1.3567387213697657E-13</v>
      </c>
      <c r="DQ157" s="14" t="e">
        <f t="shared" si="176"/>
        <v>#NUM!</v>
      </c>
      <c r="DR157" s="22" t="e">
        <f t="shared" si="177"/>
        <v>#NUM!</v>
      </c>
      <c r="DS157" s="62" t="e">
        <f t="shared" si="125"/>
        <v>#NUM!</v>
      </c>
      <c r="DT157" s="62">
        <f ca="1">AVERAGE(OFFSET($DS$3,0,0,'Données projet'!$E$14+1,1))-AVERAGE(OFFSET($H$3,0,0,'Données projet'!$E$14+1,1))</f>
        <v>312.53381881960331</v>
      </c>
      <c r="DU157" s="62">
        <f t="shared" si="152"/>
        <v>342.06887933351783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1.1368683772161603E-13</v>
      </c>
      <c r="EK157" s="18">
        <f>EJ157*VLOOKUP('Données projet'!$B$15,Paramètres!$A$1:$I$89,3,0)*VLOOKUP('Données projet'!$B$15,Paramètres!$A$1:$I$89,5,0)</f>
        <v>1.0818439477588981E-13</v>
      </c>
      <c r="EL157" s="14">
        <f t="shared" si="179"/>
        <v>1.6104228458716316E-12</v>
      </c>
      <c r="EM157" s="22">
        <f t="shared" si="180"/>
        <v>2.9932409441277661E-12</v>
      </c>
      <c r="EN157" s="62">
        <f t="shared" si="128"/>
        <v>293.33333333333633</v>
      </c>
      <c r="EO157" s="62">
        <f ca="1">AVERAGE(OFFSET($EN$3,0,0,'Données projet'!$E$15+1,1))-AVERAGE(OFFSET($H$3,0,0,'Données projet'!$E$15+1,1))</f>
        <v>363.37916970915211</v>
      </c>
      <c r="EP157" s="62">
        <f t="shared" si="154"/>
        <v>281.52963027844595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-6.2527760746888816E-13</v>
      </c>
      <c r="FF157" s="18">
        <f>FE157*VLOOKUP('Données projet'!$B$16,Paramètres!$A$1:$I$89,3,0)*VLOOKUP('Données projet'!$B$16,Paramètres!$A$1:$I$89,5,0)</f>
        <v>-2.9262992029543964E-13</v>
      </c>
      <c r="FG157" s="14" t="e">
        <f t="shared" si="182"/>
        <v>#NUM!</v>
      </c>
      <c r="FH157" s="22" t="e">
        <f t="shared" si="183"/>
        <v>#NUM!</v>
      </c>
      <c r="FI157" s="62" t="e">
        <f t="shared" si="131"/>
        <v>#NUM!</v>
      </c>
      <c r="FJ157" s="62">
        <f ca="1">AVERAGE(OFFSET($FI$3,0,0,'Données projet'!$E$16+1,1))-AVERAGE(OFFSET($H$3,0,0,'Données projet'!$E$16+1,1))</f>
        <v>245.47494516762282</v>
      </c>
      <c r="FK157" s="62">
        <f t="shared" si="156"/>
        <v>145.54897745089966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-9.6633812063373625E-13</v>
      </c>
      <c r="GA157" s="18">
        <f>FZ157*VLOOKUP('Données projet'!$B$17,Paramètres!$A$1:$I$89,3,0)*VLOOKUP('Données projet'!$B$17,Paramètres!$A$1:$I$89,5,0)</f>
        <v>-9.3464223027694966E-13</v>
      </c>
      <c r="GB157" s="14" t="e">
        <f t="shared" si="185"/>
        <v>#NUM!</v>
      </c>
      <c r="GC157" s="22" t="e">
        <f t="shared" si="186"/>
        <v>#NUM!</v>
      </c>
      <c r="GD157" s="62" t="e">
        <f t="shared" si="134"/>
        <v>#NUM!</v>
      </c>
      <c r="GE157" s="62">
        <f ca="1">AVERAGE(OFFSET($GD$3,0,0,'Données projet'!$E$17+1,1))-AVERAGE(OFFSET($H$3,0,0,'Données projet'!$E$17+1,1))</f>
        <v>455.50822833641354</v>
      </c>
      <c r="GF157" s="62">
        <f t="shared" si="158"/>
        <v>261.14722581688039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1.7053025658242404E-13</v>
      </c>
      <c r="GV157" s="18">
        <f>GU157*VLOOKUP('Données projet'!$B$18,Paramètres!$A$1:$I$89,3,0)*VLOOKUP('Données projet'!$B$18,Paramètres!$A$1:$I$89,5,0)</f>
        <v>1.1439169611549005E-13</v>
      </c>
      <c r="GW157" s="14">
        <f t="shared" si="188"/>
        <v>1.6918016515029816E-12</v>
      </c>
      <c r="GX157" s="22">
        <f t="shared" si="189"/>
        <v>3.1457867471021712E-12</v>
      </c>
      <c r="GY157" s="62">
        <f t="shared" si="137"/>
        <v>293.33333333333644</v>
      </c>
      <c r="GZ157" s="62">
        <f ca="1">AVERAGE(OFFSET($GY$3,0,0,'Données projet'!$E$18+1,1))-AVERAGE(OFFSET($H$3,0,0,'Données projet'!$E$18+1,1))</f>
        <v>312.06797204903796</v>
      </c>
      <c r="HA157" s="62">
        <f t="shared" si="160"/>
        <v>258.20189001775151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projet'!$B$18,Paramètres!$A$1:$I$89,3,0)*0.475*44/12</f>
        <v>0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190"/>
        <v>0</v>
      </c>
    </row>
    <row r="158" spans="1:218" x14ac:dyDescent="0.25">
      <c r="A158" s="11">
        <f t="shared" si="161"/>
        <v>155</v>
      </c>
      <c r="B158" s="76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9">
        <f t="shared" si="110"/>
        <v>256.66666666666669</v>
      </c>
      <c r="I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2.2737367544323206E-13</v>
      </c>
      <c r="O158" s="14">
        <f>N158*VLOOKUP('Données projet'!$B$9,Paramètres!$A$1:$I$89,3,0)*VLOOKUP('Données projet'!$B$9,Paramètres!$A$1:$I$89,5,0)</f>
        <v>1.2710188457276673E-13</v>
      </c>
      <c r="P158" s="14">
        <f t="shared" si="141"/>
        <v>1.856866851063998E-12</v>
      </c>
      <c r="Q158" s="22">
        <f t="shared" si="162"/>
        <v>3.4554122145673649E-12</v>
      </c>
      <c r="R158" s="62">
        <f t="shared" si="109"/>
        <v>293.33333333333678</v>
      </c>
      <c r="S158" s="62">
        <f ca="1">AVERAGE(OFFSET($R$3,0,0,'Données projet'!$E$9+1,1))-AVERAGE(OFFSET($H$3,0,0,'Données projet'!$E$9+1,1))</f>
        <v>323.98185264074681</v>
      </c>
      <c r="T158" s="62">
        <f t="shared" si="142"/>
        <v>301.22207291854005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0.37536492018253248</v>
      </c>
      <c r="AA158" s="23">
        <f>EXP(-LN(2)/25)*AA157+(1-EXP(-LN(2)/25))/(LN(2)/25)*Calculateur!V158*Calculateur!X158*VLOOKUP('Données projet'!$B$9,Paramètres!$A$1:$I$89,3,0)*0.475*44/12</f>
        <v>0.25772811378380478</v>
      </c>
      <c r="AB158" s="23">
        <f>EXP(-LN(2)/2)*AB157+(1-EXP(-LN(2)/2))/(LN(2)/2)*V158*Y158*VLOOKUP('Données projet'!$B$9,Paramètres!$A$1:$I$89,3,0)*0.475*44/12</f>
        <v>9.3343946705460899E-19</v>
      </c>
      <c r="AC158" s="24">
        <f t="shared" si="163"/>
        <v>0.6330930339663372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-2.8421709430404007E-13</v>
      </c>
      <c r="AJ158" s="14">
        <f>AI158*VLOOKUP('Données projet'!$B$10,Paramètres!$A$1:$I$89,3,0)*VLOOKUP('Données projet'!$B$10,Paramètres!$A$1:$I$89,5,0)</f>
        <v>-1.69961822393816E-13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289.12367833861299</v>
      </c>
      <c r="AO158" s="62">
        <f t="shared" si="144"/>
        <v>229.06617320689003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6.3583149252081077E-19</v>
      </c>
      <c r="AX158" s="23">
        <f t="shared" si="166"/>
        <v>6.3583149252081077E-19</v>
      </c>
      <c r="AY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-9.6633812063373625E-13</v>
      </c>
      <c r="BE158" s="14">
        <f>BD158*VLOOKUP('Données projet'!$B$11,Paramètres!$A$1:$I$89,3,0)*VLOOKUP('Données projet'!$B$11,Paramètres!$A$1:$I$89,5,0)</f>
        <v>-8.7434273154940449E-13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428.8489304403459</v>
      </c>
      <c r="BJ158" s="62">
        <f t="shared" si="146"/>
        <v>247.01165577562966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-1.7053025658242404E-13</v>
      </c>
      <c r="BZ158" s="14">
        <f>BY158*VLOOKUP('Données projet'!$B$12,Paramètres!$A$1:$I$89,3,0)*VLOOKUP('Données projet'!$B$12,Paramètres!$A$1:$I$89,5,0)</f>
        <v>-1.250327841262333E-13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290.85271051443431</v>
      </c>
      <c r="CE158" s="62">
        <f t="shared" si="148"/>
        <v>318.66958823451142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1.1368683772161603E-13</v>
      </c>
      <c r="CU158" s="18">
        <f>CT158*VLOOKUP('Données projet'!$B$13,Paramètres!$A$1:$I$89,3,0)*VLOOKUP('Données projet'!$B$13,Paramètres!$A$1:$I$89,5,0)</f>
        <v>8.8675733422860506E-14</v>
      </c>
      <c r="CV158" s="14">
        <f t="shared" si="173"/>
        <v>1.3509285393066301E-12</v>
      </c>
      <c r="CW158" s="22">
        <f t="shared" si="174"/>
        <v>2.5073107750038623E-12</v>
      </c>
      <c r="CX158" s="62">
        <f t="shared" si="122"/>
        <v>293.33333333333582</v>
      </c>
      <c r="CY158" s="62">
        <f ca="1">AVERAGE(OFFSET($CX$3,0,0,'Données projet'!$E$13+1,1))-AVERAGE(OFFSET($H$3,0,0,'Données projet'!$E$13+1,1))</f>
        <v>292.57482726862594</v>
      </c>
      <c r="CZ158" s="62">
        <f t="shared" si="150"/>
        <v>283.48738729114024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-1.7053025658242404E-13</v>
      </c>
      <c r="DP158" s="18">
        <f>DO158*VLOOKUP('Données projet'!$B$14,Paramètres!$A$1:$I$89,3,0)*VLOOKUP('Données projet'!$B$14,Paramètres!$A$1:$I$89,5,0)</f>
        <v>-1.3567387213697657E-13</v>
      </c>
      <c r="DQ158" s="14" t="e">
        <f t="shared" si="176"/>
        <v>#NUM!</v>
      </c>
      <c r="DR158" s="22" t="e">
        <f t="shared" si="177"/>
        <v>#NUM!</v>
      </c>
      <c r="DS158" s="62" t="e">
        <f t="shared" si="125"/>
        <v>#NUM!</v>
      </c>
      <c r="DT158" s="62">
        <f ca="1">AVERAGE(OFFSET($DS$3,0,0,'Données projet'!$E$14+1,1))-AVERAGE(OFFSET($H$3,0,0,'Données projet'!$E$14+1,1))</f>
        <v>312.53381881960331</v>
      </c>
      <c r="DU158" s="62">
        <f t="shared" si="152"/>
        <v>342.06887933351783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1.1368683772161603E-13</v>
      </c>
      <c r="EK158" s="18">
        <f>EJ158*VLOOKUP('Données projet'!$B$15,Paramètres!$A$1:$I$89,3,0)*VLOOKUP('Données projet'!$B$15,Paramètres!$A$1:$I$89,5,0)</f>
        <v>1.0818439477588981E-13</v>
      </c>
      <c r="EL158" s="14">
        <f t="shared" si="179"/>
        <v>1.6104228458716316E-12</v>
      </c>
      <c r="EM158" s="22">
        <f t="shared" si="180"/>
        <v>2.9932409441277661E-12</v>
      </c>
      <c r="EN158" s="62">
        <f t="shared" si="128"/>
        <v>293.33333333333633</v>
      </c>
      <c r="EO158" s="62">
        <f ca="1">AVERAGE(OFFSET($EN$3,0,0,'Données projet'!$E$15+1,1))-AVERAGE(OFFSET($H$3,0,0,'Données projet'!$E$15+1,1))</f>
        <v>363.37916970915211</v>
      </c>
      <c r="EP158" s="62">
        <f t="shared" si="154"/>
        <v>281.52963027844595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-6.2527760746888816E-13</v>
      </c>
      <c r="FF158" s="18">
        <f>FE158*VLOOKUP('Données projet'!$B$16,Paramètres!$A$1:$I$89,3,0)*VLOOKUP('Données projet'!$B$16,Paramètres!$A$1:$I$89,5,0)</f>
        <v>-2.9262992029543964E-13</v>
      </c>
      <c r="FG158" s="14" t="e">
        <f t="shared" si="182"/>
        <v>#NUM!</v>
      </c>
      <c r="FH158" s="22" t="e">
        <f t="shared" si="183"/>
        <v>#NUM!</v>
      </c>
      <c r="FI158" s="62" t="e">
        <f t="shared" si="131"/>
        <v>#NUM!</v>
      </c>
      <c r="FJ158" s="62">
        <f ca="1">AVERAGE(OFFSET($FI$3,0,0,'Données projet'!$E$16+1,1))-AVERAGE(OFFSET($H$3,0,0,'Données projet'!$E$16+1,1))</f>
        <v>245.47494516762282</v>
      </c>
      <c r="FK158" s="62">
        <f t="shared" si="156"/>
        <v>145.54897745089966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-9.6633812063373625E-13</v>
      </c>
      <c r="GA158" s="18">
        <f>FZ158*VLOOKUP('Données projet'!$B$17,Paramètres!$A$1:$I$89,3,0)*VLOOKUP('Données projet'!$B$17,Paramètres!$A$1:$I$89,5,0)</f>
        <v>-9.3464223027694966E-13</v>
      </c>
      <c r="GB158" s="14" t="e">
        <f t="shared" si="185"/>
        <v>#NUM!</v>
      </c>
      <c r="GC158" s="22" t="e">
        <f t="shared" si="186"/>
        <v>#NUM!</v>
      </c>
      <c r="GD158" s="62" t="e">
        <f t="shared" si="134"/>
        <v>#NUM!</v>
      </c>
      <c r="GE158" s="62">
        <f ca="1">AVERAGE(OFFSET($GD$3,0,0,'Données projet'!$E$17+1,1))-AVERAGE(OFFSET($H$3,0,0,'Données projet'!$E$17+1,1))</f>
        <v>455.50822833641354</v>
      </c>
      <c r="GF158" s="62">
        <f t="shared" si="158"/>
        <v>261.14722581688039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1.7053025658242404E-13</v>
      </c>
      <c r="GV158" s="18">
        <f>GU158*VLOOKUP('Données projet'!$B$18,Paramètres!$A$1:$I$89,3,0)*VLOOKUP('Données projet'!$B$18,Paramètres!$A$1:$I$89,5,0)</f>
        <v>1.1439169611549005E-13</v>
      </c>
      <c r="GW158" s="14">
        <f t="shared" si="188"/>
        <v>1.6918016515029816E-12</v>
      </c>
      <c r="GX158" s="22">
        <f t="shared" si="189"/>
        <v>3.1457867471021712E-12</v>
      </c>
      <c r="GY158" s="62">
        <f t="shared" si="137"/>
        <v>293.33333333333644</v>
      </c>
      <c r="GZ158" s="62">
        <f ca="1">AVERAGE(OFFSET($GY$3,0,0,'Données projet'!$E$18+1,1))-AVERAGE(OFFSET($H$3,0,0,'Données projet'!$E$18+1,1))</f>
        <v>312.06797204903796</v>
      </c>
      <c r="HA158" s="62">
        <f t="shared" si="160"/>
        <v>258.20189001775151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projet'!$B$18,Paramètres!$A$1:$I$89,3,0)*0.475*44/12</f>
        <v>0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190"/>
        <v>0</v>
      </c>
    </row>
    <row r="159" spans="1:218" x14ac:dyDescent="0.25">
      <c r="A159" s="11">
        <f t="shared" si="161"/>
        <v>156</v>
      </c>
      <c r="B159" s="76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9">
        <f t="shared" si="110"/>
        <v>256.66666666666669</v>
      </c>
      <c r="I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2.2737367544323206E-13</v>
      </c>
      <c r="O159" s="14">
        <f>N159*VLOOKUP('Données projet'!$B$9,Paramètres!$A$1:$I$89,3,0)*VLOOKUP('Données projet'!$B$9,Paramètres!$A$1:$I$89,5,0)</f>
        <v>1.2710188457276673E-13</v>
      </c>
      <c r="P159" s="14">
        <f t="shared" si="141"/>
        <v>1.856866851063998E-12</v>
      </c>
      <c r="Q159" s="22">
        <f t="shared" si="162"/>
        <v>3.4554122145673649E-12</v>
      </c>
      <c r="R159" s="62">
        <f t="shared" si="109"/>
        <v>293.33333333333678</v>
      </c>
      <c r="S159" s="62">
        <f ca="1">AVERAGE(OFFSET($R$3,0,0,'Données projet'!$E$9+1,1))-AVERAGE(OFFSET($H$3,0,0,'Données projet'!$E$9+1,1))</f>
        <v>323.98185264074681</v>
      </c>
      <c r="T159" s="62">
        <f t="shared" si="142"/>
        <v>301.22207291854005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0.36800424304774737</v>
      </c>
      <c r="AA159" s="23">
        <f>EXP(-LN(2)/25)*AA158+(1-EXP(-LN(2)/25))/(LN(2)/25)*Calculateur!V159*Calculateur!X159*VLOOKUP('Données projet'!$B$9,Paramètres!$A$1:$I$89,3,0)*0.475*44/12</f>
        <v>0.25068052495905419</v>
      </c>
      <c r="AB159" s="23">
        <f>EXP(-LN(2)/2)*AB158+(1-EXP(-LN(2)/2))/(LN(2)/2)*V159*Y159*VLOOKUP('Données projet'!$B$9,Paramètres!$A$1:$I$89,3,0)*0.475*44/12</f>
        <v>6.6004137698147095E-19</v>
      </c>
      <c r="AC159" s="24">
        <f t="shared" si="163"/>
        <v>0.6186847680068015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-2.8421709430404007E-13</v>
      </c>
      <c r="AJ159" s="14">
        <f>AI159*VLOOKUP('Données projet'!$B$10,Paramètres!$A$1:$I$89,3,0)*VLOOKUP('Données projet'!$B$10,Paramètres!$A$1:$I$89,5,0)</f>
        <v>-1.69961822393816E-13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289.12367833861299</v>
      </c>
      <c r="AO159" s="62">
        <f t="shared" si="144"/>
        <v>229.06617320689003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4.4960076005342886E-19</v>
      </c>
      <c r="AX159" s="23">
        <f t="shared" si="166"/>
        <v>4.4960076005342886E-19</v>
      </c>
      <c r="AY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-9.6633812063373625E-13</v>
      </c>
      <c r="BE159" s="14">
        <f>BD159*VLOOKUP('Données projet'!$B$11,Paramètres!$A$1:$I$89,3,0)*VLOOKUP('Données projet'!$B$11,Paramètres!$A$1:$I$89,5,0)</f>
        <v>-8.7434273154940449E-13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428.8489304403459</v>
      </c>
      <c r="BJ159" s="62">
        <f t="shared" si="146"/>
        <v>247.01165577562966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-1.7053025658242404E-13</v>
      </c>
      <c r="BZ159" s="14">
        <f>BY159*VLOOKUP('Données projet'!$B$12,Paramètres!$A$1:$I$89,3,0)*VLOOKUP('Données projet'!$B$12,Paramètres!$A$1:$I$89,5,0)</f>
        <v>-1.250327841262333E-13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290.85271051443431</v>
      </c>
      <c r="CE159" s="62">
        <f t="shared" si="148"/>
        <v>318.66958823451142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1.1368683772161603E-13</v>
      </c>
      <c r="CU159" s="18">
        <f>CT159*VLOOKUP('Données projet'!$B$13,Paramètres!$A$1:$I$89,3,0)*VLOOKUP('Données projet'!$B$13,Paramètres!$A$1:$I$89,5,0)</f>
        <v>8.8675733422860506E-14</v>
      </c>
      <c r="CV159" s="14">
        <f t="shared" si="173"/>
        <v>1.3509285393066301E-12</v>
      </c>
      <c r="CW159" s="22">
        <f t="shared" si="174"/>
        <v>2.5073107750038623E-12</v>
      </c>
      <c r="CX159" s="62">
        <f t="shared" si="122"/>
        <v>293.33333333333582</v>
      </c>
      <c r="CY159" s="62">
        <f ca="1">AVERAGE(OFFSET($CX$3,0,0,'Données projet'!$E$13+1,1))-AVERAGE(OFFSET($H$3,0,0,'Données projet'!$E$13+1,1))</f>
        <v>292.57482726862594</v>
      </c>
      <c r="CZ159" s="62">
        <f t="shared" si="150"/>
        <v>283.48738729114024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-1.7053025658242404E-13</v>
      </c>
      <c r="DP159" s="18">
        <f>DO159*VLOOKUP('Données projet'!$B$14,Paramètres!$A$1:$I$89,3,0)*VLOOKUP('Données projet'!$B$14,Paramètres!$A$1:$I$89,5,0)</f>
        <v>-1.3567387213697657E-13</v>
      </c>
      <c r="DQ159" s="14" t="e">
        <f t="shared" si="176"/>
        <v>#NUM!</v>
      </c>
      <c r="DR159" s="22" t="e">
        <f t="shared" si="177"/>
        <v>#NUM!</v>
      </c>
      <c r="DS159" s="62" t="e">
        <f t="shared" si="125"/>
        <v>#NUM!</v>
      </c>
      <c r="DT159" s="62">
        <f ca="1">AVERAGE(OFFSET($DS$3,0,0,'Données projet'!$E$14+1,1))-AVERAGE(OFFSET($H$3,0,0,'Données projet'!$E$14+1,1))</f>
        <v>312.53381881960331</v>
      </c>
      <c r="DU159" s="62">
        <f t="shared" si="152"/>
        <v>342.06887933351783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1.1368683772161603E-13</v>
      </c>
      <c r="EK159" s="18">
        <f>EJ159*VLOOKUP('Données projet'!$B$15,Paramètres!$A$1:$I$89,3,0)*VLOOKUP('Données projet'!$B$15,Paramètres!$A$1:$I$89,5,0)</f>
        <v>1.0818439477588981E-13</v>
      </c>
      <c r="EL159" s="14">
        <f t="shared" si="179"/>
        <v>1.6104228458716316E-12</v>
      </c>
      <c r="EM159" s="22">
        <f t="shared" si="180"/>
        <v>2.9932409441277661E-12</v>
      </c>
      <c r="EN159" s="62">
        <f t="shared" si="128"/>
        <v>293.33333333333633</v>
      </c>
      <c r="EO159" s="62">
        <f ca="1">AVERAGE(OFFSET($EN$3,0,0,'Données projet'!$E$15+1,1))-AVERAGE(OFFSET($H$3,0,0,'Données projet'!$E$15+1,1))</f>
        <v>363.37916970915211</v>
      </c>
      <c r="EP159" s="62">
        <f t="shared" si="154"/>
        <v>281.52963027844595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-6.2527760746888816E-13</v>
      </c>
      <c r="FF159" s="18">
        <f>FE159*VLOOKUP('Données projet'!$B$16,Paramètres!$A$1:$I$89,3,0)*VLOOKUP('Données projet'!$B$16,Paramètres!$A$1:$I$89,5,0)</f>
        <v>-2.9262992029543964E-13</v>
      </c>
      <c r="FG159" s="14" t="e">
        <f t="shared" si="182"/>
        <v>#NUM!</v>
      </c>
      <c r="FH159" s="22" t="e">
        <f t="shared" si="183"/>
        <v>#NUM!</v>
      </c>
      <c r="FI159" s="62" t="e">
        <f t="shared" si="131"/>
        <v>#NUM!</v>
      </c>
      <c r="FJ159" s="62">
        <f ca="1">AVERAGE(OFFSET($FI$3,0,0,'Données projet'!$E$16+1,1))-AVERAGE(OFFSET($H$3,0,0,'Données projet'!$E$16+1,1))</f>
        <v>245.47494516762282</v>
      </c>
      <c r="FK159" s="62">
        <f t="shared" si="156"/>
        <v>145.54897745089966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-9.6633812063373625E-13</v>
      </c>
      <c r="GA159" s="18">
        <f>FZ159*VLOOKUP('Données projet'!$B$17,Paramètres!$A$1:$I$89,3,0)*VLOOKUP('Données projet'!$B$17,Paramètres!$A$1:$I$89,5,0)</f>
        <v>-9.3464223027694966E-13</v>
      </c>
      <c r="GB159" s="14" t="e">
        <f t="shared" si="185"/>
        <v>#NUM!</v>
      </c>
      <c r="GC159" s="22" t="e">
        <f t="shared" si="186"/>
        <v>#NUM!</v>
      </c>
      <c r="GD159" s="62" t="e">
        <f t="shared" si="134"/>
        <v>#NUM!</v>
      </c>
      <c r="GE159" s="62">
        <f ca="1">AVERAGE(OFFSET($GD$3,0,0,'Données projet'!$E$17+1,1))-AVERAGE(OFFSET($H$3,0,0,'Données projet'!$E$17+1,1))</f>
        <v>455.50822833641354</v>
      </c>
      <c r="GF159" s="62">
        <f t="shared" si="158"/>
        <v>261.14722581688039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1.7053025658242404E-13</v>
      </c>
      <c r="GV159" s="18">
        <f>GU159*VLOOKUP('Données projet'!$B$18,Paramètres!$A$1:$I$89,3,0)*VLOOKUP('Données projet'!$B$18,Paramètres!$A$1:$I$89,5,0)</f>
        <v>1.1439169611549005E-13</v>
      </c>
      <c r="GW159" s="14">
        <f t="shared" si="188"/>
        <v>1.6918016515029816E-12</v>
      </c>
      <c r="GX159" s="22">
        <f t="shared" si="189"/>
        <v>3.1457867471021712E-12</v>
      </c>
      <c r="GY159" s="62">
        <f t="shared" si="137"/>
        <v>293.33333333333644</v>
      </c>
      <c r="GZ159" s="62">
        <f ca="1">AVERAGE(OFFSET($GY$3,0,0,'Données projet'!$E$18+1,1))-AVERAGE(OFFSET($H$3,0,0,'Données projet'!$E$18+1,1))</f>
        <v>312.06797204903796</v>
      </c>
      <c r="HA159" s="62">
        <f t="shared" si="160"/>
        <v>258.20189001775151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projet'!$B$18,Paramètres!$A$1:$I$89,3,0)*0.475*44/12</f>
        <v>0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190"/>
        <v>0</v>
      </c>
    </row>
    <row r="160" spans="1:218" x14ac:dyDescent="0.25">
      <c r="A160" s="11">
        <f t="shared" si="161"/>
        <v>157</v>
      </c>
      <c r="B160" s="76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9">
        <f t="shared" si="110"/>
        <v>256.66666666666669</v>
      </c>
      <c r="I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2.2737367544323206E-13</v>
      </c>
      <c r="O160" s="14">
        <f>N160*VLOOKUP('Données projet'!$B$9,Paramètres!$A$1:$I$89,3,0)*VLOOKUP('Données projet'!$B$9,Paramètres!$A$1:$I$89,5,0)</f>
        <v>1.2710188457276673E-13</v>
      </c>
      <c r="P160" s="14">
        <f t="shared" si="141"/>
        <v>1.856866851063998E-12</v>
      </c>
      <c r="Q160" s="22">
        <f t="shared" si="162"/>
        <v>3.4554122145673649E-12</v>
      </c>
      <c r="R160" s="62">
        <f t="shared" si="109"/>
        <v>293.33333333333678</v>
      </c>
      <c r="S160" s="62">
        <f ca="1">AVERAGE(OFFSET($R$3,0,0,'Données projet'!$E$9+1,1))-AVERAGE(OFFSET($H$3,0,0,'Données projet'!$E$9+1,1))</f>
        <v>323.98185264074681</v>
      </c>
      <c r="T160" s="62">
        <f t="shared" si="142"/>
        <v>301.22207291854005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0.36078790430200569</v>
      </c>
      <c r="AA160" s="23">
        <f>EXP(-LN(2)/25)*AA159+(1-EXP(-LN(2)/25))/(LN(2)/25)*Calculateur!V160*Calculateur!X160*VLOOKUP('Données projet'!$B$9,Paramètres!$A$1:$I$89,3,0)*0.475*44/12</f>
        <v>0.24382565282133298</v>
      </c>
      <c r="AB160" s="23">
        <f>EXP(-LN(2)/2)*AB159+(1-EXP(-LN(2)/2))/(LN(2)/2)*V160*Y160*VLOOKUP('Données projet'!$B$9,Paramètres!$A$1:$I$89,3,0)*0.475*44/12</f>
        <v>4.667197335273045E-19</v>
      </c>
      <c r="AC160" s="24">
        <f t="shared" si="163"/>
        <v>0.60461355712333864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-2.8421709430404007E-13</v>
      </c>
      <c r="AJ160" s="14">
        <f>AI160*VLOOKUP('Données projet'!$B$10,Paramètres!$A$1:$I$89,3,0)*VLOOKUP('Données projet'!$B$10,Paramètres!$A$1:$I$89,5,0)</f>
        <v>-1.69961822393816E-13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289.12367833861299</v>
      </c>
      <c r="AO160" s="62">
        <f t="shared" si="144"/>
        <v>229.06617320689003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3.1791574626040538E-19</v>
      </c>
      <c r="AX160" s="23">
        <f t="shared" si="166"/>
        <v>3.1791574626040538E-19</v>
      </c>
      <c r="AY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-9.6633812063373625E-13</v>
      </c>
      <c r="BE160" s="14">
        <f>BD160*VLOOKUP('Données projet'!$B$11,Paramètres!$A$1:$I$89,3,0)*VLOOKUP('Données projet'!$B$11,Paramètres!$A$1:$I$89,5,0)</f>
        <v>-8.7434273154940449E-13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428.8489304403459</v>
      </c>
      <c r="BJ160" s="62">
        <f t="shared" si="146"/>
        <v>247.01165577562966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-1.7053025658242404E-13</v>
      </c>
      <c r="BZ160" s="14">
        <f>BY160*VLOOKUP('Données projet'!$B$12,Paramètres!$A$1:$I$89,3,0)*VLOOKUP('Données projet'!$B$12,Paramètres!$A$1:$I$89,5,0)</f>
        <v>-1.250327841262333E-13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290.85271051443431</v>
      </c>
      <c r="CE160" s="62">
        <f t="shared" si="148"/>
        <v>318.66958823451142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1.1368683772161603E-13</v>
      </c>
      <c r="CU160" s="18">
        <f>CT160*VLOOKUP('Données projet'!$B$13,Paramètres!$A$1:$I$89,3,0)*VLOOKUP('Données projet'!$B$13,Paramètres!$A$1:$I$89,5,0)</f>
        <v>8.8675733422860506E-14</v>
      </c>
      <c r="CV160" s="14">
        <f t="shared" si="173"/>
        <v>1.3509285393066301E-12</v>
      </c>
      <c r="CW160" s="22">
        <f t="shared" si="174"/>
        <v>2.5073107750038623E-12</v>
      </c>
      <c r="CX160" s="62">
        <f t="shared" si="122"/>
        <v>293.33333333333582</v>
      </c>
      <c r="CY160" s="62">
        <f ca="1">AVERAGE(OFFSET($CX$3,0,0,'Données projet'!$E$13+1,1))-AVERAGE(OFFSET($H$3,0,0,'Données projet'!$E$13+1,1))</f>
        <v>292.57482726862594</v>
      </c>
      <c r="CZ160" s="62">
        <f t="shared" si="150"/>
        <v>283.48738729114024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-1.7053025658242404E-13</v>
      </c>
      <c r="DP160" s="18">
        <f>DO160*VLOOKUP('Données projet'!$B$14,Paramètres!$A$1:$I$89,3,0)*VLOOKUP('Données projet'!$B$14,Paramètres!$A$1:$I$89,5,0)</f>
        <v>-1.3567387213697657E-13</v>
      </c>
      <c r="DQ160" s="14" t="e">
        <f t="shared" si="176"/>
        <v>#NUM!</v>
      </c>
      <c r="DR160" s="22" t="e">
        <f t="shared" si="177"/>
        <v>#NUM!</v>
      </c>
      <c r="DS160" s="62" t="e">
        <f t="shared" si="125"/>
        <v>#NUM!</v>
      </c>
      <c r="DT160" s="62">
        <f ca="1">AVERAGE(OFFSET($DS$3,0,0,'Données projet'!$E$14+1,1))-AVERAGE(OFFSET($H$3,0,0,'Données projet'!$E$14+1,1))</f>
        <v>312.53381881960331</v>
      </c>
      <c r="DU160" s="62">
        <f t="shared" si="152"/>
        <v>342.06887933351783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1.1368683772161603E-13</v>
      </c>
      <c r="EK160" s="18">
        <f>EJ160*VLOOKUP('Données projet'!$B$15,Paramètres!$A$1:$I$89,3,0)*VLOOKUP('Données projet'!$B$15,Paramètres!$A$1:$I$89,5,0)</f>
        <v>1.0818439477588981E-13</v>
      </c>
      <c r="EL160" s="14">
        <f t="shared" si="179"/>
        <v>1.6104228458716316E-12</v>
      </c>
      <c r="EM160" s="22">
        <f t="shared" si="180"/>
        <v>2.9932409441277661E-12</v>
      </c>
      <c r="EN160" s="62">
        <f t="shared" si="128"/>
        <v>293.33333333333633</v>
      </c>
      <c r="EO160" s="62">
        <f ca="1">AVERAGE(OFFSET($EN$3,0,0,'Données projet'!$E$15+1,1))-AVERAGE(OFFSET($H$3,0,0,'Données projet'!$E$15+1,1))</f>
        <v>363.37916970915211</v>
      </c>
      <c r="EP160" s="62">
        <f t="shared" si="154"/>
        <v>281.52963027844595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-6.2527760746888816E-13</v>
      </c>
      <c r="FF160" s="18">
        <f>FE160*VLOOKUP('Données projet'!$B$16,Paramètres!$A$1:$I$89,3,0)*VLOOKUP('Données projet'!$B$16,Paramètres!$A$1:$I$89,5,0)</f>
        <v>-2.9262992029543964E-13</v>
      </c>
      <c r="FG160" s="14" t="e">
        <f t="shared" si="182"/>
        <v>#NUM!</v>
      </c>
      <c r="FH160" s="22" t="e">
        <f t="shared" si="183"/>
        <v>#NUM!</v>
      </c>
      <c r="FI160" s="62" t="e">
        <f t="shared" si="131"/>
        <v>#NUM!</v>
      </c>
      <c r="FJ160" s="62">
        <f ca="1">AVERAGE(OFFSET($FI$3,0,0,'Données projet'!$E$16+1,1))-AVERAGE(OFFSET($H$3,0,0,'Données projet'!$E$16+1,1))</f>
        <v>245.47494516762282</v>
      </c>
      <c r="FK160" s="62">
        <f t="shared" si="156"/>
        <v>145.54897745089966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-9.6633812063373625E-13</v>
      </c>
      <c r="GA160" s="18">
        <f>FZ160*VLOOKUP('Données projet'!$B$17,Paramètres!$A$1:$I$89,3,0)*VLOOKUP('Données projet'!$B$17,Paramètres!$A$1:$I$89,5,0)</f>
        <v>-9.3464223027694966E-13</v>
      </c>
      <c r="GB160" s="14" t="e">
        <f t="shared" si="185"/>
        <v>#NUM!</v>
      </c>
      <c r="GC160" s="22" t="e">
        <f t="shared" si="186"/>
        <v>#NUM!</v>
      </c>
      <c r="GD160" s="62" t="e">
        <f t="shared" si="134"/>
        <v>#NUM!</v>
      </c>
      <c r="GE160" s="62">
        <f ca="1">AVERAGE(OFFSET($GD$3,0,0,'Données projet'!$E$17+1,1))-AVERAGE(OFFSET($H$3,0,0,'Données projet'!$E$17+1,1))</f>
        <v>455.50822833641354</v>
      </c>
      <c r="GF160" s="62">
        <f t="shared" si="158"/>
        <v>261.14722581688039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1.7053025658242404E-13</v>
      </c>
      <c r="GV160" s="18">
        <f>GU160*VLOOKUP('Données projet'!$B$18,Paramètres!$A$1:$I$89,3,0)*VLOOKUP('Données projet'!$B$18,Paramètres!$A$1:$I$89,5,0)</f>
        <v>1.1439169611549005E-13</v>
      </c>
      <c r="GW160" s="14">
        <f t="shared" si="188"/>
        <v>1.6918016515029816E-12</v>
      </c>
      <c r="GX160" s="22">
        <f t="shared" si="189"/>
        <v>3.1457867471021712E-12</v>
      </c>
      <c r="GY160" s="62">
        <f t="shared" si="137"/>
        <v>293.33333333333644</v>
      </c>
      <c r="GZ160" s="62">
        <f ca="1">AVERAGE(OFFSET($GY$3,0,0,'Données projet'!$E$18+1,1))-AVERAGE(OFFSET($H$3,0,0,'Données projet'!$E$18+1,1))</f>
        <v>312.06797204903796</v>
      </c>
      <c r="HA160" s="62">
        <f t="shared" si="160"/>
        <v>258.20189001775151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projet'!$B$18,Paramètres!$A$1:$I$89,3,0)*0.475*44/12</f>
        <v>0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190"/>
        <v>0</v>
      </c>
    </row>
    <row r="161" spans="1:218" x14ac:dyDescent="0.25">
      <c r="A161" s="11">
        <f t="shared" si="161"/>
        <v>158</v>
      </c>
      <c r="B161" s="76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9">
        <f t="shared" si="110"/>
        <v>256.66666666666669</v>
      </c>
      <c r="I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2.2737367544323206E-13</v>
      </c>
      <c r="O161" s="14">
        <f>N161*VLOOKUP('Données projet'!$B$9,Paramètres!$A$1:$I$89,3,0)*VLOOKUP('Données projet'!$B$9,Paramètres!$A$1:$I$89,5,0)</f>
        <v>1.2710188457276673E-13</v>
      </c>
      <c r="P161" s="14">
        <f t="shared" si="141"/>
        <v>1.856866851063998E-12</v>
      </c>
      <c r="Q161" s="22">
        <f t="shared" si="162"/>
        <v>3.4554122145673649E-12</v>
      </c>
      <c r="R161" s="62">
        <f t="shared" si="109"/>
        <v>293.33333333333678</v>
      </c>
      <c r="S161" s="62">
        <f ca="1">AVERAGE(OFFSET($R$3,0,0,'Données projet'!$E$9+1,1))-AVERAGE(OFFSET($H$3,0,0,'Données projet'!$E$9+1,1))</f>
        <v>323.98185264074681</v>
      </c>
      <c r="T161" s="62">
        <f t="shared" si="142"/>
        <v>301.22207291854005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0.35371307355753595</v>
      </c>
      <c r="AA161" s="23">
        <f>EXP(-LN(2)/25)*AA160+(1-EXP(-LN(2)/25))/(LN(2)/25)*Calculateur!V161*Calculateur!X161*VLOOKUP('Données projet'!$B$9,Paramètres!$A$1:$I$89,3,0)*0.475*44/12</f>
        <v>0.23715822752269983</v>
      </c>
      <c r="AB161" s="23">
        <f>EXP(-LN(2)/2)*AB160+(1-EXP(-LN(2)/2))/(LN(2)/2)*V161*Y161*VLOOKUP('Données projet'!$B$9,Paramètres!$A$1:$I$89,3,0)*0.475*44/12</f>
        <v>3.3002068849073547E-19</v>
      </c>
      <c r="AC161" s="24">
        <f t="shared" si="163"/>
        <v>0.59087130108023578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-2.8421709430404007E-13</v>
      </c>
      <c r="AJ161" s="14">
        <f>AI161*VLOOKUP('Données projet'!$B$10,Paramètres!$A$1:$I$89,3,0)*VLOOKUP('Données projet'!$B$10,Paramètres!$A$1:$I$89,5,0)</f>
        <v>-1.69961822393816E-13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289.12367833861299</v>
      </c>
      <c r="AO161" s="62">
        <f t="shared" si="144"/>
        <v>229.06617320689003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2.2480038002671443E-19</v>
      </c>
      <c r="AX161" s="23">
        <f t="shared" si="166"/>
        <v>2.2480038002671443E-19</v>
      </c>
      <c r="AY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-9.6633812063373625E-13</v>
      </c>
      <c r="BE161" s="14">
        <f>BD161*VLOOKUP('Données projet'!$B$11,Paramètres!$A$1:$I$89,3,0)*VLOOKUP('Données projet'!$B$11,Paramètres!$A$1:$I$89,5,0)</f>
        <v>-8.7434273154940449E-13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428.8489304403459</v>
      </c>
      <c r="BJ161" s="62">
        <f t="shared" si="146"/>
        <v>247.01165577562966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-1.7053025658242404E-13</v>
      </c>
      <c r="BZ161" s="14">
        <f>BY161*VLOOKUP('Données projet'!$B$12,Paramètres!$A$1:$I$89,3,0)*VLOOKUP('Données projet'!$B$12,Paramètres!$A$1:$I$89,5,0)</f>
        <v>-1.250327841262333E-13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290.85271051443431</v>
      </c>
      <c r="CE161" s="62">
        <f t="shared" si="148"/>
        <v>318.66958823451142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1.1368683772161603E-13</v>
      </c>
      <c r="CU161" s="18">
        <f>CT161*VLOOKUP('Données projet'!$B$13,Paramètres!$A$1:$I$89,3,0)*VLOOKUP('Données projet'!$B$13,Paramètres!$A$1:$I$89,5,0)</f>
        <v>8.8675733422860506E-14</v>
      </c>
      <c r="CV161" s="14">
        <f t="shared" si="173"/>
        <v>1.3509285393066301E-12</v>
      </c>
      <c r="CW161" s="22">
        <f t="shared" si="174"/>
        <v>2.5073107750038623E-12</v>
      </c>
      <c r="CX161" s="62">
        <f t="shared" si="122"/>
        <v>293.33333333333582</v>
      </c>
      <c r="CY161" s="62">
        <f ca="1">AVERAGE(OFFSET($CX$3,0,0,'Données projet'!$E$13+1,1))-AVERAGE(OFFSET($H$3,0,0,'Données projet'!$E$13+1,1))</f>
        <v>292.57482726862594</v>
      </c>
      <c r="CZ161" s="62">
        <f t="shared" si="150"/>
        <v>283.48738729114024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-1.7053025658242404E-13</v>
      </c>
      <c r="DP161" s="18">
        <f>DO161*VLOOKUP('Données projet'!$B$14,Paramètres!$A$1:$I$89,3,0)*VLOOKUP('Données projet'!$B$14,Paramètres!$A$1:$I$89,5,0)</f>
        <v>-1.3567387213697657E-13</v>
      </c>
      <c r="DQ161" s="14" t="e">
        <f t="shared" si="176"/>
        <v>#NUM!</v>
      </c>
      <c r="DR161" s="22" t="e">
        <f t="shared" si="177"/>
        <v>#NUM!</v>
      </c>
      <c r="DS161" s="62" t="e">
        <f t="shared" si="125"/>
        <v>#NUM!</v>
      </c>
      <c r="DT161" s="62">
        <f ca="1">AVERAGE(OFFSET($DS$3,0,0,'Données projet'!$E$14+1,1))-AVERAGE(OFFSET($H$3,0,0,'Données projet'!$E$14+1,1))</f>
        <v>312.53381881960331</v>
      </c>
      <c r="DU161" s="62">
        <f t="shared" si="152"/>
        <v>342.06887933351783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1.1368683772161603E-13</v>
      </c>
      <c r="EK161" s="18">
        <f>EJ161*VLOOKUP('Données projet'!$B$15,Paramètres!$A$1:$I$89,3,0)*VLOOKUP('Données projet'!$B$15,Paramètres!$A$1:$I$89,5,0)</f>
        <v>1.0818439477588981E-13</v>
      </c>
      <c r="EL161" s="14">
        <f t="shared" si="179"/>
        <v>1.6104228458716316E-12</v>
      </c>
      <c r="EM161" s="22">
        <f t="shared" si="180"/>
        <v>2.9932409441277661E-12</v>
      </c>
      <c r="EN161" s="62">
        <f t="shared" si="128"/>
        <v>293.33333333333633</v>
      </c>
      <c r="EO161" s="62">
        <f ca="1">AVERAGE(OFFSET($EN$3,0,0,'Données projet'!$E$15+1,1))-AVERAGE(OFFSET($H$3,0,0,'Données projet'!$E$15+1,1))</f>
        <v>363.37916970915211</v>
      </c>
      <c r="EP161" s="62">
        <f t="shared" si="154"/>
        <v>281.52963027844595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-6.2527760746888816E-13</v>
      </c>
      <c r="FF161" s="18">
        <f>FE161*VLOOKUP('Données projet'!$B$16,Paramètres!$A$1:$I$89,3,0)*VLOOKUP('Données projet'!$B$16,Paramètres!$A$1:$I$89,5,0)</f>
        <v>-2.9262992029543964E-13</v>
      </c>
      <c r="FG161" s="14" t="e">
        <f t="shared" si="182"/>
        <v>#NUM!</v>
      </c>
      <c r="FH161" s="22" t="e">
        <f t="shared" si="183"/>
        <v>#NUM!</v>
      </c>
      <c r="FI161" s="62" t="e">
        <f t="shared" si="131"/>
        <v>#NUM!</v>
      </c>
      <c r="FJ161" s="62">
        <f ca="1">AVERAGE(OFFSET($FI$3,0,0,'Données projet'!$E$16+1,1))-AVERAGE(OFFSET($H$3,0,0,'Données projet'!$E$16+1,1))</f>
        <v>245.47494516762282</v>
      </c>
      <c r="FK161" s="62">
        <f t="shared" si="156"/>
        <v>145.54897745089966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-9.6633812063373625E-13</v>
      </c>
      <c r="GA161" s="18">
        <f>FZ161*VLOOKUP('Données projet'!$B$17,Paramètres!$A$1:$I$89,3,0)*VLOOKUP('Données projet'!$B$17,Paramètres!$A$1:$I$89,5,0)</f>
        <v>-9.3464223027694966E-13</v>
      </c>
      <c r="GB161" s="14" t="e">
        <f t="shared" si="185"/>
        <v>#NUM!</v>
      </c>
      <c r="GC161" s="22" t="e">
        <f t="shared" si="186"/>
        <v>#NUM!</v>
      </c>
      <c r="GD161" s="62" t="e">
        <f t="shared" si="134"/>
        <v>#NUM!</v>
      </c>
      <c r="GE161" s="62">
        <f ca="1">AVERAGE(OFFSET($GD$3,0,0,'Données projet'!$E$17+1,1))-AVERAGE(OFFSET($H$3,0,0,'Données projet'!$E$17+1,1))</f>
        <v>455.50822833641354</v>
      </c>
      <c r="GF161" s="62">
        <f t="shared" si="158"/>
        <v>261.14722581688039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1.7053025658242404E-13</v>
      </c>
      <c r="GV161" s="18">
        <f>GU161*VLOOKUP('Données projet'!$B$18,Paramètres!$A$1:$I$89,3,0)*VLOOKUP('Données projet'!$B$18,Paramètres!$A$1:$I$89,5,0)</f>
        <v>1.1439169611549005E-13</v>
      </c>
      <c r="GW161" s="14">
        <f t="shared" si="188"/>
        <v>1.6918016515029816E-12</v>
      </c>
      <c r="GX161" s="22">
        <f t="shared" si="189"/>
        <v>3.1457867471021712E-12</v>
      </c>
      <c r="GY161" s="62">
        <f t="shared" si="137"/>
        <v>293.33333333333644</v>
      </c>
      <c r="GZ161" s="62">
        <f ca="1">AVERAGE(OFFSET($GY$3,0,0,'Données projet'!$E$18+1,1))-AVERAGE(OFFSET($H$3,0,0,'Données projet'!$E$18+1,1))</f>
        <v>312.06797204903796</v>
      </c>
      <c r="HA161" s="62">
        <f t="shared" si="160"/>
        <v>258.20189001775151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projet'!$B$18,Paramètres!$A$1:$I$89,3,0)*0.475*44/12</f>
        <v>0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190"/>
        <v>0</v>
      </c>
    </row>
    <row r="162" spans="1:218" x14ac:dyDescent="0.25">
      <c r="A162" s="11">
        <f t="shared" si="161"/>
        <v>159</v>
      </c>
      <c r="B162" s="76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9">
        <f t="shared" si="110"/>
        <v>256.66666666666669</v>
      </c>
      <c r="I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2.2737367544323206E-13</v>
      </c>
      <c r="O162" s="14">
        <f>N162*VLOOKUP('Données projet'!$B$9,Paramètres!$A$1:$I$89,3,0)*VLOOKUP('Données projet'!$B$9,Paramètres!$A$1:$I$89,5,0)</f>
        <v>1.2710188457276673E-13</v>
      </c>
      <c r="P162" s="14">
        <f t="shared" si="141"/>
        <v>1.856866851063998E-12</v>
      </c>
      <c r="Q162" s="22">
        <f t="shared" si="162"/>
        <v>3.4554122145673649E-12</v>
      </c>
      <c r="R162" s="62">
        <f t="shared" si="109"/>
        <v>293.33333333333678</v>
      </c>
      <c r="S162" s="62">
        <f ca="1">AVERAGE(OFFSET($R$3,0,0,'Données projet'!$E$9+1,1))-AVERAGE(OFFSET($H$3,0,0,'Données projet'!$E$9+1,1))</f>
        <v>323.98185264074681</v>
      </c>
      <c r="T162" s="62">
        <f t="shared" si="142"/>
        <v>301.22207291854005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0.34677697592874462</v>
      </c>
      <c r="AA162" s="23">
        <f>EXP(-LN(2)/25)*AA161+(1-EXP(-LN(2)/25))/(LN(2)/25)*Calculateur!V162*Calculateur!X162*VLOOKUP('Données projet'!$B$9,Paramètres!$A$1:$I$89,3,0)*0.475*44/12</f>
        <v>0.23067312331948245</v>
      </c>
      <c r="AB162" s="23">
        <f>EXP(-LN(2)/2)*AB161+(1-EXP(-LN(2)/2))/(LN(2)/2)*V162*Y162*VLOOKUP('Données projet'!$B$9,Paramètres!$A$1:$I$89,3,0)*0.475*44/12</f>
        <v>2.3335986676365225E-19</v>
      </c>
      <c r="AC162" s="24">
        <f t="shared" si="163"/>
        <v>0.5774500992482271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-2.8421709430404007E-13</v>
      </c>
      <c r="AJ162" s="14">
        <f>AI162*VLOOKUP('Données projet'!$B$10,Paramètres!$A$1:$I$89,3,0)*VLOOKUP('Données projet'!$B$10,Paramètres!$A$1:$I$89,5,0)</f>
        <v>-1.69961822393816E-13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289.12367833861299</v>
      </c>
      <c r="AO162" s="62">
        <f t="shared" si="144"/>
        <v>229.06617320689003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1.5895787313020269E-19</v>
      </c>
      <c r="AX162" s="23">
        <f t="shared" si="166"/>
        <v>1.5895787313020269E-19</v>
      </c>
      <c r="AY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-9.6633812063373625E-13</v>
      </c>
      <c r="BE162" s="14">
        <f>BD162*VLOOKUP('Données projet'!$B$11,Paramètres!$A$1:$I$89,3,0)*VLOOKUP('Données projet'!$B$11,Paramètres!$A$1:$I$89,5,0)</f>
        <v>-8.7434273154940449E-13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428.8489304403459</v>
      </c>
      <c r="BJ162" s="62">
        <f t="shared" si="146"/>
        <v>247.01165577562966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-1.7053025658242404E-13</v>
      </c>
      <c r="BZ162" s="14">
        <f>BY162*VLOOKUP('Données projet'!$B$12,Paramètres!$A$1:$I$89,3,0)*VLOOKUP('Données projet'!$B$12,Paramètres!$A$1:$I$89,5,0)</f>
        <v>-1.250327841262333E-13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290.85271051443431</v>
      </c>
      <c r="CE162" s="62">
        <f t="shared" si="148"/>
        <v>318.66958823451142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1.1368683772161603E-13</v>
      </c>
      <c r="CU162" s="18">
        <f>CT162*VLOOKUP('Données projet'!$B$13,Paramètres!$A$1:$I$89,3,0)*VLOOKUP('Données projet'!$B$13,Paramètres!$A$1:$I$89,5,0)</f>
        <v>8.8675733422860506E-14</v>
      </c>
      <c r="CV162" s="14">
        <f t="shared" si="173"/>
        <v>1.3509285393066301E-12</v>
      </c>
      <c r="CW162" s="22">
        <f t="shared" si="174"/>
        <v>2.5073107750038623E-12</v>
      </c>
      <c r="CX162" s="62">
        <f t="shared" si="122"/>
        <v>293.33333333333582</v>
      </c>
      <c r="CY162" s="62">
        <f ca="1">AVERAGE(OFFSET($CX$3,0,0,'Données projet'!$E$13+1,1))-AVERAGE(OFFSET($H$3,0,0,'Données projet'!$E$13+1,1))</f>
        <v>292.57482726862594</v>
      </c>
      <c r="CZ162" s="62">
        <f t="shared" si="150"/>
        <v>283.48738729114024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-1.7053025658242404E-13</v>
      </c>
      <c r="DP162" s="18">
        <f>DO162*VLOOKUP('Données projet'!$B$14,Paramètres!$A$1:$I$89,3,0)*VLOOKUP('Données projet'!$B$14,Paramètres!$A$1:$I$89,5,0)</f>
        <v>-1.3567387213697657E-13</v>
      </c>
      <c r="DQ162" s="14" t="e">
        <f t="shared" si="176"/>
        <v>#NUM!</v>
      </c>
      <c r="DR162" s="22" t="e">
        <f t="shared" si="177"/>
        <v>#NUM!</v>
      </c>
      <c r="DS162" s="62" t="e">
        <f t="shared" si="125"/>
        <v>#NUM!</v>
      </c>
      <c r="DT162" s="62">
        <f ca="1">AVERAGE(OFFSET($DS$3,0,0,'Données projet'!$E$14+1,1))-AVERAGE(OFFSET($H$3,0,0,'Données projet'!$E$14+1,1))</f>
        <v>312.53381881960331</v>
      </c>
      <c r="DU162" s="62">
        <f t="shared" si="152"/>
        <v>342.06887933351783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1.1368683772161603E-13</v>
      </c>
      <c r="EK162" s="18">
        <f>EJ162*VLOOKUP('Données projet'!$B$15,Paramètres!$A$1:$I$89,3,0)*VLOOKUP('Données projet'!$B$15,Paramètres!$A$1:$I$89,5,0)</f>
        <v>1.0818439477588981E-13</v>
      </c>
      <c r="EL162" s="14">
        <f t="shared" si="179"/>
        <v>1.6104228458716316E-12</v>
      </c>
      <c r="EM162" s="22">
        <f t="shared" si="180"/>
        <v>2.9932409441277661E-12</v>
      </c>
      <c r="EN162" s="62">
        <f t="shared" si="128"/>
        <v>293.33333333333633</v>
      </c>
      <c r="EO162" s="62">
        <f ca="1">AVERAGE(OFFSET($EN$3,0,0,'Données projet'!$E$15+1,1))-AVERAGE(OFFSET($H$3,0,0,'Données projet'!$E$15+1,1))</f>
        <v>363.37916970915211</v>
      </c>
      <c r="EP162" s="62">
        <f t="shared" si="154"/>
        <v>281.52963027844595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-6.2527760746888816E-13</v>
      </c>
      <c r="FF162" s="18">
        <f>FE162*VLOOKUP('Données projet'!$B$16,Paramètres!$A$1:$I$89,3,0)*VLOOKUP('Données projet'!$B$16,Paramètres!$A$1:$I$89,5,0)</f>
        <v>-2.9262992029543964E-13</v>
      </c>
      <c r="FG162" s="14" t="e">
        <f t="shared" si="182"/>
        <v>#NUM!</v>
      </c>
      <c r="FH162" s="22" t="e">
        <f t="shared" si="183"/>
        <v>#NUM!</v>
      </c>
      <c r="FI162" s="62" t="e">
        <f t="shared" si="131"/>
        <v>#NUM!</v>
      </c>
      <c r="FJ162" s="62">
        <f ca="1">AVERAGE(OFFSET($FI$3,0,0,'Données projet'!$E$16+1,1))-AVERAGE(OFFSET($H$3,0,0,'Données projet'!$E$16+1,1))</f>
        <v>245.47494516762282</v>
      </c>
      <c r="FK162" s="62">
        <f t="shared" si="156"/>
        <v>145.54897745089966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-9.6633812063373625E-13</v>
      </c>
      <c r="GA162" s="18">
        <f>FZ162*VLOOKUP('Données projet'!$B$17,Paramètres!$A$1:$I$89,3,0)*VLOOKUP('Données projet'!$B$17,Paramètres!$A$1:$I$89,5,0)</f>
        <v>-9.3464223027694966E-13</v>
      </c>
      <c r="GB162" s="14" t="e">
        <f t="shared" si="185"/>
        <v>#NUM!</v>
      </c>
      <c r="GC162" s="22" t="e">
        <f t="shared" si="186"/>
        <v>#NUM!</v>
      </c>
      <c r="GD162" s="62" t="e">
        <f t="shared" si="134"/>
        <v>#NUM!</v>
      </c>
      <c r="GE162" s="62">
        <f ca="1">AVERAGE(OFFSET($GD$3,0,0,'Données projet'!$E$17+1,1))-AVERAGE(OFFSET($H$3,0,0,'Données projet'!$E$17+1,1))</f>
        <v>455.50822833641354</v>
      </c>
      <c r="GF162" s="62">
        <f t="shared" si="158"/>
        <v>261.14722581688039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1.7053025658242404E-13</v>
      </c>
      <c r="GV162" s="18">
        <f>GU162*VLOOKUP('Données projet'!$B$18,Paramètres!$A$1:$I$89,3,0)*VLOOKUP('Données projet'!$B$18,Paramètres!$A$1:$I$89,5,0)</f>
        <v>1.1439169611549005E-13</v>
      </c>
      <c r="GW162" s="14">
        <f t="shared" si="188"/>
        <v>1.6918016515029816E-12</v>
      </c>
      <c r="GX162" s="22">
        <f t="shared" si="189"/>
        <v>3.1457867471021712E-12</v>
      </c>
      <c r="GY162" s="62">
        <f t="shared" si="137"/>
        <v>293.33333333333644</v>
      </c>
      <c r="GZ162" s="62">
        <f ca="1">AVERAGE(OFFSET($GY$3,0,0,'Données projet'!$E$18+1,1))-AVERAGE(OFFSET($H$3,0,0,'Données projet'!$E$18+1,1))</f>
        <v>312.06797204903796</v>
      </c>
      <c r="HA162" s="62">
        <f t="shared" si="160"/>
        <v>258.20189001775151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projet'!$B$18,Paramètres!$A$1:$I$89,3,0)*0.475*44/12</f>
        <v>0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190"/>
        <v>0</v>
      </c>
    </row>
    <row r="163" spans="1:218" x14ac:dyDescent="0.25">
      <c r="A163" s="11">
        <f t="shared" si="161"/>
        <v>160</v>
      </c>
      <c r="B163" s="76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9">
        <f t="shared" si="110"/>
        <v>256.66666666666669</v>
      </c>
      <c r="I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2.2737367544323206E-13</v>
      </c>
      <c r="O163" s="14">
        <f>N163*VLOOKUP('Données projet'!$B$9,Paramètres!$A$1:$I$89,3,0)*VLOOKUP('Données projet'!$B$9,Paramètres!$A$1:$I$89,5,0)</f>
        <v>1.2710188457276673E-13</v>
      </c>
      <c r="P163" s="14">
        <f t="shared" si="141"/>
        <v>1.856866851063998E-12</v>
      </c>
      <c r="Q163" s="22">
        <f t="shared" si="162"/>
        <v>3.4554122145673649E-12</v>
      </c>
      <c r="R163" s="62">
        <f t="shared" si="109"/>
        <v>293.33333333333678</v>
      </c>
      <c r="S163" s="62">
        <f ca="1">AVERAGE(OFFSET($R$3,0,0,'Données projet'!$E$9+1,1))-AVERAGE(OFFSET($H$3,0,0,'Données projet'!$E$9+1,1))</f>
        <v>323.98185264074681</v>
      </c>
      <c r="T163" s="62">
        <f t="shared" si="142"/>
        <v>301.22207291854005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0.33997689094385208</v>
      </c>
      <c r="AA163" s="23">
        <f>EXP(-LN(2)/25)*AA162+(1-EXP(-LN(2)/25))/(LN(2)/25)*Calculateur!V163*Calculateur!X163*VLOOKUP('Données projet'!$B$9,Paramètres!$A$1:$I$89,3,0)*0.475*44/12</f>
        <v>0.22436535463173884</v>
      </c>
      <c r="AB163" s="23">
        <f>EXP(-LN(2)/2)*AB162+(1-EXP(-LN(2)/2))/(LN(2)/2)*V163*Y163*VLOOKUP('Données projet'!$B$9,Paramètres!$A$1:$I$89,3,0)*0.475*44/12</f>
        <v>1.6501034424536774E-19</v>
      </c>
      <c r="AC163" s="24">
        <f t="shared" si="163"/>
        <v>0.56434224557559087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-2.8421709430404007E-13</v>
      </c>
      <c r="AJ163" s="14">
        <f>AI163*VLOOKUP('Données projet'!$B$10,Paramètres!$A$1:$I$89,3,0)*VLOOKUP('Données projet'!$B$10,Paramètres!$A$1:$I$89,5,0)</f>
        <v>-1.69961822393816E-13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289.12367833861299</v>
      </c>
      <c r="AO163" s="62">
        <f t="shared" si="144"/>
        <v>229.06617320689003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1.1240019001335722E-19</v>
      </c>
      <c r="AX163" s="23">
        <f t="shared" si="166"/>
        <v>1.1240019001335722E-19</v>
      </c>
      <c r="AY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-9.6633812063373625E-13</v>
      </c>
      <c r="BE163" s="14">
        <f>BD163*VLOOKUP('Données projet'!$B$11,Paramètres!$A$1:$I$89,3,0)*VLOOKUP('Données projet'!$B$11,Paramètres!$A$1:$I$89,5,0)</f>
        <v>-8.7434273154940449E-13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428.8489304403459</v>
      </c>
      <c r="BJ163" s="62">
        <f t="shared" si="146"/>
        <v>247.01165577562966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-1.7053025658242404E-13</v>
      </c>
      <c r="BZ163" s="14">
        <f>BY163*VLOOKUP('Données projet'!$B$12,Paramètres!$A$1:$I$89,3,0)*VLOOKUP('Données projet'!$B$12,Paramètres!$A$1:$I$89,5,0)</f>
        <v>-1.250327841262333E-13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290.85271051443431</v>
      </c>
      <c r="CE163" s="62">
        <f t="shared" si="148"/>
        <v>318.66958823451142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1.1368683772161603E-13</v>
      </c>
      <c r="CU163" s="18">
        <f>CT163*VLOOKUP('Données projet'!$B$13,Paramètres!$A$1:$I$89,3,0)*VLOOKUP('Données projet'!$B$13,Paramètres!$A$1:$I$89,5,0)</f>
        <v>8.8675733422860506E-14</v>
      </c>
      <c r="CV163" s="14">
        <f t="shared" si="173"/>
        <v>1.3509285393066301E-12</v>
      </c>
      <c r="CW163" s="22">
        <f t="shared" si="174"/>
        <v>2.5073107750038623E-12</v>
      </c>
      <c r="CX163" s="62">
        <f t="shared" si="122"/>
        <v>293.33333333333582</v>
      </c>
      <c r="CY163" s="62">
        <f ca="1">AVERAGE(OFFSET($CX$3,0,0,'Données projet'!$E$13+1,1))-AVERAGE(OFFSET($H$3,0,0,'Données projet'!$E$13+1,1))</f>
        <v>292.57482726862594</v>
      </c>
      <c r="CZ163" s="62">
        <f t="shared" si="150"/>
        <v>283.48738729114024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-1.7053025658242404E-13</v>
      </c>
      <c r="DP163" s="18">
        <f>DO163*VLOOKUP('Données projet'!$B$14,Paramètres!$A$1:$I$89,3,0)*VLOOKUP('Données projet'!$B$14,Paramètres!$A$1:$I$89,5,0)</f>
        <v>-1.3567387213697657E-13</v>
      </c>
      <c r="DQ163" s="14" t="e">
        <f t="shared" si="176"/>
        <v>#NUM!</v>
      </c>
      <c r="DR163" s="22" t="e">
        <f t="shared" si="177"/>
        <v>#NUM!</v>
      </c>
      <c r="DS163" s="62" t="e">
        <f t="shared" si="125"/>
        <v>#NUM!</v>
      </c>
      <c r="DT163" s="62">
        <f ca="1">AVERAGE(OFFSET($DS$3,0,0,'Données projet'!$E$14+1,1))-AVERAGE(OFFSET($H$3,0,0,'Données projet'!$E$14+1,1))</f>
        <v>312.53381881960331</v>
      </c>
      <c r="DU163" s="62">
        <f t="shared" si="152"/>
        <v>342.06887933351783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1.1368683772161603E-13</v>
      </c>
      <c r="EK163" s="18">
        <f>EJ163*VLOOKUP('Données projet'!$B$15,Paramètres!$A$1:$I$89,3,0)*VLOOKUP('Données projet'!$B$15,Paramètres!$A$1:$I$89,5,0)</f>
        <v>1.0818439477588981E-13</v>
      </c>
      <c r="EL163" s="14">
        <f t="shared" si="179"/>
        <v>1.6104228458716316E-12</v>
      </c>
      <c r="EM163" s="22">
        <f t="shared" si="180"/>
        <v>2.9932409441277661E-12</v>
      </c>
      <c r="EN163" s="62">
        <f t="shared" si="128"/>
        <v>293.33333333333633</v>
      </c>
      <c r="EO163" s="62">
        <f ca="1">AVERAGE(OFFSET($EN$3,0,0,'Données projet'!$E$15+1,1))-AVERAGE(OFFSET($H$3,0,0,'Données projet'!$E$15+1,1))</f>
        <v>363.37916970915211</v>
      </c>
      <c r="EP163" s="62">
        <f t="shared" si="154"/>
        <v>281.52963027844595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-6.2527760746888816E-13</v>
      </c>
      <c r="FF163" s="18">
        <f>FE163*VLOOKUP('Données projet'!$B$16,Paramètres!$A$1:$I$89,3,0)*VLOOKUP('Données projet'!$B$16,Paramètres!$A$1:$I$89,5,0)</f>
        <v>-2.9262992029543964E-13</v>
      </c>
      <c r="FG163" s="14" t="e">
        <f t="shared" si="182"/>
        <v>#NUM!</v>
      </c>
      <c r="FH163" s="22" t="e">
        <f t="shared" si="183"/>
        <v>#NUM!</v>
      </c>
      <c r="FI163" s="62" t="e">
        <f t="shared" si="131"/>
        <v>#NUM!</v>
      </c>
      <c r="FJ163" s="62">
        <f ca="1">AVERAGE(OFFSET($FI$3,0,0,'Données projet'!$E$16+1,1))-AVERAGE(OFFSET($H$3,0,0,'Données projet'!$E$16+1,1))</f>
        <v>245.47494516762282</v>
      </c>
      <c r="FK163" s="62">
        <f t="shared" si="156"/>
        <v>145.54897745089966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-9.6633812063373625E-13</v>
      </c>
      <c r="GA163" s="18">
        <f>FZ163*VLOOKUP('Données projet'!$B$17,Paramètres!$A$1:$I$89,3,0)*VLOOKUP('Données projet'!$B$17,Paramètres!$A$1:$I$89,5,0)</f>
        <v>-9.3464223027694966E-13</v>
      </c>
      <c r="GB163" s="14" t="e">
        <f t="shared" si="185"/>
        <v>#NUM!</v>
      </c>
      <c r="GC163" s="22" t="e">
        <f t="shared" si="186"/>
        <v>#NUM!</v>
      </c>
      <c r="GD163" s="62" t="e">
        <f t="shared" si="134"/>
        <v>#NUM!</v>
      </c>
      <c r="GE163" s="62">
        <f ca="1">AVERAGE(OFFSET($GD$3,0,0,'Données projet'!$E$17+1,1))-AVERAGE(OFFSET($H$3,0,0,'Données projet'!$E$17+1,1))</f>
        <v>455.50822833641354</v>
      </c>
      <c r="GF163" s="62">
        <f t="shared" si="158"/>
        <v>261.14722581688039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1.7053025658242404E-13</v>
      </c>
      <c r="GV163" s="18">
        <f>GU163*VLOOKUP('Données projet'!$B$18,Paramètres!$A$1:$I$89,3,0)*VLOOKUP('Données projet'!$B$18,Paramètres!$A$1:$I$89,5,0)</f>
        <v>1.1439169611549005E-13</v>
      </c>
      <c r="GW163" s="14">
        <f t="shared" si="188"/>
        <v>1.6918016515029816E-12</v>
      </c>
      <c r="GX163" s="22">
        <f t="shared" si="189"/>
        <v>3.1457867471021712E-12</v>
      </c>
      <c r="GY163" s="62">
        <f t="shared" si="137"/>
        <v>293.33333333333644</v>
      </c>
      <c r="GZ163" s="62">
        <f ca="1">AVERAGE(OFFSET($GY$3,0,0,'Données projet'!$E$18+1,1))-AVERAGE(OFFSET($H$3,0,0,'Données projet'!$E$18+1,1))</f>
        <v>312.06797204903796</v>
      </c>
      <c r="HA163" s="62">
        <f t="shared" si="160"/>
        <v>258.20189001775151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projet'!$B$18,Paramètres!$A$1:$I$89,3,0)*0.475*44/12</f>
        <v>0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190"/>
        <v>0</v>
      </c>
    </row>
    <row r="164" spans="1:218" x14ac:dyDescent="0.25">
      <c r="A164" s="11">
        <f t="shared" si="161"/>
        <v>161</v>
      </c>
      <c r="B164" s="76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9">
        <f t="shared" si="110"/>
        <v>256.66666666666669</v>
      </c>
      <c r="I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2.2737367544323206E-13</v>
      </c>
      <c r="O164" s="14">
        <f>N164*VLOOKUP('Données projet'!$B$9,Paramètres!$A$1:$I$89,3,0)*VLOOKUP('Données projet'!$B$9,Paramètres!$A$1:$I$89,5,0)</f>
        <v>1.2710188457276673E-13</v>
      </c>
      <c r="P164" s="14">
        <f t="shared" si="141"/>
        <v>1.856866851063998E-12</v>
      </c>
      <c r="Q164" s="22">
        <f t="shared" si="162"/>
        <v>3.4554122145673649E-12</v>
      </c>
      <c r="R164" s="62">
        <f t="shared" si="109"/>
        <v>293.33333333333678</v>
      </c>
      <c r="S164" s="62">
        <f ca="1">AVERAGE(OFFSET($R$3,0,0,'Données projet'!$E$9+1,1))-AVERAGE(OFFSET($H$3,0,0,'Données projet'!$E$9+1,1))</f>
        <v>323.98185264074681</v>
      </c>
      <c r="T164" s="62">
        <f t="shared" si="142"/>
        <v>301.22207291854005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0.33331015147787096</v>
      </c>
      <c r="AA164" s="23">
        <f>EXP(-LN(2)/25)*AA163+(1-EXP(-LN(2)/25))/(LN(2)/25)*Calculateur!V164*Calculateur!X164*VLOOKUP('Données projet'!$B$9,Paramètres!$A$1:$I$89,3,0)*0.475*44/12</f>
        <v>0.21823007221047275</v>
      </c>
      <c r="AB164" s="23">
        <f>EXP(-LN(2)/2)*AB163+(1-EXP(-LN(2)/2))/(LN(2)/2)*V164*Y164*VLOOKUP('Données projet'!$B$9,Paramètres!$A$1:$I$89,3,0)*0.475*44/12</f>
        <v>1.1667993338182612E-19</v>
      </c>
      <c r="AC164" s="24">
        <f t="shared" si="163"/>
        <v>0.55154022368834377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-2.8421709430404007E-13</v>
      </c>
      <c r="AJ164" s="14">
        <f>AI164*VLOOKUP('Données projet'!$B$10,Paramètres!$A$1:$I$89,3,0)*VLOOKUP('Données projet'!$B$10,Paramètres!$A$1:$I$89,5,0)</f>
        <v>-1.69961822393816E-13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289.12367833861299</v>
      </c>
      <c r="AO164" s="62">
        <f t="shared" si="144"/>
        <v>229.06617320689003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7.9478936565101346E-20</v>
      </c>
      <c r="AX164" s="23">
        <f t="shared" si="166"/>
        <v>7.9478936565101346E-20</v>
      </c>
      <c r="AY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-9.6633812063373625E-13</v>
      </c>
      <c r="BE164" s="14">
        <f>BD164*VLOOKUP('Données projet'!$B$11,Paramètres!$A$1:$I$89,3,0)*VLOOKUP('Données projet'!$B$11,Paramètres!$A$1:$I$89,5,0)</f>
        <v>-8.7434273154940449E-13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428.8489304403459</v>
      </c>
      <c r="BJ164" s="62">
        <f t="shared" si="146"/>
        <v>247.01165577562966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-1.7053025658242404E-13</v>
      </c>
      <c r="BZ164" s="14">
        <f>BY164*VLOOKUP('Données projet'!$B$12,Paramètres!$A$1:$I$89,3,0)*VLOOKUP('Données projet'!$B$12,Paramètres!$A$1:$I$89,5,0)</f>
        <v>-1.250327841262333E-13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290.85271051443431</v>
      </c>
      <c r="CE164" s="62">
        <f t="shared" si="148"/>
        <v>318.66958823451142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1.1368683772161603E-13</v>
      </c>
      <c r="CU164" s="18">
        <f>CT164*VLOOKUP('Données projet'!$B$13,Paramètres!$A$1:$I$89,3,0)*VLOOKUP('Données projet'!$B$13,Paramètres!$A$1:$I$89,5,0)</f>
        <v>8.8675733422860506E-14</v>
      </c>
      <c r="CV164" s="14">
        <f t="shared" si="173"/>
        <v>1.3509285393066301E-12</v>
      </c>
      <c r="CW164" s="22">
        <f t="shared" si="174"/>
        <v>2.5073107750038623E-12</v>
      </c>
      <c r="CX164" s="62">
        <f t="shared" si="122"/>
        <v>293.33333333333582</v>
      </c>
      <c r="CY164" s="62">
        <f ca="1">AVERAGE(OFFSET($CX$3,0,0,'Données projet'!$E$13+1,1))-AVERAGE(OFFSET($H$3,0,0,'Données projet'!$E$13+1,1))</f>
        <v>292.57482726862594</v>
      </c>
      <c r="CZ164" s="62">
        <f t="shared" si="150"/>
        <v>283.48738729114024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-1.7053025658242404E-13</v>
      </c>
      <c r="DP164" s="18">
        <f>DO164*VLOOKUP('Données projet'!$B$14,Paramètres!$A$1:$I$89,3,0)*VLOOKUP('Données projet'!$B$14,Paramètres!$A$1:$I$89,5,0)</f>
        <v>-1.3567387213697657E-13</v>
      </c>
      <c r="DQ164" s="14" t="e">
        <f t="shared" si="176"/>
        <v>#NUM!</v>
      </c>
      <c r="DR164" s="22" t="e">
        <f t="shared" si="177"/>
        <v>#NUM!</v>
      </c>
      <c r="DS164" s="62" t="e">
        <f t="shared" si="125"/>
        <v>#NUM!</v>
      </c>
      <c r="DT164" s="62">
        <f ca="1">AVERAGE(OFFSET($DS$3,0,0,'Données projet'!$E$14+1,1))-AVERAGE(OFFSET($H$3,0,0,'Données projet'!$E$14+1,1))</f>
        <v>312.53381881960331</v>
      </c>
      <c r="DU164" s="62">
        <f t="shared" si="152"/>
        <v>342.06887933351783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1.1368683772161603E-13</v>
      </c>
      <c r="EK164" s="18">
        <f>EJ164*VLOOKUP('Données projet'!$B$15,Paramètres!$A$1:$I$89,3,0)*VLOOKUP('Données projet'!$B$15,Paramètres!$A$1:$I$89,5,0)</f>
        <v>1.0818439477588981E-13</v>
      </c>
      <c r="EL164" s="14">
        <f t="shared" si="179"/>
        <v>1.6104228458716316E-12</v>
      </c>
      <c r="EM164" s="22">
        <f t="shared" si="180"/>
        <v>2.9932409441277661E-12</v>
      </c>
      <c r="EN164" s="62">
        <f t="shared" si="128"/>
        <v>293.33333333333633</v>
      </c>
      <c r="EO164" s="62">
        <f ca="1">AVERAGE(OFFSET($EN$3,0,0,'Données projet'!$E$15+1,1))-AVERAGE(OFFSET($H$3,0,0,'Données projet'!$E$15+1,1))</f>
        <v>363.37916970915211</v>
      </c>
      <c r="EP164" s="62">
        <f t="shared" si="154"/>
        <v>281.52963027844595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-6.2527760746888816E-13</v>
      </c>
      <c r="FF164" s="18">
        <f>FE164*VLOOKUP('Données projet'!$B$16,Paramètres!$A$1:$I$89,3,0)*VLOOKUP('Données projet'!$B$16,Paramètres!$A$1:$I$89,5,0)</f>
        <v>-2.9262992029543964E-13</v>
      </c>
      <c r="FG164" s="14" t="e">
        <f t="shared" si="182"/>
        <v>#NUM!</v>
      </c>
      <c r="FH164" s="22" t="e">
        <f t="shared" si="183"/>
        <v>#NUM!</v>
      </c>
      <c r="FI164" s="62" t="e">
        <f t="shared" si="131"/>
        <v>#NUM!</v>
      </c>
      <c r="FJ164" s="62">
        <f ca="1">AVERAGE(OFFSET($FI$3,0,0,'Données projet'!$E$16+1,1))-AVERAGE(OFFSET($H$3,0,0,'Données projet'!$E$16+1,1))</f>
        <v>245.47494516762282</v>
      </c>
      <c r="FK164" s="62">
        <f t="shared" si="156"/>
        <v>145.54897745089966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-9.6633812063373625E-13</v>
      </c>
      <c r="GA164" s="18">
        <f>FZ164*VLOOKUP('Données projet'!$B$17,Paramètres!$A$1:$I$89,3,0)*VLOOKUP('Données projet'!$B$17,Paramètres!$A$1:$I$89,5,0)</f>
        <v>-9.3464223027694966E-13</v>
      </c>
      <c r="GB164" s="14" t="e">
        <f t="shared" si="185"/>
        <v>#NUM!</v>
      </c>
      <c r="GC164" s="22" t="e">
        <f t="shared" si="186"/>
        <v>#NUM!</v>
      </c>
      <c r="GD164" s="62" t="e">
        <f t="shared" si="134"/>
        <v>#NUM!</v>
      </c>
      <c r="GE164" s="62">
        <f ca="1">AVERAGE(OFFSET($GD$3,0,0,'Données projet'!$E$17+1,1))-AVERAGE(OFFSET($H$3,0,0,'Données projet'!$E$17+1,1))</f>
        <v>455.50822833641354</v>
      </c>
      <c r="GF164" s="62">
        <f t="shared" si="158"/>
        <v>261.14722581688039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1.7053025658242404E-13</v>
      </c>
      <c r="GV164" s="18">
        <f>GU164*VLOOKUP('Données projet'!$B$18,Paramètres!$A$1:$I$89,3,0)*VLOOKUP('Données projet'!$B$18,Paramètres!$A$1:$I$89,5,0)</f>
        <v>1.1439169611549005E-13</v>
      </c>
      <c r="GW164" s="14">
        <f t="shared" si="188"/>
        <v>1.6918016515029816E-12</v>
      </c>
      <c r="GX164" s="22">
        <f t="shared" si="189"/>
        <v>3.1457867471021712E-12</v>
      </c>
      <c r="GY164" s="62">
        <f t="shared" si="137"/>
        <v>293.33333333333644</v>
      </c>
      <c r="GZ164" s="62">
        <f ca="1">AVERAGE(OFFSET($GY$3,0,0,'Données projet'!$E$18+1,1))-AVERAGE(OFFSET($H$3,0,0,'Données projet'!$E$18+1,1))</f>
        <v>312.06797204903796</v>
      </c>
      <c r="HA164" s="62">
        <f t="shared" si="160"/>
        <v>258.20189001775151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projet'!$B$18,Paramètres!$A$1:$I$89,3,0)*0.475*44/12</f>
        <v>0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190"/>
        <v>0</v>
      </c>
    </row>
    <row r="165" spans="1:218" x14ac:dyDescent="0.25">
      <c r="A165" s="11">
        <f t="shared" si="161"/>
        <v>162</v>
      </c>
      <c r="B165" s="76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9">
        <f t="shared" si="110"/>
        <v>256.66666666666669</v>
      </c>
      <c r="I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2.2737367544323206E-13</v>
      </c>
      <c r="O165" s="14">
        <f>N165*VLOOKUP('Données projet'!$B$9,Paramètres!$A$1:$I$89,3,0)*VLOOKUP('Données projet'!$B$9,Paramètres!$A$1:$I$89,5,0)</f>
        <v>1.2710188457276673E-13</v>
      </c>
      <c r="P165" s="14">
        <f t="shared" si="141"/>
        <v>1.856866851063998E-12</v>
      </c>
      <c r="Q165" s="22">
        <f t="shared" si="162"/>
        <v>3.4554122145673649E-12</v>
      </c>
      <c r="R165" s="62">
        <f t="shared" si="109"/>
        <v>293.33333333333678</v>
      </c>
      <c r="S165" s="62">
        <f ca="1">AVERAGE(OFFSET($R$3,0,0,'Données projet'!$E$9+1,1))-AVERAGE(OFFSET($H$3,0,0,'Données projet'!$E$9+1,1))</f>
        <v>323.98185264074681</v>
      </c>
      <c r="T165" s="62">
        <f t="shared" si="142"/>
        <v>301.22207291854005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0.32677414270650817</v>
      </c>
      <c r="AA165" s="23">
        <f>EXP(-LN(2)/25)*AA164+(1-EXP(-LN(2)/25))/(LN(2)/25)*Calculateur!V165*Calculateur!X165*VLOOKUP('Données projet'!$B$9,Paramètres!$A$1:$I$89,3,0)*0.475*44/12</f>
        <v>0.21226255940965663</v>
      </c>
      <c r="AB165" s="23">
        <f>EXP(-LN(2)/2)*AB164+(1-EXP(-LN(2)/2))/(LN(2)/2)*V165*Y165*VLOOKUP('Données projet'!$B$9,Paramètres!$A$1:$I$89,3,0)*0.475*44/12</f>
        <v>8.2505172122683869E-20</v>
      </c>
      <c r="AC165" s="24">
        <f t="shared" si="163"/>
        <v>0.53903670211616483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-2.8421709430404007E-13</v>
      </c>
      <c r="AJ165" s="14">
        <f>AI165*VLOOKUP('Données projet'!$B$10,Paramètres!$A$1:$I$89,3,0)*VLOOKUP('Données projet'!$B$10,Paramètres!$A$1:$I$89,5,0)</f>
        <v>-1.69961822393816E-13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289.12367833861299</v>
      </c>
      <c r="AO165" s="62">
        <f t="shared" si="144"/>
        <v>229.06617320689003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5.6200095006678608E-20</v>
      </c>
      <c r="AX165" s="23">
        <f t="shared" si="166"/>
        <v>5.6200095006678608E-20</v>
      </c>
      <c r="AY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-9.6633812063373625E-13</v>
      </c>
      <c r="BE165" s="14">
        <f>BD165*VLOOKUP('Données projet'!$B$11,Paramètres!$A$1:$I$89,3,0)*VLOOKUP('Données projet'!$B$11,Paramètres!$A$1:$I$89,5,0)</f>
        <v>-8.7434273154940449E-13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428.8489304403459</v>
      </c>
      <c r="BJ165" s="62">
        <f t="shared" si="146"/>
        <v>247.01165577562966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-1.7053025658242404E-13</v>
      </c>
      <c r="BZ165" s="14">
        <f>BY165*VLOOKUP('Données projet'!$B$12,Paramètres!$A$1:$I$89,3,0)*VLOOKUP('Données projet'!$B$12,Paramètres!$A$1:$I$89,5,0)</f>
        <v>-1.250327841262333E-13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290.85271051443431</v>
      </c>
      <c r="CE165" s="62">
        <f t="shared" si="148"/>
        <v>318.66958823451142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1.1368683772161603E-13</v>
      </c>
      <c r="CU165" s="18">
        <f>CT165*VLOOKUP('Données projet'!$B$13,Paramètres!$A$1:$I$89,3,0)*VLOOKUP('Données projet'!$B$13,Paramètres!$A$1:$I$89,5,0)</f>
        <v>8.8675733422860506E-14</v>
      </c>
      <c r="CV165" s="14">
        <f t="shared" si="173"/>
        <v>1.3509285393066301E-12</v>
      </c>
      <c r="CW165" s="22">
        <f t="shared" si="174"/>
        <v>2.5073107750038623E-12</v>
      </c>
      <c r="CX165" s="62">
        <f t="shared" si="122"/>
        <v>293.33333333333582</v>
      </c>
      <c r="CY165" s="62">
        <f ca="1">AVERAGE(OFFSET($CX$3,0,0,'Données projet'!$E$13+1,1))-AVERAGE(OFFSET($H$3,0,0,'Données projet'!$E$13+1,1))</f>
        <v>292.57482726862594</v>
      </c>
      <c r="CZ165" s="62">
        <f t="shared" si="150"/>
        <v>283.48738729114024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-1.7053025658242404E-13</v>
      </c>
      <c r="DP165" s="18">
        <f>DO165*VLOOKUP('Données projet'!$B$14,Paramètres!$A$1:$I$89,3,0)*VLOOKUP('Données projet'!$B$14,Paramètres!$A$1:$I$89,5,0)</f>
        <v>-1.3567387213697657E-13</v>
      </c>
      <c r="DQ165" s="14" t="e">
        <f t="shared" si="176"/>
        <v>#NUM!</v>
      </c>
      <c r="DR165" s="22" t="e">
        <f t="shared" si="177"/>
        <v>#NUM!</v>
      </c>
      <c r="DS165" s="62" t="e">
        <f t="shared" si="125"/>
        <v>#NUM!</v>
      </c>
      <c r="DT165" s="62">
        <f ca="1">AVERAGE(OFFSET($DS$3,0,0,'Données projet'!$E$14+1,1))-AVERAGE(OFFSET($H$3,0,0,'Données projet'!$E$14+1,1))</f>
        <v>312.53381881960331</v>
      </c>
      <c r="DU165" s="62">
        <f t="shared" si="152"/>
        <v>342.06887933351783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1.1368683772161603E-13</v>
      </c>
      <c r="EK165" s="18">
        <f>EJ165*VLOOKUP('Données projet'!$B$15,Paramètres!$A$1:$I$89,3,0)*VLOOKUP('Données projet'!$B$15,Paramètres!$A$1:$I$89,5,0)</f>
        <v>1.0818439477588981E-13</v>
      </c>
      <c r="EL165" s="14">
        <f t="shared" si="179"/>
        <v>1.6104228458716316E-12</v>
      </c>
      <c r="EM165" s="22">
        <f t="shared" si="180"/>
        <v>2.9932409441277661E-12</v>
      </c>
      <c r="EN165" s="62">
        <f t="shared" si="128"/>
        <v>293.33333333333633</v>
      </c>
      <c r="EO165" s="62">
        <f ca="1">AVERAGE(OFFSET($EN$3,0,0,'Données projet'!$E$15+1,1))-AVERAGE(OFFSET($H$3,0,0,'Données projet'!$E$15+1,1))</f>
        <v>363.37916970915211</v>
      </c>
      <c r="EP165" s="62">
        <f t="shared" si="154"/>
        <v>281.52963027844595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-6.2527760746888816E-13</v>
      </c>
      <c r="FF165" s="18">
        <f>FE165*VLOOKUP('Données projet'!$B$16,Paramètres!$A$1:$I$89,3,0)*VLOOKUP('Données projet'!$B$16,Paramètres!$A$1:$I$89,5,0)</f>
        <v>-2.9262992029543964E-13</v>
      </c>
      <c r="FG165" s="14" t="e">
        <f t="shared" si="182"/>
        <v>#NUM!</v>
      </c>
      <c r="FH165" s="22" t="e">
        <f t="shared" si="183"/>
        <v>#NUM!</v>
      </c>
      <c r="FI165" s="62" t="e">
        <f t="shared" si="131"/>
        <v>#NUM!</v>
      </c>
      <c r="FJ165" s="62">
        <f ca="1">AVERAGE(OFFSET($FI$3,0,0,'Données projet'!$E$16+1,1))-AVERAGE(OFFSET($H$3,0,0,'Données projet'!$E$16+1,1))</f>
        <v>245.47494516762282</v>
      </c>
      <c r="FK165" s="62">
        <f t="shared" si="156"/>
        <v>145.54897745089966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-9.6633812063373625E-13</v>
      </c>
      <c r="GA165" s="18">
        <f>FZ165*VLOOKUP('Données projet'!$B$17,Paramètres!$A$1:$I$89,3,0)*VLOOKUP('Données projet'!$B$17,Paramètres!$A$1:$I$89,5,0)</f>
        <v>-9.3464223027694966E-13</v>
      </c>
      <c r="GB165" s="14" t="e">
        <f t="shared" si="185"/>
        <v>#NUM!</v>
      </c>
      <c r="GC165" s="22" t="e">
        <f t="shared" si="186"/>
        <v>#NUM!</v>
      </c>
      <c r="GD165" s="62" t="e">
        <f t="shared" si="134"/>
        <v>#NUM!</v>
      </c>
      <c r="GE165" s="62">
        <f ca="1">AVERAGE(OFFSET($GD$3,0,0,'Données projet'!$E$17+1,1))-AVERAGE(OFFSET($H$3,0,0,'Données projet'!$E$17+1,1))</f>
        <v>455.50822833641354</v>
      </c>
      <c r="GF165" s="62">
        <f t="shared" si="158"/>
        <v>261.14722581688039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1.7053025658242404E-13</v>
      </c>
      <c r="GV165" s="18">
        <f>GU165*VLOOKUP('Données projet'!$B$18,Paramètres!$A$1:$I$89,3,0)*VLOOKUP('Données projet'!$B$18,Paramètres!$A$1:$I$89,5,0)</f>
        <v>1.1439169611549005E-13</v>
      </c>
      <c r="GW165" s="14">
        <f t="shared" si="188"/>
        <v>1.6918016515029816E-12</v>
      </c>
      <c r="GX165" s="22">
        <f t="shared" si="189"/>
        <v>3.1457867471021712E-12</v>
      </c>
      <c r="GY165" s="62">
        <f t="shared" si="137"/>
        <v>293.33333333333644</v>
      </c>
      <c r="GZ165" s="62">
        <f ca="1">AVERAGE(OFFSET($GY$3,0,0,'Données projet'!$E$18+1,1))-AVERAGE(OFFSET($H$3,0,0,'Données projet'!$E$18+1,1))</f>
        <v>312.06797204903796</v>
      </c>
      <c r="HA165" s="62">
        <f t="shared" si="160"/>
        <v>258.20189001775151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projet'!$B$18,Paramètres!$A$1:$I$89,3,0)*0.475*44/12</f>
        <v>0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190"/>
        <v>0</v>
      </c>
    </row>
    <row r="166" spans="1:218" x14ac:dyDescent="0.25">
      <c r="A166" s="11">
        <f t="shared" si="161"/>
        <v>163</v>
      </c>
      <c r="B166" s="76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9">
        <f t="shared" si="110"/>
        <v>256.66666666666669</v>
      </c>
      <c r="I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2.2737367544323206E-13</v>
      </c>
      <c r="O166" s="14">
        <f>N166*VLOOKUP('Données projet'!$B$9,Paramètres!$A$1:$I$89,3,0)*VLOOKUP('Données projet'!$B$9,Paramètres!$A$1:$I$89,5,0)</f>
        <v>1.2710188457276673E-13</v>
      </c>
      <c r="P166" s="14">
        <f t="shared" si="141"/>
        <v>1.856866851063998E-12</v>
      </c>
      <c r="Q166" s="22">
        <f t="shared" si="162"/>
        <v>3.4554122145673649E-12</v>
      </c>
      <c r="R166" s="62">
        <f t="shared" si="109"/>
        <v>293.33333333333678</v>
      </c>
      <c r="S166" s="62">
        <f ca="1">AVERAGE(OFFSET($R$3,0,0,'Données projet'!$E$9+1,1))-AVERAGE(OFFSET($H$3,0,0,'Données projet'!$E$9+1,1))</f>
        <v>323.98185264074681</v>
      </c>
      <c r="T166" s="62">
        <f t="shared" si="142"/>
        <v>301.22207291854005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0.32036630108058012</v>
      </c>
      <c r="AA166" s="23">
        <f>EXP(-LN(2)/25)*AA165+(1-EXP(-LN(2)/25))/(LN(2)/25)*Calculateur!V166*Calculateur!X166*VLOOKUP('Données projet'!$B$9,Paramètres!$A$1:$I$89,3,0)*0.475*44/12</f>
        <v>0.20645822856019672</v>
      </c>
      <c r="AB166" s="23">
        <f>EXP(-LN(2)/2)*AB165+(1-EXP(-LN(2)/2))/(LN(2)/2)*V166*Y166*VLOOKUP('Données projet'!$B$9,Paramètres!$A$1:$I$89,3,0)*0.475*44/12</f>
        <v>5.8339966690913062E-20</v>
      </c>
      <c r="AC166" s="24">
        <f t="shared" si="163"/>
        <v>0.52682452964077686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-2.8421709430404007E-13</v>
      </c>
      <c r="AJ166" s="14">
        <f>AI166*VLOOKUP('Données projet'!$B$10,Paramètres!$A$1:$I$89,3,0)*VLOOKUP('Données projet'!$B$10,Paramètres!$A$1:$I$89,5,0)</f>
        <v>-1.69961822393816E-13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289.12367833861299</v>
      </c>
      <c r="AO166" s="62">
        <f t="shared" si="144"/>
        <v>229.06617320689003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3.9739468282550673E-20</v>
      </c>
      <c r="AX166" s="23">
        <f t="shared" si="166"/>
        <v>3.9739468282550673E-20</v>
      </c>
      <c r="AY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-9.6633812063373625E-13</v>
      </c>
      <c r="BE166" s="14">
        <f>BD166*VLOOKUP('Données projet'!$B$11,Paramètres!$A$1:$I$89,3,0)*VLOOKUP('Données projet'!$B$11,Paramètres!$A$1:$I$89,5,0)</f>
        <v>-8.7434273154940449E-13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428.8489304403459</v>
      </c>
      <c r="BJ166" s="62">
        <f t="shared" si="146"/>
        <v>247.01165577562966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-1.7053025658242404E-13</v>
      </c>
      <c r="BZ166" s="14">
        <f>BY166*VLOOKUP('Données projet'!$B$12,Paramètres!$A$1:$I$89,3,0)*VLOOKUP('Données projet'!$B$12,Paramètres!$A$1:$I$89,5,0)</f>
        <v>-1.250327841262333E-13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290.85271051443431</v>
      </c>
      <c r="CE166" s="62">
        <f t="shared" si="148"/>
        <v>318.66958823451142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1.1368683772161603E-13</v>
      </c>
      <c r="CU166" s="18">
        <f>CT166*VLOOKUP('Données projet'!$B$13,Paramètres!$A$1:$I$89,3,0)*VLOOKUP('Données projet'!$B$13,Paramètres!$A$1:$I$89,5,0)</f>
        <v>8.8675733422860506E-14</v>
      </c>
      <c r="CV166" s="14">
        <f t="shared" si="173"/>
        <v>1.3509285393066301E-12</v>
      </c>
      <c r="CW166" s="22">
        <f t="shared" si="174"/>
        <v>2.5073107750038623E-12</v>
      </c>
      <c r="CX166" s="62">
        <f t="shared" si="122"/>
        <v>293.33333333333582</v>
      </c>
      <c r="CY166" s="62">
        <f ca="1">AVERAGE(OFFSET($CX$3,0,0,'Données projet'!$E$13+1,1))-AVERAGE(OFFSET($H$3,0,0,'Données projet'!$E$13+1,1))</f>
        <v>292.57482726862594</v>
      </c>
      <c r="CZ166" s="62">
        <f t="shared" si="150"/>
        <v>283.48738729114024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-1.7053025658242404E-13</v>
      </c>
      <c r="DP166" s="18">
        <f>DO166*VLOOKUP('Données projet'!$B$14,Paramètres!$A$1:$I$89,3,0)*VLOOKUP('Données projet'!$B$14,Paramètres!$A$1:$I$89,5,0)</f>
        <v>-1.3567387213697657E-13</v>
      </c>
      <c r="DQ166" s="14" t="e">
        <f t="shared" si="176"/>
        <v>#NUM!</v>
      </c>
      <c r="DR166" s="22" t="e">
        <f t="shared" si="177"/>
        <v>#NUM!</v>
      </c>
      <c r="DS166" s="62" t="e">
        <f t="shared" si="125"/>
        <v>#NUM!</v>
      </c>
      <c r="DT166" s="62">
        <f ca="1">AVERAGE(OFFSET($DS$3,0,0,'Données projet'!$E$14+1,1))-AVERAGE(OFFSET($H$3,0,0,'Données projet'!$E$14+1,1))</f>
        <v>312.53381881960331</v>
      </c>
      <c r="DU166" s="62">
        <f t="shared" si="152"/>
        <v>342.06887933351783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1.1368683772161603E-13</v>
      </c>
      <c r="EK166" s="18">
        <f>EJ166*VLOOKUP('Données projet'!$B$15,Paramètres!$A$1:$I$89,3,0)*VLOOKUP('Données projet'!$B$15,Paramètres!$A$1:$I$89,5,0)</f>
        <v>1.0818439477588981E-13</v>
      </c>
      <c r="EL166" s="14">
        <f t="shared" si="179"/>
        <v>1.6104228458716316E-12</v>
      </c>
      <c r="EM166" s="22">
        <f t="shared" si="180"/>
        <v>2.9932409441277661E-12</v>
      </c>
      <c r="EN166" s="62">
        <f t="shared" si="128"/>
        <v>293.33333333333633</v>
      </c>
      <c r="EO166" s="62">
        <f ca="1">AVERAGE(OFFSET($EN$3,0,0,'Données projet'!$E$15+1,1))-AVERAGE(OFFSET($H$3,0,0,'Données projet'!$E$15+1,1))</f>
        <v>363.37916970915211</v>
      </c>
      <c r="EP166" s="62">
        <f t="shared" si="154"/>
        <v>281.52963027844595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-6.2527760746888816E-13</v>
      </c>
      <c r="FF166" s="18">
        <f>FE166*VLOOKUP('Données projet'!$B$16,Paramètres!$A$1:$I$89,3,0)*VLOOKUP('Données projet'!$B$16,Paramètres!$A$1:$I$89,5,0)</f>
        <v>-2.9262992029543964E-13</v>
      </c>
      <c r="FG166" s="14" t="e">
        <f t="shared" si="182"/>
        <v>#NUM!</v>
      </c>
      <c r="FH166" s="22" t="e">
        <f t="shared" si="183"/>
        <v>#NUM!</v>
      </c>
      <c r="FI166" s="62" t="e">
        <f t="shared" si="131"/>
        <v>#NUM!</v>
      </c>
      <c r="FJ166" s="62">
        <f ca="1">AVERAGE(OFFSET($FI$3,0,0,'Données projet'!$E$16+1,1))-AVERAGE(OFFSET($H$3,0,0,'Données projet'!$E$16+1,1))</f>
        <v>245.47494516762282</v>
      </c>
      <c r="FK166" s="62">
        <f t="shared" si="156"/>
        <v>145.54897745089966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-9.6633812063373625E-13</v>
      </c>
      <c r="GA166" s="18">
        <f>FZ166*VLOOKUP('Données projet'!$B$17,Paramètres!$A$1:$I$89,3,0)*VLOOKUP('Données projet'!$B$17,Paramètres!$A$1:$I$89,5,0)</f>
        <v>-9.3464223027694966E-13</v>
      </c>
      <c r="GB166" s="14" t="e">
        <f t="shared" si="185"/>
        <v>#NUM!</v>
      </c>
      <c r="GC166" s="22" t="e">
        <f t="shared" si="186"/>
        <v>#NUM!</v>
      </c>
      <c r="GD166" s="62" t="e">
        <f t="shared" si="134"/>
        <v>#NUM!</v>
      </c>
      <c r="GE166" s="62">
        <f ca="1">AVERAGE(OFFSET($GD$3,0,0,'Données projet'!$E$17+1,1))-AVERAGE(OFFSET($H$3,0,0,'Données projet'!$E$17+1,1))</f>
        <v>455.50822833641354</v>
      </c>
      <c r="GF166" s="62">
        <f t="shared" si="158"/>
        <v>261.14722581688039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1.7053025658242404E-13</v>
      </c>
      <c r="GV166" s="18">
        <f>GU166*VLOOKUP('Données projet'!$B$18,Paramètres!$A$1:$I$89,3,0)*VLOOKUP('Données projet'!$B$18,Paramètres!$A$1:$I$89,5,0)</f>
        <v>1.1439169611549005E-13</v>
      </c>
      <c r="GW166" s="14">
        <f t="shared" si="188"/>
        <v>1.6918016515029816E-12</v>
      </c>
      <c r="GX166" s="22">
        <f t="shared" si="189"/>
        <v>3.1457867471021712E-12</v>
      </c>
      <c r="GY166" s="62">
        <f t="shared" si="137"/>
        <v>293.33333333333644</v>
      </c>
      <c r="GZ166" s="62">
        <f ca="1">AVERAGE(OFFSET($GY$3,0,0,'Données projet'!$E$18+1,1))-AVERAGE(OFFSET($H$3,0,0,'Données projet'!$E$18+1,1))</f>
        <v>312.06797204903796</v>
      </c>
      <c r="HA166" s="62">
        <f t="shared" si="160"/>
        <v>258.20189001775151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projet'!$B$18,Paramètres!$A$1:$I$89,3,0)*0.475*44/12</f>
        <v>0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190"/>
        <v>0</v>
      </c>
    </row>
    <row r="167" spans="1:218" x14ac:dyDescent="0.25">
      <c r="A167" s="11">
        <f t="shared" si="161"/>
        <v>164</v>
      </c>
      <c r="B167" s="76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9">
        <f t="shared" si="110"/>
        <v>256.66666666666669</v>
      </c>
      <c r="I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2.2737367544323206E-13</v>
      </c>
      <c r="O167" s="14">
        <f>N167*VLOOKUP('Données projet'!$B$9,Paramètres!$A$1:$I$89,3,0)*VLOOKUP('Données projet'!$B$9,Paramètres!$A$1:$I$89,5,0)</f>
        <v>1.2710188457276673E-13</v>
      </c>
      <c r="P167" s="14">
        <f t="shared" si="141"/>
        <v>1.856866851063998E-12</v>
      </c>
      <c r="Q167" s="22">
        <f t="shared" si="162"/>
        <v>3.4554122145673649E-12</v>
      </c>
      <c r="R167" s="62">
        <f t="shared" si="109"/>
        <v>293.33333333333678</v>
      </c>
      <c r="S167" s="62">
        <f ca="1">AVERAGE(OFFSET($R$3,0,0,'Données projet'!$E$9+1,1))-AVERAGE(OFFSET($H$3,0,0,'Données projet'!$E$9+1,1))</f>
        <v>323.98185264074681</v>
      </c>
      <c r="T167" s="62">
        <f t="shared" si="142"/>
        <v>301.22207291854005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0.31408411332053904</v>
      </c>
      <c r="AA167" s="23">
        <f>EXP(-LN(2)/25)*AA166+(1-EXP(-LN(2)/25))/(LN(2)/25)*Calculateur!V167*Calculateur!X167*VLOOKUP('Données projet'!$B$9,Paramètres!$A$1:$I$89,3,0)*0.475*44/12</f>
        <v>0.20081261744305176</v>
      </c>
      <c r="AB167" s="23">
        <f>EXP(-LN(2)/2)*AB166+(1-EXP(-LN(2)/2))/(LN(2)/2)*V167*Y167*VLOOKUP('Données projet'!$B$9,Paramètres!$A$1:$I$89,3,0)*0.475*44/12</f>
        <v>4.1252586061341934E-20</v>
      </c>
      <c r="AC167" s="24">
        <f t="shared" si="163"/>
        <v>0.51489673076359077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-2.8421709430404007E-13</v>
      </c>
      <c r="AJ167" s="14">
        <f>AI167*VLOOKUP('Données projet'!$B$10,Paramètres!$A$1:$I$89,3,0)*VLOOKUP('Données projet'!$B$10,Paramètres!$A$1:$I$89,5,0)</f>
        <v>-1.69961822393816E-13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289.12367833861299</v>
      </c>
      <c r="AO167" s="62">
        <f t="shared" si="144"/>
        <v>229.06617320689003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2.8100047503339304E-20</v>
      </c>
      <c r="AX167" s="23">
        <f t="shared" si="166"/>
        <v>2.8100047503339304E-20</v>
      </c>
      <c r="AY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-9.6633812063373625E-13</v>
      </c>
      <c r="BE167" s="14">
        <f>BD167*VLOOKUP('Données projet'!$B$11,Paramètres!$A$1:$I$89,3,0)*VLOOKUP('Données projet'!$B$11,Paramètres!$A$1:$I$89,5,0)</f>
        <v>-8.7434273154940449E-13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428.8489304403459</v>
      </c>
      <c r="BJ167" s="62">
        <f t="shared" si="146"/>
        <v>247.01165577562966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-1.7053025658242404E-13</v>
      </c>
      <c r="BZ167" s="14">
        <f>BY167*VLOOKUP('Données projet'!$B$12,Paramètres!$A$1:$I$89,3,0)*VLOOKUP('Données projet'!$B$12,Paramètres!$A$1:$I$89,5,0)</f>
        <v>-1.250327841262333E-13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290.85271051443431</v>
      </c>
      <c r="CE167" s="62">
        <f t="shared" si="148"/>
        <v>318.66958823451142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1.1368683772161603E-13</v>
      </c>
      <c r="CU167" s="18">
        <f>CT167*VLOOKUP('Données projet'!$B$13,Paramètres!$A$1:$I$89,3,0)*VLOOKUP('Données projet'!$B$13,Paramètres!$A$1:$I$89,5,0)</f>
        <v>8.8675733422860506E-14</v>
      </c>
      <c r="CV167" s="14">
        <f t="shared" si="173"/>
        <v>1.3509285393066301E-12</v>
      </c>
      <c r="CW167" s="22">
        <f t="shared" si="174"/>
        <v>2.5073107750038623E-12</v>
      </c>
      <c r="CX167" s="62">
        <f t="shared" si="122"/>
        <v>293.33333333333582</v>
      </c>
      <c r="CY167" s="62">
        <f ca="1">AVERAGE(OFFSET($CX$3,0,0,'Données projet'!$E$13+1,1))-AVERAGE(OFFSET($H$3,0,0,'Données projet'!$E$13+1,1))</f>
        <v>292.57482726862594</v>
      </c>
      <c r="CZ167" s="62">
        <f t="shared" si="150"/>
        <v>283.48738729114024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-1.7053025658242404E-13</v>
      </c>
      <c r="DP167" s="18">
        <f>DO167*VLOOKUP('Données projet'!$B$14,Paramètres!$A$1:$I$89,3,0)*VLOOKUP('Données projet'!$B$14,Paramètres!$A$1:$I$89,5,0)</f>
        <v>-1.3567387213697657E-13</v>
      </c>
      <c r="DQ167" s="14" t="e">
        <f t="shared" si="176"/>
        <v>#NUM!</v>
      </c>
      <c r="DR167" s="22" t="e">
        <f t="shared" si="177"/>
        <v>#NUM!</v>
      </c>
      <c r="DS167" s="62" t="e">
        <f t="shared" si="125"/>
        <v>#NUM!</v>
      </c>
      <c r="DT167" s="62">
        <f ca="1">AVERAGE(OFFSET($DS$3,0,0,'Données projet'!$E$14+1,1))-AVERAGE(OFFSET($H$3,0,0,'Données projet'!$E$14+1,1))</f>
        <v>312.53381881960331</v>
      </c>
      <c r="DU167" s="62">
        <f t="shared" si="152"/>
        <v>342.06887933351783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1.1368683772161603E-13</v>
      </c>
      <c r="EK167" s="18">
        <f>EJ167*VLOOKUP('Données projet'!$B$15,Paramètres!$A$1:$I$89,3,0)*VLOOKUP('Données projet'!$B$15,Paramètres!$A$1:$I$89,5,0)</f>
        <v>1.0818439477588981E-13</v>
      </c>
      <c r="EL167" s="14">
        <f t="shared" si="179"/>
        <v>1.6104228458716316E-12</v>
      </c>
      <c r="EM167" s="22">
        <f t="shared" si="180"/>
        <v>2.9932409441277661E-12</v>
      </c>
      <c r="EN167" s="62">
        <f t="shared" si="128"/>
        <v>293.33333333333633</v>
      </c>
      <c r="EO167" s="62">
        <f ca="1">AVERAGE(OFFSET($EN$3,0,0,'Données projet'!$E$15+1,1))-AVERAGE(OFFSET($H$3,0,0,'Données projet'!$E$15+1,1))</f>
        <v>363.37916970915211</v>
      </c>
      <c r="EP167" s="62">
        <f t="shared" si="154"/>
        <v>281.52963027844595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-6.2527760746888816E-13</v>
      </c>
      <c r="FF167" s="18">
        <f>FE167*VLOOKUP('Données projet'!$B$16,Paramètres!$A$1:$I$89,3,0)*VLOOKUP('Données projet'!$B$16,Paramètres!$A$1:$I$89,5,0)</f>
        <v>-2.9262992029543964E-13</v>
      </c>
      <c r="FG167" s="14" t="e">
        <f t="shared" si="182"/>
        <v>#NUM!</v>
      </c>
      <c r="FH167" s="22" t="e">
        <f t="shared" si="183"/>
        <v>#NUM!</v>
      </c>
      <c r="FI167" s="62" t="e">
        <f t="shared" si="131"/>
        <v>#NUM!</v>
      </c>
      <c r="FJ167" s="62">
        <f ca="1">AVERAGE(OFFSET($FI$3,0,0,'Données projet'!$E$16+1,1))-AVERAGE(OFFSET($H$3,0,0,'Données projet'!$E$16+1,1))</f>
        <v>245.47494516762282</v>
      </c>
      <c r="FK167" s="62">
        <f t="shared" si="156"/>
        <v>145.54897745089966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-9.6633812063373625E-13</v>
      </c>
      <c r="GA167" s="18">
        <f>FZ167*VLOOKUP('Données projet'!$B$17,Paramètres!$A$1:$I$89,3,0)*VLOOKUP('Données projet'!$B$17,Paramètres!$A$1:$I$89,5,0)</f>
        <v>-9.3464223027694966E-13</v>
      </c>
      <c r="GB167" s="14" t="e">
        <f t="shared" si="185"/>
        <v>#NUM!</v>
      </c>
      <c r="GC167" s="22" t="e">
        <f t="shared" si="186"/>
        <v>#NUM!</v>
      </c>
      <c r="GD167" s="62" t="e">
        <f t="shared" si="134"/>
        <v>#NUM!</v>
      </c>
      <c r="GE167" s="62">
        <f ca="1">AVERAGE(OFFSET($GD$3,0,0,'Données projet'!$E$17+1,1))-AVERAGE(OFFSET($H$3,0,0,'Données projet'!$E$17+1,1))</f>
        <v>455.50822833641354</v>
      </c>
      <c r="GF167" s="62">
        <f t="shared" si="158"/>
        <v>261.14722581688039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1.7053025658242404E-13</v>
      </c>
      <c r="GV167" s="18">
        <f>GU167*VLOOKUP('Données projet'!$B$18,Paramètres!$A$1:$I$89,3,0)*VLOOKUP('Données projet'!$B$18,Paramètres!$A$1:$I$89,5,0)</f>
        <v>1.1439169611549005E-13</v>
      </c>
      <c r="GW167" s="14">
        <f t="shared" si="188"/>
        <v>1.6918016515029816E-12</v>
      </c>
      <c r="GX167" s="22">
        <f t="shared" si="189"/>
        <v>3.1457867471021712E-12</v>
      </c>
      <c r="GY167" s="62">
        <f t="shared" si="137"/>
        <v>293.33333333333644</v>
      </c>
      <c r="GZ167" s="62">
        <f ca="1">AVERAGE(OFFSET($GY$3,0,0,'Données projet'!$E$18+1,1))-AVERAGE(OFFSET($H$3,0,0,'Données projet'!$E$18+1,1))</f>
        <v>312.06797204903796</v>
      </c>
      <c r="HA167" s="62">
        <f t="shared" si="160"/>
        <v>258.20189001775151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projet'!$B$18,Paramètres!$A$1:$I$89,3,0)*0.475*44/12</f>
        <v>0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190"/>
        <v>0</v>
      </c>
    </row>
    <row r="168" spans="1:218" x14ac:dyDescent="0.25">
      <c r="A168" s="11">
        <f t="shared" si="161"/>
        <v>165</v>
      </c>
      <c r="B168" s="76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9">
        <f t="shared" si="110"/>
        <v>256.66666666666669</v>
      </c>
      <c r="I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2.2737367544323206E-13</v>
      </c>
      <c r="O168" s="14">
        <f>N168*VLOOKUP('Données projet'!$B$9,Paramètres!$A$1:$I$89,3,0)*VLOOKUP('Données projet'!$B$9,Paramètres!$A$1:$I$89,5,0)</f>
        <v>1.2710188457276673E-13</v>
      </c>
      <c r="P168" s="14">
        <f t="shared" si="141"/>
        <v>1.856866851063998E-12</v>
      </c>
      <c r="Q168" s="22">
        <f t="shared" si="162"/>
        <v>3.4554122145673649E-12</v>
      </c>
      <c r="R168" s="62">
        <f t="shared" si="109"/>
        <v>293.33333333333678</v>
      </c>
      <c r="S168" s="62">
        <f ca="1">AVERAGE(OFFSET($R$3,0,0,'Données projet'!$E$9+1,1))-AVERAGE(OFFSET($H$3,0,0,'Données projet'!$E$9+1,1))</f>
        <v>323.98185264074681</v>
      </c>
      <c r="T168" s="62">
        <f t="shared" si="142"/>
        <v>301.22207291854005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0.30792511543071621</v>
      </c>
      <c r="AA168" s="23">
        <f>EXP(-LN(2)/25)*AA167+(1-EXP(-LN(2)/25))/(LN(2)/25)*Calculateur!V168*Calculateur!X168*VLOOKUP('Données projet'!$B$9,Paramètres!$A$1:$I$89,3,0)*0.475*44/12</f>
        <v>0.19532138585879491</v>
      </c>
      <c r="AB168" s="23">
        <f>EXP(-LN(2)/2)*AB167+(1-EXP(-LN(2)/2))/(LN(2)/2)*V168*Y168*VLOOKUP('Données projet'!$B$9,Paramètres!$A$1:$I$89,3,0)*0.475*44/12</f>
        <v>2.9169983345456531E-20</v>
      </c>
      <c r="AC168" s="24">
        <f t="shared" si="163"/>
        <v>0.50324650128951109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-2.8421709430404007E-13</v>
      </c>
      <c r="AJ168" s="14">
        <f>AI168*VLOOKUP('Données projet'!$B$10,Paramètres!$A$1:$I$89,3,0)*VLOOKUP('Données projet'!$B$10,Paramètres!$A$1:$I$89,5,0)</f>
        <v>-1.69961822393816E-13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289.12367833861299</v>
      </c>
      <c r="AO168" s="62">
        <f t="shared" si="144"/>
        <v>229.06617320689003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1.9869734141275337E-20</v>
      </c>
      <c r="AX168" s="23">
        <f t="shared" si="166"/>
        <v>1.9869734141275337E-20</v>
      </c>
      <c r="AY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-9.6633812063373625E-13</v>
      </c>
      <c r="BE168" s="14">
        <f>BD168*VLOOKUP('Données projet'!$B$11,Paramètres!$A$1:$I$89,3,0)*VLOOKUP('Données projet'!$B$11,Paramètres!$A$1:$I$89,5,0)</f>
        <v>-8.7434273154940449E-13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428.8489304403459</v>
      </c>
      <c r="BJ168" s="62">
        <f t="shared" si="146"/>
        <v>247.01165577562966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-1.7053025658242404E-13</v>
      </c>
      <c r="BZ168" s="14">
        <f>BY168*VLOOKUP('Données projet'!$B$12,Paramètres!$A$1:$I$89,3,0)*VLOOKUP('Données projet'!$B$12,Paramètres!$A$1:$I$89,5,0)</f>
        <v>-1.250327841262333E-13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290.85271051443431</v>
      </c>
      <c r="CE168" s="62">
        <f t="shared" si="148"/>
        <v>318.66958823451142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1.1368683772161603E-13</v>
      </c>
      <c r="CU168" s="18">
        <f>CT168*VLOOKUP('Données projet'!$B$13,Paramètres!$A$1:$I$89,3,0)*VLOOKUP('Données projet'!$B$13,Paramètres!$A$1:$I$89,5,0)</f>
        <v>8.8675733422860506E-14</v>
      </c>
      <c r="CV168" s="14">
        <f t="shared" si="173"/>
        <v>1.3509285393066301E-12</v>
      </c>
      <c r="CW168" s="22">
        <f t="shared" si="174"/>
        <v>2.5073107750038623E-12</v>
      </c>
      <c r="CX168" s="62">
        <f t="shared" si="122"/>
        <v>293.33333333333582</v>
      </c>
      <c r="CY168" s="62">
        <f ca="1">AVERAGE(OFFSET($CX$3,0,0,'Données projet'!$E$13+1,1))-AVERAGE(OFFSET($H$3,0,0,'Données projet'!$E$13+1,1))</f>
        <v>292.57482726862594</v>
      </c>
      <c r="CZ168" s="62">
        <f t="shared" si="150"/>
        <v>283.48738729114024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-1.7053025658242404E-13</v>
      </c>
      <c r="DP168" s="18">
        <f>DO168*VLOOKUP('Données projet'!$B$14,Paramètres!$A$1:$I$89,3,0)*VLOOKUP('Données projet'!$B$14,Paramètres!$A$1:$I$89,5,0)</f>
        <v>-1.3567387213697657E-13</v>
      </c>
      <c r="DQ168" s="14" t="e">
        <f t="shared" si="176"/>
        <v>#NUM!</v>
      </c>
      <c r="DR168" s="22" t="e">
        <f t="shared" si="177"/>
        <v>#NUM!</v>
      </c>
      <c r="DS168" s="62" t="e">
        <f t="shared" si="125"/>
        <v>#NUM!</v>
      </c>
      <c r="DT168" s="62">
        <f ca="1">AVERAGE(OFFSET($DS$3,0,0,'Données projet'!$E$14+1,1))-AVERAGE(OFFSET($H$3,0,0,'Données projet'!$E$14+1,1))</f>
        <v>312.53381881960331</v>
      </c>
      <c r="DU168" s="62">
        <f t="shared" si="152"/>
        <v>342.06887933351783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1.1368683772161603E-13</v>
      </c>
      <c r="EK168" s="18">
        <f>EJ168*VLOOKUP('Données projet'!$B$15,Paramètres!$A$1:$I$89,3,0)*VLOOKUP('Données projet'!$B$15,Paramètres!$A$1:$I$89,5,0)</f>
        <v>1.0818439477588981E-13</v>
      </c>
      <c r="EL168" s="14">
        <f t="shared" si="179"/>
        <v>1.6104228458716316E-12</v>
      </c>
      <c r="EM168" s="22">
        <f t="shared" si="180"/>
        <v>2.9932409441277661E-12</v>
      </c>
      <c r="EN168" s="62">
        <f t="shared" si="128"/>
        <v>293.33333333333633</v>
      </c>
      <c r="EO168" s="62">
        <f ca="1">AVERAGE(OFFSET($EN$3,0,0,'Données projet'!$E$15+1,1))-AVERAGE(OFFSET($H$3,0,0,'Données projet'!$E$15+1,1))</f>
        <v>363.37916970915211</v>
      </c>
      <c r="EP168" s="62">
        <f t="shared" si="154"/>
        <v>281.52963027844595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-6.2527760746888816E-13</v>
      </c>
      <c r="FF168" s="18">
        <f>FE168*VLOOKUP('Données projet'!$B$16,Paramètres!$A$1:$I$89,3,0)*VLOOKUP('Données projet'!$B$16,Paramètres!$A$1:$I$89,5,0)</f>
        <v>-2.9262992029543964E-13</v>
      </c>
      <c r="FG168" s="14" t="e">
        <f t="shared" si="182"/>
        <v>#NUM!</v>
      </c>
      <c r="FH168" s="22" t="e">
        <f t="shared" si="183"/>
        <v>#NUM!</v>
      </c>
      <c r="FI168" s="62" t="e">
        <f t="shared" si="131"/>
        <v>#NUM!</v>
      </c>
      <c r="FJ168" s="62">
        <f ca="1">AVERAGE(OFFSET($FI$3,0,0,'Données projet'!$E$16+1,1))-AVERAGE(OFFSET($H$3,0,0,'Données projet'!$E$16+1,1))</f>
        <v>245.47494516762282</v>
      </c>
      <c r="FK168" s="62">
        <f t="shared" si="156"/>
        <v>145.54897745089966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-9.6633812063373625E-13</v>
      </c>
      <c r="GA168" s="18">
        <f>FZ168*VLOOKUP('Données projet'!$B$17,Paramètres!$A$1:$I$89,3,0)*VLOOKUP('Données projet'!$B$17,Paramètres!$A$1:$I$89,5,0)</f>
        <v>-9.3464223027694966E-13</v>
      </c>
      <c r="GB168" s="14" t="e">
        <f t="shared" si="185"/>
        <v>#NUM!</v>
      </c>
      <c r="GC168" s="22" t="e">
        <f t="shared" si="186"/>
        <v>#NUM!</v>
      </c>
      <c r="GD168" s="62" t="e">
        <f t="shared" si="134"/>
        <v>#NUM!</v>
      </c>
      <c r="GE168" s="62">
        <f ca="1">AVERAGE(OFFSET($GD$3,0,0,'Données projet'!$E$17+1,1))-AVERAGE(OFFSET($H$3,0,0,'Données projet'!$E$17+1,1))</f>
        <v>455.50822833641354</v>
      </c>
      <c r="GF168" s="62">
        <f t="shared" si="158"/>
        <v>261.14722581688039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1.7053025658242404E-13</v>
      </c>
      <c r="GV168" s="18">
        <f>GU168*VLOOKUP('Données projet'!$B$18,Paramètres!$A$1:$I$89,3,0)*VLOOKUP('Données projet'!$B$18,Paramètres!$A$1:$I$89,5,0)</f>
        <v>1.1439169611549005E-13</v>
      </c>
      <c r="GW168" s="14">
        <f t="shared" si="188"/>
        <v>1.6918016515029816E-12</v>
      </c>
      <c r="GX168" s="22">
        <f t="shared" si="189"/>
        <v>3.1457867471021712E-12</v>
      </c>
      <c r="GY168" s="62">
        <f t="shared" si="137"/>
        <v>293.33333333333644</v>
      </c>
      <c r="GZ168" s="62">
        <f ca="1">AVERAGE(OFFSET($GY$3,0,0,'Données projet'!$E$18+1,1))-AVERAGE(OFFSET($H$3,0,0,'Données projet'!$E$18+1,1))</f>
        <v>312.06797204903796</v>
      </c>
      <c r="HA168" s="62">
        <f t="shared" si="160"/>
        <v>258.20189001775151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projet'!$B$18,Paramètres!$A$1:$I$89,3,0)*0.475*44/12</f>
        <v>0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190"/>
        <v>0</v>
      </c>
    </row>
    <row r="169" spans="1:218" x14ac:dyDescent="0.25">
      <c r="A169" s="11">
        <f t="shared" si="161"/>
        <v>166</v>
      </c>
      <c r="B169" s="76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9">
        <f t="shared" si="110"/>
        <v>256.66666666666669</v>
      </c>
      <c r="I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2.2737367544323206E-13</v>
      </c>
      <c r="O169" s="14">
        <f>N169*VLOOKUP('Données projet'!$B$9,Paramètres!$A$1:$I$89,3,0)*VLOOKUP('Données projet'!$B$9,Paramètres!$A$1:$I$89,5,0)</f>
        <v>1.2710188457276673E-13</v>
      </c>
      <c r="P169" s="14">
        <f t="shared" si="141"/>
        <v>1.856866851063998E-12</v>
      </c>
      <c r="Q169" s="22">
        <f t="shared" si="162"/>
        <v>3.4554122145673649E-12</v>
      </c>
      <c r="R169" s="62">
        <f t="shared" si="109"/>
        <v>293.33333333333678</v>
      </c>
      <c r="S169" s="62">
        <f ca="1">AVERAGE(OFFSET($R$3,0,0,'Données projet'!$E$9+1,1))-AVERAGE(OFFSET($H$3,0,0,'Données projet'!$E$9+1,1))</f>
        <v>323.98185264074681</v>
      </c>
      <c r="T169" s="62">
        <f t="shared" si="142"/>
        <v>301.22207291854005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0.30188689173289501</v>
      </c>
      <c r="AA169" s="23">
        <f>EXP(-LN(2)/25)*AA168+(1-EXP(-LN(2)/25))/(LN(2)/25)*Calculateur!V169*Calculateur!X169*VLOOKUP('Données projet'!$B$9,Paramètres!$A$1:$I$89,3,0)*0.475*44/12</f>
        <v>0.18998031229098089</v>
      </c>
      <c r="AB169" s="23">
        <f>EXP(-LN(2)/2)*AB168+(1-EXP(-LN(2)/2))/(LN(2)/2)*V169*Y169*VLOOKUP('Données projet'!$B$9,Paramètres!$A$1:$I$89,3,0)*0.475*44/12</f>
        <v>2.0626293030670967E-20</v>
      </c>
      <c r="AC169" s="24">
        <f t="shared" si="163"/>
        <v>0.4918672040238759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-2.8421709430404007E-13</v>
      </c>
      <c r="AJ169" s="14">
        <f>AI169*VLOOKUP('Données projet'!$B$10,Paramètres!$A$1:$I$89,3,0)*VLOOKUP('Données projet'!$B$10,Paramètres!$A$1:$I$89,5,0)</f>
        <v>-1.69961822393816E-13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289.12367833861299</v>
      </c>
      <c r="AO169" s="62">
        <f t="shared" si="144"/>
        <v>229.06617320689003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1.4050023751669652E-20</v>
      </c>
      <c r="AX169" s="23">
        <f t="shared" si="166"/>
        <v>1.4050023751669652E-20</v>
      </c>
      <c r="AY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-9.6633812063373625E-13</v>
      </c>
      <c r="BE169" s="14">
        <f>BD169*VLOOKUP('Données projet'!$B$11,Paramètres!$A$1:$I$89,3,0)*VLOOKUP('Données projet'!$B$11,Paramètres!$A$1:$I$89,5,0)</f>
        <v>-8.7434273154940449E-13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428.8489304403459</v>
      </c>
      <c r="BJ169" s="62">
        <f t="shared" si="146"/>
        <v>247.01165577562966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-1.7053025658242404E-13</v>
      </c>
      <c r="BZ169" s="14">
        <f>BY169*VLOOKUP('Données projet'!$B$12,Paramètres!$A$1:$I$89,3,0)*VLOOKUP('Données projet'!$B$12,Paramètres!$A$1:$I$89,5,0)</f>
        <v>-1.250327841262333E-13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290.85271051443431</v>
      </c>
      <c r="CE169" s="62">
        <f t="shared" si="148"/>
        <v>318.66958823451142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1.1368683772161603E-13</v>
      </c>
      <c r="CU169" s="18">
        <f>CT169*VLOOKUP('Données projet'!$B$13,Paramètres!$A$1:$I$89,3,0)*VLOOKUP('Données projet'!$B$13,Paramètres!$A$1:$I$89,5,0)</f>
        <v>8.8675733422860506E-14</v>
      </c>
      <c r="CV169" s="14">
        <f t="shared" si="173"/>
        <v>1.3509285393066301E-12</v>
      </c>
      <c r="CW169" s="22">
        <f t="shared" si="174"/>
        <v>2.5073107750038623E-12</v>
      </c>
      <c r="CX169" s="62">
        <f t="shared" si="122"/>
        <v>293.33333333333582</v>
      </c>
      <c r="CY169" s="62">
        <f ca="1">AVERAGE(OFFSET($CX$3,0,0,'Données projet'!$E$13+1,1))-AVERAGE(OFFSET($H$3,0,0,'Données projet'!$E$13+1,1))</f>
        <v>292.57482726862594</v>
      </c>
      <c r="CZ169" s="62">
        <f t="shared" si="150"/>
        <v>283.48738729114024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-1.7053025658242404E-13</v>
      </c>
      <c r="DP169" s="18">
        <f>DO169*VLOOKUP('Données projet'!$B$14,Paramètres!$A$1:$I$89,3,0)*VLOOKUP('Données projet'!$B$14,Paramètres!$A$1:$I$89,5,0)</f>
        <v>-1.3567387213697657E-13</v>
      </c>
      <c r="DQ169" s="14" t="e">
        <f t="shared" si="176"/>
        <v>#NUM!</v>
      </c>
      <c r="DR169" s="22" t="e">
        <f t="shared" si="177"/>
        <v>#NUM!</v>
      </c>
      <c r="DS169" s="62" t="e">
        <f t="shared" si="125"/>
        <v>#NUM!</v>
      </c>
      <c r="DT169" s="62">
        <f ca="1">AVERAGE(OFFSET($DS$3,0,0,'Données projet'!$E$14+1,1))-AVERAGE(OFFSET($H$3,0,0,'Données projet'!$E$14+1,1))</f>
        <v>312.53381881960331</v>
      </c>
      <c r="DU169" s="62">
        <f t="shared" si="152"/>
        <v>342.06887933351783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1.1368683772161603E-13</v>
      </c>
      <c r="EK169" s="18">
        <f>EJ169*VLOOKUP('Données projet'!$B$15,Paramètres!$A$1:$I$89,3,0)*VLOOKUP('Données projet'!$B$15,Paramètres!$A$1:$I$89,5,0)</f>
        <v>1.0818439477588981E-13</v>
      </c>
      <c r="EL169" s="14">
        <f t="shared" si="179"/>
        <v>1.6104228458716316E-12</v>
      </c>
      <c r="EM169" s="22">
        <f t="shared" si="180"/>
        <v>2.9932409441277661E-12</v>
      </c>
      <c r="EN169" s="62">
        <f t="shared" si="128"/>
        <v>293.33333333333633</v>
      </c>
      <c r="EO169" s="62">
        <f ca="1">AVERAGE(OFFSET($EN$3,0,0,'Données projet'!$E$15+1,1))-AVERAGE(OFFSET($H$3,0,0,'Données projet'!$E$15+1,1))</f>
        <v>363.37916970915211</v>
      </c>
      <c r="EP169" s="62">
        <f t="shared" si="154"/>
        <v>281.52963027844595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-6.2527760746888816E-13</v>
      </c>
      <c r="FF169" s="18">
        <f>FE169*VLOOKUP('Données projet'!$B$16,Paramètres!$A$1:$I$89,3,0)*VLOOKUP('Données projet'!$B$16,Paramètres!$A$1:$I$89,5,0)</f>
        <v>-2.9262992029543964E-13</v>
      </c>
      <c r="FG169" s="14" t="e">
        <f t="shared" si="182"/>
        <v>#NUM!</v>
      </c>
      <c r="FH169" s="22" t="e">
        <f t="shared" si="183"/>
        <v>#NUM!</v>
      </c>
      <c r="FI169" s="62" t="e">
        <f t="shared" si="131"/>
        <v>#NUM!</v>
      </c>
      <c r="FJ169" s="62">
        <f ca="1">AVERAGE(OFFSET($FI$3,0,0,'Données projet'!$E$16+1,1))-AVERAGE(OFFSET($H$3,0,0,'Données projet'!$E$16+1,1))</f>
        <v>245.47494516762282</v>
      </c>
      <c r="FK169" s="62">
        <f t="shared" si="156"/>
        <v>145.54897745089966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-9.6633812063373625E-13</v>
      </c>
      <c r="GA169" s="18">
        <f>FZ169*VLOOKUP('Données projet'!$B$17,Paramètres!$A$1:$I$89,3,0)*VLOOKUP('Données projet'!$B$17,Paramètres!$A$1:$I$89,5,0)</f>
        <v>-9.3464223027694966E-13</v>
      </c>
      <c r="GB169" s="14" t="e">
        <f t="shared" si="185"/>
        <v>#NUM!</v>
      </c>
      <c r="GC169" s="22" t="e">
        <f t="shared" si="186"/>
        <v>#NUM!</v>
      </c>
      <c r="GD169" s="62" t="e">
        <f t="shared" si="134"/>
        <v>#NUM!</v>
      </c>
      <c r="GE169" s="62">
        <f ca="1">AVERAGE(OFFSET($GD$3,0,0,'Données projet'!$E$17+1,1))-AVERAGE(OFFSET($H$3,0,0,'Données projet'!$E$17+1,1))</f>
        <v>455.50822833641354</v>
      </c>
      <c r="GF169" s="62">
        <f t="shared" si="158"/>
        <v>261.14722581688039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1.7053025658242404E-13</v>
      </c>
      <c r="GV169" s="18">
        <f>GU169*VLOOKUP('Données projet'!$B$18,Paramètres!$A$1:$I$89,3,0)*VLOOKUP('Données projet'!$B$18,Paramètres!$A$1:$I$89,5,0)</f>
        <v>1.1439169611549005E-13</v>
      </c>
      <c r="GW169" s="14">
        <f t="shared" si="188"/>
        <v>1.6918016515029816E-12</v>
      </c>
      <c r="GX169" s="22">
        <f t="shared" si="189"/>
        <v>3.1457867471021712E-12</v>
      </c>
      <c r="GY169" s="62">
        <f t="shared" si="137"/>
        <v>293.33333333333644</v>
      </c>
      <c r="GZ169" s="62">
        <f ca="1">AVERAGE(OFFSET($GY$3,0,0,'Données projet'!$E$18+1,1))-AVERAGE(OFFSET($H$3,0,0,'Données projet'!$E$18+1,1))</f>
        <v>312.06797204903796</v>
      </c>
      <c r="HA169" s="62">
        <f t="shared" si="160"/>
        <v>258.20189001775151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projet'!$B$18,Paramètres!$A$1:$I$89,3,0)*0.475*44/12</f>
        <v>0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190"/>
        <v>0</v>
      </c>
    </row>
    <row r="170" spans="1:218" x14ac:dyDescent="0.25">
      <c r="A170" s="11">
        <f t="shared" si="161"/>
        <v>167</v>
      </c>
      <c r="B170" s="76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9">
        <f t="shared" si="110"/>
        <v>256.66666666666669</v>
      </c>
      <c r="I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2.2737367544323206E-13</v>
      </c>
      <c r="O170" s="14">
        <f>N170*VLOOKUP('Données projet'!$B$9,Paramètres!$A$1:$I$89,3,0)*VLOOKUP('Données projet'!$B$9,Paramètres!$A$1:$I$89,5,0)</f>
        <v>1.2710188457276673E-13</v>
      </c>
      <c r="P170" s="14">
        <f t="shared" si="141"/>
        <v>1.856866851063998E-12</v>
      </c>
      <c r="Q170" s="22">
        <f t="shared" si="162"/>
        <v>3.4554122145673649E-12</v>
      </c>
      <c r="R170" s="62">
        <f t="shared" si="109"/>
        <v>293.33333333333678</v>
      </c>
      <c r="S170" s="62">
        <f ca="1">AVERAGE(OFFSET($R$3,0,0,'Données projet'!$E$9+1,1))-AVERAGE(OFFSET($H$3,0,0,'Données projet'!$E$9+1,1))</f>
        <v>323.98185264074681</v>
      </c>
      <c r="T170" s="62">
        <f t="shared" si="142"/>
        <v>301.22207291854005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0.29596707391883531</v>
      </c>
      <c r="AA170" s="23">
        <f>EXP(-LN(2)/25)*AA169+(1-EXP(-LN(2)/25))/(LN(2)/25)*Calculateur!V170*Calculateur!X170*VLOOKUP('Données projet'!$B$9,Paramètres!$A$1:$I$89,3,0)*0.475*44/12</f>
        <v>0.18478529066075361</v>
      </c>
      <c r="AB170" s="23">
        <f>EXP(-LN(2)/2)*AB169+(1-EXP(-LN(2)/2))/(LN(2)/2)*V170*Y170*VLOOKUP('Données projet'!$B$9,Paramètres!$A$1:$I$89,3,0)*0.475*44/12</f>
        <v>1.4584991672728265E-20</v>
      </c>
      <c r="AC170" s="24">
        <f t="shared" si="163"/>
        <v>0.48075236457958892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-2.8421709430404007E-13</v>
      </c>
      <c r="AJ170" s="14">
        <f>AI170*VLOOKUP('Données projet'!$B$10,Paramètres!$A$1:$I$89,3,0)*VLOOKUP('Données projet'!$B$10,Paramètres!$A$1:$I$89,5,0)</f>
        <v>-1.69961822393816E-13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289.12367833861299</v>
      </c>
      <c r="AO170" s="62">
        <f t="shared" si="144"/>
        <v>229.06617320689003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9.9348670706376683E-21</v>
      </c>
      <c r="AX170" s="23">
        <f t="shared" si="166"/>
        <v>9.9348670706376683E-21</v>
      </c>
      <c r="AY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-9.6633812063373625E-13</v>
      </c>
      <c r="BE170" s="14">
        <f>BD170*VLOOKUP('Données projet'!$B$11,Paramètres!$A$1:$I$89,3,0)*VLOOKUP('Données projet'!$B$11,Paramètres!$A$1:$I$89,5,0)</f>
        <v>-8.7434273154940449E-13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428.8489304403459</v>
      </c>
      <c r="BJ170" s="62">
        <f t="shared" si="146"/>
        <v>247.01165577562966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-1.7053025658242404E-13</v>
      </c>
      <c r="BZ170" s="14">
        <f>BY170*VLOOKUP('Données projet'!$B$12,Paramètres!$A$1:$I$89,3,0)*VLOOKUP('Données projet'!$B$12,Paramètres!$A$1:$I$89,5,0)</f>
        <v>-1.250327841262333E-13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290.85271051443431</v>
      </c>
      <c r="CE170" s="62">
        <f t="shared" si="148"/>
        <v>318.66958823451142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1.1368683772161603E-13</v>
      </c>
      <c r="CU170" s="18">
        <f>CT170*VLOOKUP('Données projet'!$B$13,Paramètres!$A$1:$I$89,3,0)*VLOOKUP('Données projet'!$B$13,Paramètres!$A$1:$I$89,5,0)</f>
        <v>8.8675733422860506E-14</v>
      </c>
      <c r="CV170" s="14">
        <f t="shared" si="173"/>
        <v>1.3509285393066301E-12</v>
      </c>
      <c r="CW170" s="22">
        <f t="shared" si="174"/>
        <v>2.5073107750038623E-12</v>
      </c>
      <c r="CX170" s="62">
        <f t="shared" si="122"/>
        <v>293.33333333333582</v>
      </c>
      <c r="CY170" s="62">
        <f ca="1">AVERAGE(OFFSET($CX$3,0,0,'Données projet'!$E$13+1,1))-AVERAGE(OFFSET($H$3,0,0,'Données projet'!$E$13+1,1))</f>
        <v>292.57482726862594</v>
      </c>
      <c r="CZ170" s="62">
        <f t="shared" si="150"/>
        <v>283.48738729114024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-1.7053025658242404E-13</v>
      </c>
      <c r="DP170" s="18">
        <f>DO170*VLOOKUP('Données projet'!$B$14,Paramètres!$A$1:$I$89,3,0)*VLOOKUP('Données projet'!$B$14,Paramètres!$A$1:$I$89,5,0)</f>
        <v>-1.3567387213697657E-13</v>
      </c>
      <c r="DQ170" s="14" t="e">
        <f t="shared" si="176"/>
        <v>#NUM!</v>
      </c>
      <c r="DR170" s="22" t="e">
        <f t="shared" si="177"/>
        <v>#NUM!</v>
      </c>
      <c r="DS170" s="62" t="e">
        <f t="shared" si="125"/>
        <v>#NUM!</v>
      </c>
      <c r="DT170" s="62">
        <f ca="1">AVERAGE(OFFSET($DS$3,0,0,'Données projet'!$E$14+1,1))-AVERAGE(OFFSET($H$3,0,0,'Données projet'!$E$14+1,1))</f>
        <v>312.53381881960331</v>
      </c>
      <c r="DU170" s="62">
        <f t="shared" si="152"/>
        <v>342.06887933351783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1.1368683772161603E-13</v>
      </c>
      <c r="EK170" s="18">
        <f>EJ170*VLOOKUP('Données projet'!$B$15,Paramètres!$A$1:$I$89,3,0)*VLOOKUP('Données projet'!$B$15,Paramètres!$A$1:$I$89,5,0)</f>
        <v>1.0818439477588981E-13</v>
      </c>
      <c r="EL170" s="14">
        <f t="shared" si="179"/>
        <v>1.6104228458716316E-12</v>
      </c>
      <c r="EM170" s="22">
        <f t="shared" si="180"/>
        <v>2.9932409441277661E-12</v>
      </c>
      <c r="EN170" s="62">
        <f t="shared" si="128"/>
        <v>293.33333333333633</v>
      </c>
      <c r="EO170" s="62">
        <f ca="1">AVERAGE(OFFSET($EN$3,0,0,'Données projet'!$E$15+1,1))-AVERAGE(OFFSET($H$3,0,0,'Données projet'!$E$15+1,1))</f>
        <v>363.37916970915211</v>
      </c>
      <c r="EP170" s="62">
        <f t="shared" si="154"/>
        <v>281.52963027844595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-6.2527760746888816E-13</v>
      </c>
      <c r="FF170" s="18">
        <f>FE170*VLOOKUP('Données projet'!$B$16,Paramètres!$A$1:$I$89,3,0)*VLOOKUP('Données projet'!$B$16,Paramètres!$A$1:$I$89,5,0)</f>
        <v>-2.9262992029543964E-13</v>
      </c>
      <c r="FG170" s="14" t="e">
        <f t="shared" si="182"/>
        <v>#NUM!</v>
      </c>
      <c r="FH170" s="22" t="e">
        <f t="shared" si="183"/>
        <v>#NUM!</v>
      </c>
      <c r="FI170" s="62" t="e">
        <f t="shared" si="131"/>
        <v>#NUM!</v>
      </c>
      <c r="FJ170" s="62">
        <f ca="1">AVERAGE(OFFSET($FI$3,0,0,'Données projet'!$E$16+1,1))-AVERAGE(OFFSET($H$3,0,0,'Données projet'!$E$16+1,1))</f>
        <v>245.47494516762282</v>
      </c>
      <c r="FK170" s="62">
        <f t="shared" si="156"/>
        <v>145.54897745089966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-9.6633812063373625E-13</v>
      </c>
      <c r="GA170" s="18">
        <f>FZ170*VLOOKUP('Données projet'!$B$17,Paramètres!$A$1:$I$89,3,0)*VLOOKUP('Données projet'!$B$17,Paramètres!$A$1:$I$89,5,0)</f>
        <v>-9.3464223027694966E-13</v>
      </c>
      <c r="GB170" s="14" t="e">
        <f t="shared" si="185"/>
        <v>#NUM!</v>
      </c>
      <c r="GC170" s="22" t="e">
        <f t="shared" si="186"/>
        <v>#NUM!</v>
      </c>
      <c r="GD170" s="62" t="e">
        <f t="shared" si="134"/>
        <v>#NUM!</v>
      </c>
      <c r="GE170" s="62">
        <f ca="1">AVERAGE(OFFSET($GD$3,0,0,'Données projet'!$E$17+1,1))-AVERAGE(OFFSET($H$3,0,0,'Données projet'!$E$17+1,1))</f>
        <v>455.50822833641354</v>
      </c>
      <c r="GF170" s="62">
        <f t="shared" si="158"/>
        <v>261.14722581688039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1.7053025658242404E-13</v>
      </c>
      <c r="GV170" s="18">
        <f>GU170*VLOOKUP('Données projet'!$B$18,Paramètres!$A$1:$I$89,3,0)*VLOOKUP('Données projet'!$B$18,Paramètres!$A$1:$I$89,5,0)</f>
        <v>1.1439169611549005E-13</v>
      </c>
      <c r="GW170" s="14">
        <f t="shared" si="188"/>
        <v>1.6918016515029816E-12</v>
      </c>
      <c r="GX170" s="22">
        <f t="shared" si="189"/>
        <v>3.1457867471021712E-12</v>
      </c>
      <c r="GY170" s="62">
        <f t="shared" si="137"/>
        <v>293.33333333333644</v>
      </c>
      <c r="GZ170" s="62">
        <f ca="1">AVERAGE(OFFSET($GY$3,0,0,'Données projet'!$E$18+1,1))-AVERAGE(OFFSET($H$3,0,0,'Données projet'!$E$18+1,1))</f>
        <v>312.06797204903796</v>
      </c>
      <c r="HA170" s="62">
        <f t="shared" si="160"/>
        <v>258.20189001775151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projet'!$B$18,Paramètres!$A$1:$I$89,3,0)*0.475*44/12</f>
        <v>0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190"/>
        <v>0</v>
      </c>
    </row>
    <row r="171" spans="1:218" x14ac:dyDescent="0.25">
      <c r="A171" s="11">
        <f t="shared" si="161"/>
        <v>168</v>
      </c>
      <c r="B171" s="76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9">
        <f t="shared" si="110"/>
        <v>256.66666666666669</v>
      </c>
      <c r="I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2.2737367544323206E-13</v>
      </c>
      <c r="O171" s="14">
        <f>N171*VLOOKUP('Données projet'!$B$9,Paramètres!$A$1:$I$89,3,0)*VLOOKUP('Données projet'!$B$9,Paramètres!$A$1:$I$89,5,0)</f>
        <v>1.2710188457276673E-13</v>
      </c>
      <c r="P171" s="14">
        <f t="shared" si="141"/>
        <v>1.856866851063998E-12</v>
      </c>
      <c r="Q171" s="22">
        <f t="shared" si="162"/>
        <v>3.4554122145673649E-12</v>
      </c>
      <c r="R171" s="62">
        <f t="shared" si="109"/>
        <v>293.33333333333678</v>
      </c>
      <c r="S171" s="62">
        <f ca="1">AVERAGE(OFFSET($R$3,0,0,'Données projet'!$E$9+1,1))-AVERAGE(OFFSET($H$3,0,0,'Données projet'!$E$9+1,1))</f>
        <v>323.98185264074681</v>
      </c>
      <c r="T171" s="62">
        <f t="shared" si="142"/>
        <v>301.22207291854005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0.29016334012137696</v>
      </c>
      <c r="AA171" s="23">
        <f>EXP(-LN(2)/25)*AA170+(1-EXP(-LN(2)/25))/(LN(2)/25)*Calculateur!V171*Calculateur!X171*VLOOKUP('Données projet'!$B$9,Paramètres!$A$1:$I$89,3,0)*0.475*44/12</f>
        <v>0.17973232717019919</v>
      </c>
      <c r="AB171" s="23">
        <f>EXP(-LN(2)/2)*AB170+(1-EXP(-LN(2)/2))/(LN(2)/2)*V171*Y171*VLOOKUP('Données projet'!$B$9,Paramètres!$A$1:$I$89,3,0)*0.475*44/12</f>
        <v>1.0313146515335484E-20</v>
      </c>
      <c r="AC171" s="24">
        <f t="shared" si="163"/>
        <v>0.46989566729157617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-2.8421709430404007E-13</v>
      </c>
      <c r="AJ171" s="14">
        <f>AI171*VLOOKUP('Données projet'!$B$10,Paramètres!$A$1:$I$89,3,0)*VLOOKUP('Données projet'!$B$10,Paramètres!$A$1:$I$89,5,0)</f>
        <v>-1.69961822393816E-13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289.12367833861299</v>
      </c>
      <c r="AO171" s="62">
        <f t="shared" si="144"/>
        <v>229.06617320689003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7.025011875834826E-21</v>
      </c>
      <c r="AX171" s="23">
        <f t="shared" si="166"/>
        <v>7.025011875834826E-21</v>
      </c>
      <c r="AY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-9.6633812063373625E-13</v>
      </c>
      <c r="BE171" s="14">
        <f>BD171*VLOOKUP('Données projet'!$B$11,Paramètres!$A$1:$I$89,3,0)*VLOOKUP('Données projet'!$B$11,Paramètres!$A$1:$I$89,5,0)</f>
        <v>-8.7434273154940449E-13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428.8489304403459</v>
      </c>
      <c r="BJ171" s="62">
        <f t="shared" si="146"/>
        <v>247.01165577562966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-1.7053025658242404E-13</v>
      </c>
      <c r="BZ171" s="14">
        <f>BY171*VLOOKUP('Données projet'!$B$12,Paramètres!$A$1:$I$89,3,0)*VLOOKUP('Données projet'!$B$12,Paramètres!$A$1:$I$89,5,0)</f>
        <v>-1.250327841262333E-13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290.85271051443431</v>
      </c>
      <c r="CE171" s="62">
        <f t="shared" si="148"/>
        <v>318.66958823451142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1.1368683772161603E-13</v>
      </c>
      <c r="CU171" s="18">
        <f>CT171*VLOOKUP('Données projet'!$B$13,Paramètres!$A$1:$I$89,3,0)*VLOOKUP('Données projet'!$B$13,Paramètres!$A$1:$I$89,5,0)</f>
        <v>8.8675733422860506E-14</v>
      </c>
      <c r="CV171" s="14">
        <f t="shared" si="173"/>
        <v>1.3509285393066301E-12</v>
      </c>
      <c r="CW171" s="22">
        <f t="shared" si="174"/>
        <v>2.5073107750038623E-12</v>
      </c>
      <c r="CX171" s="62">
        <f t="shared" si="122"/>
        <v>293.33333333333582</v>
      </c>
      <c r="CY171" s="62">
        <f ca="1">AVERAGE(OFFSET($CX$3,0,0,'Données projet'!$E$13+1,1))-AVERAGE(OFFSET($H$3,0,0,'Données projet'!$E$13+1,1))</f>
        <v>292.57482726862594</v>
      </c>
      <c r="CZ171" s="62">
        <f t="shared" si="150"/>
        <v>283.48738729114024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-1.7053025658242404E-13</v>
      </c>
      <c r="DP171" s="18">
        <f>DO171*VLOOKUP('Données projet'!$B$14,Paramètres!$A$1:$I$89,3,0)*VLOOKUP('Données projet'!$B$14,Paramètres!$A$1:$I$89,5,0)</f>
        <v>-1.3567387213697657E-13</v>
      </c>
      <c r="DQ171" s="14" t="e">
        <f t="shared" si="176"/>
        <v>#NUM!</v>
      </c>
      <c r="DR171" s="22" t="e">
        <f t="shared" si="177"/>
        <v>#NUM!</v>
      </c>
      <c r="DS171" s="62" t="e">
        <f t="shared" si="125"/>
        <v>#NUM!</v>
      </c>
      <c r="DT171" s="62">
        <f ca="1">AVERAGE(OFFSET($DS$3,0,0,'Données projet'!$E$14+1,1))-AVERAGE(OFFSET($H$3,0,0,'Données projet'!$E$14+1,1))</f>
        <v>312.53381881960331</v>
      </c>
      <c r="DU171" s="62">
        <f t="shared" si="152"/>
        <v>342.06887933351783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1.1368683772161603E-13</v>
      </c>
      <c r="EK171" s="18">
        <f>EJ171*VLOOKUP('Données projet'!$B$15,Paramètres!$A$1:$I$89,3,0)*VLOOKUP('Données projet'!$B$15,Paramètres!$A$1:$I$89,5,0)</f>
        <v>1.0818439477588981E-13</v>
      </c>
      <c r="EL171" s="14">
        <f t="shared" si="179"/>
        <v>1.6104228458716316E-12</v>
      </c>
      <c r="EM171" s="22">
        <f t="shared" si="180"/>
        <v>2.9932409441277661E-12</v>
      </c>
      <c r="EN171" s="62">
        <f t="shared" si="128"/>
        <v>293.33333333333633</v>
      </c>
      <c r="EO171" s="62">
        <f ca="1">AVERAGE(OFFSET($EN$3,0,0,'Données projet'!$E$15+1,1))-AVERAGE(OFFSET($H$3,0,0,'Données projet'!$E$15+1,1))</f>
        <v>363.37916970915211</v>
      </c>
      <c r="EP171" s="62">
        <f t="shared" si="154"/>
        <v>281.52963027844595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-6.2527760746888816E-13</v>
      </c>
      <c r="FF171" s="18">
        <f>FE171*VLOOKUP('Données projet'!$B$16,Paramètres!$A$1:$I$89,3,0)*VLOOKUP('Données projet'!$B$16,Paramètres!$A$1:$I$89,5,0)</f>
        <v>-2.9262992029543964E-13</v>
      </c>
      <c r="FG171" s="14" t="e">
        <f t="shared" si="182"/>
        <v>#NUM!</v>
      </c>
      <c r="FH171" s="22" t="e">
        <f t="shared" si="183"/>
        <v>#NUM!</v>
      </c>
      <c r="FI171" s="62" t="e">
        <f t="shared" si="131"/>
        <v>#NUM!</v>
      </c>
      <c r="FJ171" s="62">
        <f ca="1">AVERAGE(OFFSET($FI$3,0,0,'Données projet'!$E$16+1,1))-AVERAGE(OFFSET($H$3,0,0,'Données projet'!$E$16+1,1))</f>
        <v>245.47494516762282</v>
      </c>
      <c r="FK171" s="62">
        <f t="shared" si="156"/>
        <v>145.54897745089966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-9.6633812063373625E-13</v>
      </c>
      <c r="GA171" s="18">
        <f>FZ171*VLOOKUP('Données projet'!$B$17,Paramètres!$A$1:$I$89,3,0)*VLOOKUP('Données projet'!$B$17,Paramètres!$A$1:$I$89,5,0)</f>
        <v>-9.3464223027694966E-13</v>
      </c>
      <c r="GB171" s="14" t="e">
        <f t="shared" si="185"/>
        <v>#NUM!</v>
      </c>
      <c r="GC171" s="22" t="e">
        <f t="shared" si="186"/>
        <v>#NUM!</v>
      </c>
      <c r="GD171" s="62" t="e">
        <f t="shared" si="134"/>
        <v>#NUM!</v>
      </c>
      <c r="GE171" s="62">
        <f ca="1">AVERAGE(OFFSET($GD$3,0,0,'Données projet'!$E$17+1,1))-AVERAGE(OFFSET($H$3,0,0,'Données projet'!$E$17+1,1))</f>
        <v>455.50822833641354</v>
      </c>
      <c r="GF171" s="62">
        <f t="shared" si="158"/>
        <v>261.14722581688039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1.7053025658242404E-13</v>
      </c>
      <c r="GV171" s="18">
        <f>GU171*VLOOKUP('Données projet'!$B$18,Paramètres!$A$1:$I$89,3,0)*VLOOKUP('Données projet'!$B$18,Paramètres!$A$1:$I$89,5,0)</f>
        <v>1.1439169611549005E-13</v>
      </c>
      <c r="GW171" s="14">
        <f t="shared" si="188"/>
        <v>1.6918016515029816E-12</v>
      </c>
      <c r="GX171" s="22">
        <f t="shared" si="189"/>
        <v>3.1457867471021712E-12</v>
      </c>
      <c r="GY171" s="62">
        <f t="shared" si="137"/>
        <v>293.33333333333644</v>
      </c>
      <c r="GZ171" s="62">
        <f ca="1">AVERAGE(OFFSET($GY$3,0,0,'Données projet'!$E$18+1,1))-AVERAGE(OFFSET($H$3,0,0,'Données projet'!$E$18+1,1))</f>
        <v>312.06797204903796</v>
      </c>
      <c r="HA171" s="62">
        <f t="shared" si="160"/>
        <v>258.20189001775151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projet'!$B$18,Paramètres!$A$1:$I$89,3,0)*0.475*44/12</f>
        <v>0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190"/>
        <v>0</v>
      </c>
    </row>
    <row r="172" spans="1:218" x14ac:dyDescent="0.25">
      <c r="A172" s="11">
        <f t="shared" si="161"/>
        <v>169</v>
      </c>
      <c r="B172" s="76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9">
        <f t="shared" si="110"/>
        <v>256.66666666666669</v>
      </c>
      <c r="I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2.2737367544323206E-13</v>
      </c>
      <c r="O172" s="14">
        <f>N172*VLOOKUP('Données projet'!$B$9,Paramètres!$A$1:$I$89,3,0)*VLOOKUP('Données projet'!$B$9,Paramètres!$A$1:$I$89,5,0)</f>
        <v>1.2710188457276673E-13</v>
      </c>
      <c r="P172" s="14">
        <f t="shared" si="141"/>
        <v>1.856866851063998E-12</v>
      </c>
      <c r="Q172" s="22">
        <f t="shared" si="162"/>
        <v>3.4554122145673649E-12</v>
      </c>
      <c r="R172" s="62">
        <f t="shared" si="109"/>
        <v>293.33333333333678</v>
      </c>
      <c r="S172" s="62">
        <f ca="1">AVERAGE(OFFSET($R$3,0,0,'Données projet'!$E$9+1,1))-AVERAGE(OFFSET($H$3,0,0,'Données projet'!$E$9+1,1))</f>
        <v>323.98185264074681</v>
      </c>
      <c r="T172" s="62">
        <f t="shared" si="142"/>
        <v>301.22207291854005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0.2844734140037587</v>
      </c>
      <c r="AA172" s="23">
        <f>EXP(-LN(2)/25)*AA171+(1-EXP(-LN(2)/25))/(LN(2)/25)*Calculateur!V172*Calculateur!X172*VLOOKUP('Données projet'!$B$9,Paramètres!$A$1:$I$89,3,0)*0.475*44/12</f>
        <v>0.17481753723201779</v>
      </c>
      <c r="AB172" s="23">
        <f>EXP(-LN(2)/2)*AB171+(1-EXP(-LN(2)/2))/(LN(2)/2)*V172*Y172*VLOOKUP('Données projet'!$B$9,Paramètres!$A$1:$I$89,3,0)*0.475*44/12</f>
        <v>7.2924958363641327E-21</v>
      </c>
      <c r="AC172" s="24">
        <f t="shared" si="163"/>
        <v>0.45929095123577646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-2.8421709430404007E-13</v>
      </c>
      <c r="AJ172" s="14">
        <f>AI172*VLOOKUP('Données projet'!$B$10,Paramètres!$A$1:$I$89,3,0)*VLOOKUP('Données projet'!$B$10,Paramètres!$A$1:$I$89,5,0)</f>
        <v>-1.69961822393816E-13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289.12367833861299</v>
      </c>
      <c r="AO172" s="62">
        <f t="shared" si="144"/>
        <v>229.06617320689003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4.9674335353188341E-21</v>
      </c>
      <c r="AX172" s="23">
        <f t="shared" si="166"/>
        <v>4.9674335353188341E-21</v>
      </c>
      <c r="AY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-9.6633812063373625E-13</v>
      </c>
      <c r="BE172" s="14">
        <f>BD172*VLOOKUP('Données projet'!$B$11,Paramètres!$A$1:$I$89,3,0)*VLOOKUP('Données projet'!$B$11,Paramètres!$A$1:$I$89,5,0)</f>
        <v>-8.7434273154940449E-13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428.8489304403459</v>
      </c>
      <c r="BJ172" s="62">
        <f t="shared" si="146"/>
        <v>247.01165577562966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-1.7053025658242404E-13</v>
      </c>
      <c r="BZ172" s="14">
        <f>BY172*VLOOKUP('Données projet'!$B$12,Paramètres!$A$1:$I$89,3,0)*VLOOKUP('Données projet'!$B$12,Paramètres!$A$1:$I$89,5,0)</f>
        <v>-1.250327841262333E-13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290.85271051443431</v>
      </c>
      <c r="CE172" s="62">
        <f t="shared" si="148"/>
        <v>318.66958823451142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1.1368683772161603E-13</v>
      </c>
      <c r="CU172" s="18">
        <f>CT172*VLOOKUP('Données projet'!$B$13,Paramètres!$A$1:$I$89,3,0)*VLOOKUP('Données projet'!$B$13,Paramètres!$A$1:$I$89,5,0)</f>
        <v>8.8675733422860506E-14</v>
      </c>
      <c r="CV172" s="14">
        <f t="shared" si="173"/>
        <v>1.3509285393066301E-12</v>
      </c>
      <c r="CW172" s="22">
        <f t="shared" si="174"/>
        <v>2.5073107750038623E-12</v>
      </c>
      <c r="CX172" s="62">
        <f t="shared" si="122"/>
        <v>293.33333333333582</v>
      </c>
      <c r="CY172" s="62">
        <f ca="1">AVERAGE(OFFSET($CX$3,0,0,'Données projet'!$E$13+1,1))-AVERAGE(OFFSET($H$3,0,0,'Données projet'!$E$13+1,1))</f>
        <v>292.57482726862594</v>
      </c>
      <c r="CZ172" s="62">
        <f t="shared" si="150"/>
        <v>283.48738729114024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-1.7053025658242404E-13</v>
      </c>
      <c r="DP172" s="18">
        <f>DO172*VLOOKUP('Données projet'!$B$14,Paramètres!$A$1:$I$89,3,0)*VLOOKUP('Données projet'!$B$14,Paramètres!$A$1:$I$89,5,0)</f>
        <v>-1.3567387213697657E-13</v>
      </c>
      <c r="DQ172" s="14" t="e">
        <f t="shared" si="176"/>
        <v>#NUM!</v>
      </c>
      <c r="DR172" s="22" t="e">
        <f t="shared" si="177"/>
        <v>#NUM!</v>
      </c>
      <c r="DS172" s="62" t="e">
        <f t="shared" si="125"/>
        <v>#NUM!</v>
      </c>
      <c r="DT172" s="62">
        <f ca="1">AVERAGE(OFFSET($DS$3,0,0,'Données projet'!$E$14+1,1))-AVERAGE(OFFSET($H$3,0,0,'Données projet'!$E$14+1,1))</f>
        <v>312.53381881960331</v>
      </c>
      <c r="DU172" s="62">
        <f t="shared" si="152"/>
        <v>342.06887933351783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1.1368683772161603E-13</v>
      </c>
      <c r="EK172" s="18">
        <f>EJ172*VLOOKUP('Données projet'!$B$15,Paramètres!$A$1:$I$89,3,0)*VLOOKUP('Données projet'!$B$15,Paramètres!$A$1:$I$89,5,0)</f>
        <v>1.0818439477588981E-13</v>
      </c>
      <c r="EL172" s="14">
        <f t="shared" si="179"/>
        <v>1.6104228458716316E-12</v>
      </c>
      <c r="EM172" s="22">
        <f t="shared" si="180"/>
        <v>2.9932409441277661E-12</v>
      </c>
      <c r="EN172" s="62">
        <f t="shared" si="128"/>
        <v>293.33333333333633</v>
      </c>
      <c r="EO172" s="62">
        <f ca="1">AVERAGE(OFFSET($EN$3,0,0,'Données projet'!$E$15+1,1))-AVERAGE(OFFSET($H$3,0,0,'Données projet'!$E$15+1,1))</f>
        <v>363.37916970915211</v>
      </c>
      <c r="EP172" s="62">
        <f t="shared" si="154"/>
        <v>281.52963027844595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-6.2527760746888816E-13</v>
      </c>
      <c r="FF172" s="18">
        <f>FE172*VLOOKUP('Données projet'!$B$16,Paramètres!$A$1:$I$89,3,0)*VLOOKUP('Données projet'!$B$16,Paramètres!$A$1:$I$89,5,0)</f>
        <v>-2.9262992029543964E-13</v>
      </c>
      <c r="FG172" s="14" t="e">
        <f t="shared" si="182"/>
        <v>#NUM!</v>
      </c>
      <c r="FH172" s="22" t="e">
        <f t="shared" si="183"/>
        <v>#NUM!</v>
      </c>
      <c r="FI172" s="62" t="e">
        <f t="shared" si="131"/>
        <v>#NUM!</v>
      </c>
      <c r="FJ172" s="62">
        <f ca="1">AVERAGE(OFFSET($FI$3,0,0,'Données projet'!$E$16+1,1))-AVERAGE(OFFSET($H$3,0,0,'Données projet'!$E$16+1,1))</f>
        <v>245.47494516762282</v>
      </c>
      <c r="FK172" s="62">
        <f t="shared" si="156"/>
        <v>145.54897745089966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-9.6633812063373625E-13</v>
      </c>
      <c r="GA172" s="18">
        <f>FZ172*VLOOKUP('Données projet'!$B$17,Paramètres!$A$1:$I$89,3,0)*VLOOKUP('Données projet'!$B$17,Paramètres!$A$1:$I$89,5,0)</f>
        <v>-9.3464223027694966E-13</v>
      </c>
      <c r="GB172" s="14" t="e">
        <f t="shared" si="185"/>
        <v>#NUM!</v>
      </c>
      <c r="GC172" s="22" t="e">
        <f t="shared" si="186"/>
        <v>#NUM!</v>
      </c>
      <c r="GD172" s="62" t="e">
        <f t="shared" si="134"/>
        <v>#NUM!</v>
      </c>
      <c r="GE172" s="62">
        <f ca="1">AVERAGE(OFFSET($GD$3,0,0,'Données projet'!$E$17+1,1))-AVERAGE(OFFSET($H$3,0,0,'Données projet'!$E$17+1,1))</f>
        <v>455.50822833641354</v>
      </c>
      <c r="GF172" s="62">
        <f t="shared" si="158"/>
        <v>261.14722581688039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1.7053025658242404E-13</v>
      </c>
      <c r="GV172" s="18">
        <f>GU172*VLOOKUP('Données projet'!$B$18,Paramètres!$A$1:$I$89,3,0)*VLOOKUP('Données projet'!$B$18,Paramètres!$A$1:$I$89,5,0)</f>
        <v>1.1439169611549005E-13</v>
      </c>
      <c r="GW172" s="14">
        <f t="shared" si="188"/>
        <v>1.6918016515029816E-12</v>
      </c>
      <c r="GX172" s="22">
        <f t="shared" si="189"/>
        <v>3.1457867471021712E-12</v>
      </c>
      <c r="GY172" s="62">
        <f t="shared" si="137"/>
        <v>293.33333333333644</v>
      </c>
      <c r="GZ172" s="62">
        <f ca="1">AVERAGE(OFFSET($GY$3,0,0,'Données projet'!$E$18+1,1))-AVERAGE(OFFSET($H$3,0,0,'Données projet'!$E$18+1,1))</f>
        <v>312.06797204903796</v>
      </c>
      <c r="HA172" s="62">
        <f t="shared" si="160"/>
        <v>258.20189001775151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projet'!$B$18,Paramètres!$A$1:$I$89,3,0)*0.475*44/12</f>
        <v>0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190"/>
        <v>0</v>
      </c>
    </row>
    <row r="173" spans="1:218" x14ac:dyDescent="0.25">
      <c r="A173" s="11">
        <f t="shared" si="161"/>
        <v>170</v>
      </c>
      <c r="B173" s="76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9">
        <f t="shared" si="110"/>
        <v>256.66666666666669</v>
      </c>
      <c r="I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2.2737367544323206E-13</v>
      </c>
      <c r="O173" s="14">
        <f>N173*VLOOKUP('Données projet'!$B$9,Paramètres!$A$1:$I$89,3,0)*VLOOKUP('Données projet'!$B$9,Paramètres!$A$1:$I$89,5,0)</f>
        <v>1.2710188457276673E-13</v>
      </c>
      <c r="P173" s="14">
        <f t="shared" si="141"/>
        <v>1.856866851063998E-12</v>
      </c>
      <c r="Q173" s="22">
        <f t="shared" si="162"/>
        <v>3.4554122145673649E-12</v>
      </c>
      <c r="R173" s="62">
        <f t="shared" si="109"/>
        <v>293.33333333333678</v>
      </c>
      <c r="S173" s="62">
        <f ca="1">AVERAGE(OFFSET($R$3,0,0,'Données projet'!$E$9+1,1))-AVERAGE(OFFSET($H$3,0,0,'Données projet'!$E$9+1,1))</f>
        <v>323.98185264074681</v>
      </c>
      <c r="T173" s="62">
        <f t="shared" si="142"/>
        <v>301.22207291854005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0.27889506386679469</v>
      </c>
      <c r="AA173" s="23">
        <f>EXP(-LN(2)/25)*AA172+(1-EXP(-LN(2)/25))/(LN(2)/25)*Calculateur!V173*Calculateur!X173*VLOOKUP('Données projet'!$B$9,Paramètres!$A$1:$I$89,3,0)*0.475*44/12</f>
        <v>0.17003714248315352</v>
      </c>
      <c r="AB173" s="23">
        <f>EXP(-LN(2)/2)*AB172+(1-EXP(-LN(2)/2))/(LN(2)/2)*V173*Y173*VLOOKUP('Données projet'!$B$9,Paramètres!$A$1:$I$89,3,0)*0.475*44/12</f>
        <v>5.1565732576677418E-21</v>
      </c>
      <c r="AC173" s="24">
        <f t="shared" si="163"/>
        <v>0.44893220634994824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-2.8421709430404007E-13</v>
      </c>
      <c r="AJ173" s="14">
        <f>AI173*VLOOKUP('Données projet'!$B$10,Paramètres!$A$1:$I$89,3,0)*VLOOKUP('Données projet'!$B$10,Paramètres!$A$1:$I$89,5,0)</f>
        <v>-1.69961822393816E-13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289.12367833861299</v>
      </c>
      <c r="AO173" s="62">
        <f t="shared" si="144"/>
        <v>229.06617320689003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3.512505937917413E-21</v>
      </c>
      <c r="AX173" s="23">
        <f t="shared" si="166"/>
        <v>3.512505937917413E-21</v>
      </c>
      <c r="AY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-9.6633812063373625E-13</v>
      </c>
      <c r="BE173" s="14">
        <f>BD173*VLOOKUP('Données projet'!$B$11,Paramètres!$A$1:$I$89,3,0)*VLOOKUP('Données projet'!$B$11,Paramètres!$A$1:$I$89,5,0)</f>
        <v>-8.7434273154940449E-13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428.8489304403459</v>
      </c>
      <c r="BJ173" s="62">
        <f t="shared" si="146"/>
        <v>247.01165577562966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-1.7053025658242404E-13</v>
      </c>
      <c r="BZ173" s="14">
        <f>BY173*VLOOKUP('Données projet'!$B$12,Paramètres!$A$1:$I$89,3,0)*VLOOKUP('Données projet'!$B$12,Paramètres!$A$1:$I$89,5,0)</f>
        <v>-1.250327841262333E-13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290.85271051443431</v>
      </c>
      <c r="CE173" s="62">
        <f t="shared" si="148"/>
        <v>318.66958823451142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1.1368683772161603E-13</v>
      </c>
      <c r="CU173" s="18">
        <f>CT173*VLOOKUP('Données projet'!$B$13,Paramètres!$A$1:$I$89,3,0)*VLOOKUP('Données projet'!$B$13,Paramètres!$A$1:$I$89,5,0)</f>
        <v>8.8675733422860506E-14</v>
      </c>
      <c r="CV173" s="14">
        <f t="shared" si="173"/>
        <v>1.3509285393066301E-12</v>
      </c>
      <c r="CW173" s="22">
        <f t="shared" si="174"/>
        <v>2.5073107750038623E-12</v>
      </c>
      <c r="CX173" s="62">
        <f t="shared" si="122"/>
        <v>293.33333333333582</v>
      </c>
      <c r="CY173" s="62">
        <f ca="1">AVERAGE(OFFSET($CX$3,0,0,'Données projet'!$E$13+1,1))-AVERAGE(OFFSET($H$3,0,0,'Données projet'!$E$13+1,1))</f>
        <v>292.57482726862594</v>
      </c>
      <c r="CZ173" s="62">
        <f t="shared" si="150"/>
        <v>283.48738729114024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-1.7053025658242404E-13</v>
      </c>
      <c r="DP173" s="18">
        <f>DO173*VLOOKUP('Données projet'!$B$14,Paramètres!$A$1:$I$89,3,0)*VLOOKUP('Données projet'!$B$14,Paramètres!$A$1:$I$89,5,0)</f>
        <v>-1.3567387213697657E-13</v>
      </c>
      <c r="DQ173" s="14" t="e">
        <f t="shared" si="176"/>
        <v>#NUM!</v>
      </c>
      <c r="DR173" s="22" t="e">
        <f t="shared" si="177"/>
        <v>#NUM!</v>
      </c>
      <c r="DS173" s="62" t="e">
        <f t="shared" si="125"/>
        <v>#NUM!</v>
      </c>
      <c r="DT173" s="62">
        <f ca="1">AVERAGE(OFFSET($DS$3,0,0,'Données projet'!$E$14+1,1))-AVERAGE(OFFSET($H$3,0,0,'Données projet'!$E$14+1,1))</f>
        <v>312.53381881960331</v>
      </c>
      <c r="DU173" s="62">
        <f t="shared" si="152"/>
        <v>342.06887933351783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1.1368683772161603E-13</v>
      </c>
      <c r="EK173" s="18">
        <f>EJ173*VLOOKUP('Données projet'!$B$15,Paramètres!$A$1:$I$89,3,0)*VLOOKUP('Données projet'!$B$15,Paramètres!$A$1:$I$89,5,0)</f>
        <v>1.0818439477588981E-13</v>
      </c>
      <c r="EL173" s="14">
        <f t="shared" si="179"/>
        <v>1.6104228458716316E-12</v>
      </c>
      <c r="EM173" s="22">
        <f t="shared" si="180"/>
        <v>2.9932409441277661E-12</v>
      </c>
      <c r="EN173" s="62">
        <f t="shared" si="128"/>
        <v>293.33333333333633</v>
      </c>
      <c r="EO173" s="62">
        <f ca="1">AVERAGE(OFFSET($EN$3,0,0,'Données projet'!$E$15+1,1))-AVERAGE(OFFSET($H$3,0,0,'Données projet'!$E$15+1,1))</f>
        <v>363.37916970915211</v>
      </c>
      <c r="EP173" s="62">
        <f t="shared" si="154"/>
        <v>281.52963027844595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-6.2527760746888816E-13</v>
      </c>
      <c r="FF173" s="18">
        <f>FE173*VLOOKUP('Données projet'!$B$16,Paramètres!$A$1:$I$89,3,0)*VLOOKUP('Données projet'!$B$16,Paramètres!$A$1:$I$89,5,0)</f>
        <v>-2.9262992029543964E-13</v>
      </c>
      <c r="FG173" s="14" t="e">
        <f t="shared" si="182"/>
        <v>#NUM!</v>
      </c>
      <c r="FH173" s="22" t="e">
        <f t="shared" si="183"/>
        <v>#NUM!</v>
      </c>
      <c r="FI173" s="62" t="e">
        <f t="shared" si="131"/>
        <v>#NUM!</v>
      </c>
      <c r="FJ173" s="62">
        <f ca="1">AVERAGE(OFFSET($FI$3,0,0,'Données projet'!$E$16+1,1))-AVERAGE(OFFSET($H$3,0,0,'Données projet'!$E$16+1,1))</f>
        <v>245.47494516762282</v>
      </c>
      <c r="FK173" s="62">
        <f t="shared" si="156"/>
        <v>145.54897745089966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-9.6633812063373625E-13</v>
      </c>
      <c r="GA173" s="18">
        <f>FZ173*VLOOKUP('Données projet'!$B$17,Paramètres!$A$1:$I$89,3,0)*VLOOKUP('Données projet'!$B$17,Paramètres!$A$1:$I$89,5,0)</f>
        <v>-9.3464223027694966E-13</v>
      </c>
      <c r="GB173" s="14" t="e">
        <f t="shared" si="185"/>
        <v>#NUM!</v>
      </c>
      <c r="GC173" s="22" t="e">
        <f t="shared" si="186"/>
        <v>#NUM!</v>
      </c>
      <c r="GD173" s="62" t="e">
        <f t="shared" si="134"/>
        <v>#NUM!</v>
      </c>
      <c r="GE173" s="62">
        <f ca="1">AVERAGE(OFFSET($GD$3,0,0,'Données projet'!$E$17+1,1))-AVERAGE(OFFSET($H$3,0,0,'Données projet'!$E$17+1,1))</f>
        <v>455.50822833641354</v>
      </c>
      <c r="GF173" s="62">
        <f t="shared" si="158"/>
        <v>261.14722581688039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1.7053025658242404E-13</v>
      </c>
      <c r="GV173" s="18">
        <f>GU173*VLOOKUP('Données projet'!$B$18,Paramètres!$A$1:$I$89,3,0)*VLOOKUP('Données projet'!$B$18,Paramètres!$A$1:$I$89,5,0)</f>
        <v>1.1439169611549005E-13</v>
      </c>
      <c r="GW173" s="14">
        <f t="shared" si="188"/>
        <v>1.6918016515029816E-12</v>
      </c>
      <c r="GX173" s="22">
        <f t="shared" si="189"/>
        <v>3.1457867471021712E-12</v>
      </c>
      <c r="GY173" s="62">
        <f t="shared" si="137"/>
        <v>293.33333333333644</v>
      </c>
      <c r="GZ173" s="62">
        <f ca="1">AVERAGE(OFFSET($GY$3,0,0,'Données projet'!$E$18+1,1))-AVERAGE(OFFSET($H$3,0,0,'Données projet'!$E$18+1,1))</f>
        <v>312.06797204903796</v>
      </c>
      <c r="HA173" s="62">
        <f t="shared" si="160"/>
        <v>258.20189001775151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projet'!$B$18,Paramètres!$A$1:$I$89,3,0)*0.475*44/12</f>
        <v>0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190"/>
        <v>0</v>
      </c>
    </row>
    <row r="174" spans="1:218" x14ac:dyDescent="0.25">
      <c r="A174" s="11">
        <f t="shared" si="161"/>
        <v>171</v>
      </c>
      <c r="B174" s="76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9">
        <f t="shared" si="110"/>
        <v>256.66666666666669</v>
      </c>
      <c r="I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2.2737367544323206E-13</v>
      </c>
      <c r="O174" s="14">
        <f>N174*VLOOKUP('Données projet'!$B$9,Paramètres!$A$1:$I$89,3,0)*VLOOKUP('Données projet'!$B$9,Paramètres!$A$1:$I$89,5,0)</f>
        <v>1.2710188457276673E-13</v>
      </c>
      <c r="P174" s="14">
        <f t="shared" si="141"/>
        <v>1.856866851063998E-12</v>
      </c>
      <c r="Q174" s="22">
        <f t="shared" si="162"/>
        <v>3.4554122145673649E-12</v>
      </c>
      <c r="R174" s="62">
        <f t="shared" si="109"/>
        <v>293.33333333333678</v>
      </c>
      <c r="S174" s="62">
        <f ca="1">AVERAGE(OFFSET($R$3,0,0,'Données projet'!$E$9+1,1))-AVERAGE(OFFSET($H$3,0,0,'Données projet'!$E$9+1,1))</f>
        <v>323.98185264074681</v>
      </c>
      <c r="T174" s="62">
        <f t="shared" si="142"/>
        <v>301.22207291854005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0.27342610177355892</v>
      </c>
      <c r="AA174" s="23">
        <f>EXP(-LN(2)/25)*AA173+(1-EXP(-LN(2)/25))/(LN(2)/25)*Calculateur!V174*Calculateur!X174*VLOOKUP('Données projet'!$B$9,Paramètres!$A$1:$I$89,3,0)*0.475*44/12</f>
        <v>0.16538746788008699</v>
      </c>
      <c r="AB174" s="23">
        <f>EXP(-LN(2)/2)*AB173+(1-EXP(-LN(2)/2))/(LN(2)/2)*V174*Y174*VLOOKUP('Données projet'!$B$9,Paramètres!$A$1:$I$89,3,0)*0.475*44/12</f>
        <v>3.6462479181820664E-21</v>
      </c>
      <c r="AC174" s="24">
        <f t="shared" si="163"/>
        <v>0.43881356965364593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-2.8421709430404007E-13</v>
      </c>
      <c r="AJ174" s="14">
        <f>AI174*VLOOKUP('Données projet'!$B$10,Paramètres!$A$1:$I$89,3,0)*VLOOKUP('Données projet'!$B$10,Paramètres!$A$1:$I$89,5,0)</f>
        <v>-1.69961822393816E-13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289.12367833861299</v>
      </c>
      <c r="AO174" s="62">
        <f t="shared" si="144"/>
        <v>229.06617320689003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2.4837167676594171E-21</v>
      </c>
      <c r="AX174" s="23">
        <f t="shared" si="166"/>
        <v>2.4837167676594171E-21</v>
      </c>
      <c r="AY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-9.6633812063373625E-13</v>
      </c>
      <c r="BE174" s="14">
        <f>BD174*VLOOKUP('Données projet'!$B$11,Paramètres!$A$1:$I$89,3,0)*VLOOKUP('Données projet'!$B$11,Paramètres!$A$1:$I$89,5,0)</f>
        <v>-8.7434273154940449E-13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428.8489304403459</v>
      </c>
      <c r="BJ174" s="62">
        <f t="shared" si="146"/>
        <v>247.01165577562966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-1.7053025658242404E-13</v>
      </c>
      <c r="BZ174" s="14">
        <f>BY174*VLOOKUP('Données projet'!$B$12,Paramètres!$A$1:$I$89,3,0)*VLOOKUP('Données projet'!$B$12,Paramètres!$A$1:$I$89,5,0)</f>
        <v>-1.250327841262333E-13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290.85271051443431</v>
      </c>
      <c r="CE174" s="62">
        <f t="shared" si="148"/>
        <v>318.66958823451142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1.1368683772161603E-13</v>
      </c>
      <c r="CU174" s="18">
        <f>CT174*VLOOKUP('Données projet'!$B$13,Paramètres!$A$1:$I$89,3,0)*VLOOKUP('Données projet'!$B$13,Paramètres!$A$1:$I$89,5,0)</f>
        <v>8.8675733422860506E-14</v>
      </c>
      <c r="CV174" s="14">
        <f t="shared" si="173"/>
        <v>1.3509285393066301E-12</v>
      </c>
      <c r="CW174" s="22">
        <f t="shared" si="174"/>
        <v>2.5073107750038623E-12</v>
      </c>
      <c r="CX174" s="62">
        <f t="shared" si="122"/>
        <v>293.33333333333582</v>
      </c>
      <c r="CY174" s="62">
        <f ca="1">AVERAGE(OFFSET($CX$3,0,0,'Données projet'!$E$13+1,1))-AVERAGE(OFFSET($H$3,0,0,'Données projet'!$E$13+1,1))</f>
        <v>292.57482726862594</v>
      </c>
      <c r="CZ174" s="62">
        <f t="shared" si="150"/>
        <v>283.48738729114024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-1.7053025658242404E-13</v>
      </c>
      <c r="DP174" s="18">
        <f>DO174*VLOOKUP('Données projet'!$B$14,Paramètres!$A$1:$I$89,3,0)*VLOOKUP('Données projet'!$B$14,Paramètres!$A$1:$I$89,5,0)</f>
        <v>-1.3567387213697657E-13</v>
      </c>
      <c r="DQ174" s="14" t="e">
        <f t="shared" si="176"/>
        <v>#NUM!</v>
      </c>
      <c r="DR174" s="22" t="e">
        <f t="shared" si="177"/>
        <v>#NUM!</v>
      </c>
      <c r="DS174" s="62" t="e">
        <f t="shared" si="125"/>
        <v>#NUM!</v>
      </c>
      <c r="DT174" s="62">
        <f ca="1">AVERAGE(OFFSET($DS$3,0,0,'Données projet'!$E$14+1,1))-AVERAGE(OFFSET($H$3,0,0,'Données projet'!$E$14+1,1))</f>
        <v>312.53381881960331</v>
      </c>
      <c r="DU174" s="62">
        <f t="shared" si="152"/>
        <v>342.06887933351783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1.1368683772161603E-13</v>
      </c>
      <c r="EK174" s="18">
        <f>EJ174*VLOOKUP('Données projet'!$B$15,Paramètres!$A$1:$I$89,3,0)*VLOOKUP('Données projet'!$B$15,Paramètres!$A$1:$I$89,5,0)</f>
        <v>1.0818439477588981E-13</v>
      </c>
      <c r="EL174" s="14">
        <f t="shared" si="179"/>
        <v>1.6104228458716316E-12</v>
      </c>
      <c r="EM174" s="22">
        <f t="shared" si="180"/>
        <v>2.9932409441277661E-12</v>
      </c>
      <c r="EN174" s="62">
        <f t="shared" si="128"/>
        <v>293.33333333333633</v>
      </c>
      <c r="EO174" s="62">
        <f ca="1">AVERAGE(OFFSET($EN$3,0,0,'Données projet'!$E$15+1,1))-AVERAGE(OFFSET($H$3,0,0,'Données projet'!$E$15+1,1))</f>
        <v>363.37916970915211</v>
      </c>
      <c r="EP174" s="62">
        <f t="shared" si="154"/>
        <v>281.52963027844595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-6.2527760746888816E-13</v>
      </c>
      <c r="FF174" s="18">
        <f>FE174*VLOOKUP('Données projet'!$B$16,Paramètres!$A$1:$I$89,3,0)*VLOOKUP('Données projet'!$B$16,Paramètres!$A$1:$I$89,5,0)</f>
        <v>-2.9262992029543964E-13</v>
      </c>
      <c r="FG174" s="14" t="e">
        <f t="shared" si="182"/>
        <v>#NUM!</v>
      </c>
      <c r="FH174" s="22" t="e">
        <f t="shared" si="183"/>
        <v>#NUM!</v>
      </c>
      <c r="FI174" s="62" t="e">
        <f t="shared" si="131"/>
        <v>#NUM!</v>
      </c>
      <c r="FJ174" s="62">
        <f ca="1">AVERAGE(OFFSET($FI$3,0,0,'Données projet'!$E$16+1,1))-AVERAGE(OFFSET($H$3,0,0,'Données projet'!$E$16+1,1))</f>
        <v>245.47494516762282</v>
      </c>
      <c r="FK174" s="62">
        <f t="shared" si="156"/>
        <v>145.54897745089966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-9.6633812063373625E-13</v>
      </c>
      <c r="GA174" s="18">
        <f>FZ174*VLOOKUP('Données projet'!$B$17,Paramètres!$A$1:$I$89,3,0)*VLOOKUP('Données projet'!$B$17,Paramètres!$A$1:$I$89,5,0)</f>
        <v>-9.3464223027694966E-13</v>
      </c>
      <c r="GB174" s="14" t="e">
        <f t="shared" si="185"/>
        <v>#NUM!</v>
      </c>
      <c r="GC174" s="22" t="e">
        <f t="shared" si="186"/>
        <v>#NUM!</v>
      </c>
      <c r="GD174" s="62" t="e">
        <f t="shared" si="134"/>
        <v>#NUM!</v>
      </c>
      <c r="GE174" s="62">
        <f ca="1">AVERAGE(OFFSET($GD$3,0,0,'Données projet'!$E$17+1,1))-AVERAGE(OFFSET($H$3,0,0,'Données projet'!$E$17+1,1))</f>
        <v>455.50822833641354</v>
      </c>
      <c r="GF174" s="62">
        <f t="shared" si="158"/>
        <v>261.14722581688039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1.7053025658242404E-13</v>
      </c>
      <c r="GV174" s="18">
        <f>GU174*VLOOKUP('Données projet'!$B$18,Paramètres!$A$1:$I$89,3,0)*VLOOKUP('Données projet'!$B$18,Paramètres!$A$1:$I$89,5,0)</f>
        <v>1.1439169611549005E-13</v>
      </c>
      <c r="GW174" s="14">
        <f t="shared" si="188"/>
        <v>1.6918016515029816E-12</v>
      </c>
      <c r="GX174" s="22">
        <f t="shared" si="189"/>
        <v>3.1457867471021712E-12</v>
      </c>
      <c r="GY174" s="62">
        <f t="shared" si="137"/>
        <v>293.33333333333644</v>
      </c>
      <c r="GZ174" s="62">
        <f ca="1">AVERAGE(OFFSET($GY$3,0,0,'Données projet'!$E$18+1,1))-AVERAGE(OFFSET($H$3,0,0,'Données projet'!$E$18+1,1))</f>
        <v>312.06797204903796</v>
      </c>
      <c r="HA174" s="62">
        <f t="shared" si="160"/>
        <v>258.20189001775151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projet'!$B$18,Paramètres!$A$1:$I$89,3,0)*0.475*44/12</f>
        <v>0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190"/>
        <v>0</v>
      </c>
    </row>
    <row r="175" spans="1:218" x14ac:dyDescent="0.25">
      <c r="A175" s="11">
        <f t="shared" si="161"/>
        <v>172</v>
      </c>
      <c r="B175" s="76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9">
        <f t="shared" si="110"/>
        <v>256.66666666666669</v>
      </c>
      <c r="I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2.2737367544323206E-13</v>
      </c>
      <c r="O175" s="14">
        <f>N175*VLOOKUP('Données projet'!$B$9,Paramètres!$A$1:$I$89,3,0)*VLOOKUP('Données projet'!$B$9,Paramètres!$A$1:$I$89,5,0)</f>
        <v>1.2710188457276673E-13</v>
      </c>
      <c r="P175" s="14">
        <f t="shared" si="141"/>
        <v>1.856866851063998E-12</v>
      </c>
      <c r="Q175" s="22">
        <f t="shared" si="162"/>
        <v>3.4554122145673649E-12</v>
      </c>
      <c r="R175" s="62">
        <f t="shared" si="109"/>
        <v>293.33333333333678</v>
      </c>
      <c r="S175" s="62">
        <f ca="1">AVERAGE(OFFSET($R$3,0,0,'Données projet'!$E$9+1,1))-AVERAGE(OFFSET($H$3,0,0,'Données projet'!$E$9+1,1))</f>
        <v>323.98185264074681</v>
      </c>
      <c r="T175" s="62">
        <f t="shared" si="142"/>
        <v>301.22207291854005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0.268064382691234</v>
      </c>
      <c r="AA175" s="23">
        <f>EXP(-LN(2)/25)*AA174+(1-EXP(-LN(2)/25))/(LN(2)/25)*Calculateur!V175*Calculateur!X175*VLOOKUP('Données projet'!$B$9,Paramètres!$A$1:$I$89,3,0)*0.475*44/12</f>
        <v>0.16086493887355707</v>
      </c>
      <c r="AB175" s="23">
        <f>EXP(-LN(2)/2)*AB174+(1-EXP(-LN(2)/2))/(LN(2)/2)*V175*Y175*VLOOKUP('Données projet'!$B$9,Paramètres!$A$1:$I$89,3,0)*0.475*44/12</f>
        <v>2.5782866288338709E-21</v>
      </c>
      <c r="AC175" s="24">
        <f t="shared" si="163"/>
        <v>0.42892932156479108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-2.8421709430404007E-13</v>
      </c>
      <c r="AJ175" s="14">
        <f>AI175*VLOOKUP('Données projet'!$B$10,Paramètres!$A$1:$I$89,3,0)*VLOOKUP('Données projet'!$B$10,Paramètres!$A$1:$I$89,5,0)</f>
        <v>-1.69961822393816E-13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289.12367833861299</v>
      </c>
      <c r="AO175" s="62">
        <f t="shared" si="144"/>
        <v>229.06617320689003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1.7562529689587065E-21</v>
      </c>
      <c r="AX175" s="23">
        <f t="shared" si="166"/>
        <v>1.7562529689587065E-21</v>
      </c>
      <c r="AY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-9.6633812063373625E-13</v>
      </c>
      <c r="BE175" s="14">
        <f>BD175*VLOOKUP('Données projet'!$B$11,Paramètres!$A$1:$I$89,3,0)*VLOOKUP('Données projet'!$B$11,Paramètres!$A$1:$I$89,5,0)</f>
        <v>-8.7434273154940449E-13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428.8489304403459</v>
      </c>
      <c r="BJ175" s="62">
        <f t="shared" si="146"/>
        <v>247.01165577562966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-1.7053025658242404E-13</v>
      </c>
      <c r="BZ175" s="14">
        <f>BY175*VLOOKUP('Données projet'!$B$12,Paramètres!$A$1:$I$89,3,0)*VLOOKUP('Données projet'!$B$12,Paramètres!$A$1:$I$89,5,0)</f>
        <v>-1.250327841262333E-13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290.85271051443431</v>
      </c>
      <c r="CE175" s="62">
        <f t="shared" si="148"/>
        <v>318.66958823451142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1.1368683772161603E-13</v>
      </c>
      <c r="CU175" s="18">
        <f>CT175*VLOOKUP('Données projet'!$B$13,Paramètres!$A$1:$I$89,3,0)*VLOOKUP('Données projet'!$B$13,Paramètres!$A$1:$I$89,5,0)</f>
        <v>8.8675733422860506E-14</v>
      </c>
      <c r="CV175" s="14">
        <f t="shared" si="173"/>
        <v>1.3509285393066301E-12</v>
      </c>
      <c r="CW175" s="22">
        <f t="shared" si="174"/>
        <v>2.5073107750038623E-12</v>
      </c>
      <c r="CX175" s="62">
        <f t="shared" si="122"/>
        <v>293.33333333333582</v>
      </c>
      <c r="CY175" s="62">
        <f ca="1">AVERAGE(OFFSET($CX$3,0,0,'Données projet'!$E$13+1,1))-AVERAGE(OFFSET($H$3,0,0,'Données projet'!$E$13+1,1))</f>
        <v>292.57482726862594</v>
      </c>
      <c r="CZ175" s="62">
        <f t="shared" si="150"/>
        <v>283.48738729114024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-1.7053025658242404E-13</v>
      </c>
      <c r="DP175" s="18">
        <f>DO175*VLOOKUP('Données projet'!$B$14,Paramètres!$A$1:$I$89,3,0)*VLOOKUP('Données projet'!$B$14,Paramètres!$A$1:$I$89,5,0)</f>
        <v>-1.3567387213697657E-13</v>
      </c>
      <c r="DQ175" s="14" t="e">
        <f t="shared" si="176"/>
        <v>#NUM!</v>
      </c>
      <c r="DR175" s="22" t="e">
        <f t="shared" si="177"/>
        <v>#NUM!</v>
      </c>
      <c r="DS175" s="62" t="e">
        <f t="shared" si="125"/>
        <v>#NUM!</v>
      </c>
      <c r="DT175" s="62">
        <f ca="1">AVERAGE(OFFSET($DS$3,0,0,'Données projet'!$E$14+1,1))-AVERAGE(OFFSET($H$3,0,0,'Données projet'!$E$14+1,1))</f>
        <v>312.53381881960331</v>
      </c>
      <c r="DU175" s="62">
        <f t="shared" si="152"/>
        <v>342.06887933351783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1.1368683772161603E-13</v>
      </c>
      <c r="EK175" s="18">
        <f>EJ175*VLOOKUP('Données projet'!$B$15,Paramètres!$A$1:$I$89,3,0)*VLOOKUP('Données projet'!$B$15,Paramètres!$A$1:$I$89,5,0)</f>
        <v>1.0818439477588981E-13</v>
      </c>
      <c r="EL175" s="14">
        <f t="shared" si="179"/>
        <v>1.6104228458716316E-12</v>
      </c>
      <c r="EM175" s="22">
        <f t="shared" si="180"/>
        <v>2.9932409441277661E-12</v>
      </c>
      <c r="EN175" s="62">
        <f t="shared" si="128"/>
        <v>293.33333333333633</v>
      </c>
      <c r="EO175" s="62">
        <f ca="1">AVERAGE(OFFSET($EN$3,0,0,'Données projet'!$E$15+1,1))-AVERAGE(OFFSET($H$3,0,0,'Données projet'!$E$15+1,1))</f>
        <v>363.37916970915211</v>
      </c>
      <c r="EP175" s="62">
        <f t="shared" si="154"/>
        <v>281.52963027844595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-6.2527760746888816E-13</v>
      </c>
      <c r="FF175" s="18">
        <f>FE175*VLOOKUP('Données projet'!$B$16,Paramètres!$A$1:$I$89,3,0)*VLOOKUP('Données projet'!$B$16,Paramètres!$A$1:$I$89,5,0)</f>
        <v>-2.9262992029543964E-13</v>
      </c>
      <c r="FG175" s="14" t="e">
        <f t="shared" si="182"/>
        <v>#NUM!</v>
      </c>
      <c r="FH175" s="22" t="e">
        <f t="shared" si="183"/>
        <v>#NUM!</v>
      </c>
      <c r="FI175" s="62" t="e">
        <f t="shared" si="131"/>
        <v>#NUM!</v>
      </c>
      <c r="FJ175" s="62">
        <f ca="1">AVERAGE(OFFSET($FI$3,0,0,'Données projet'!$E$16+1,1))-AVERAGE(OFFSET($H$3,0,0,'Données projet'!$E$16+1,1))</f>
        <v>245.47494516762282</v>
      </c>
      <c r="FK175" s="62">
        <f t="shared" si="156"/>
        <v>145.54897745089966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-9.6633812063373625E-13</v>
      </c>
      <c r="GA175" s="18">
        <f>FZ175*VLOOKUP('Données projet'!$B$17,Paramètres!$A$1:$I$89,3,0)*VLOOKUP('Données projet'!$B$17,Paramètres!$A$1:$I$89,5,0)</f>
        <v>-9.3464223027694966E-13</v>
      </c>
      <c r="GB175" s="14" t="e">
        <f t="shared" si="185"/>
        <v>#NUM!</v>
      </c>
      <c r="GC175" s="22" t="e">
        <f t="shared" si="186"/>
        <v>#NUM!</v>
      </c>
      <c r="GD175" s="62" t="e">
        <f t="shared" si="134"/>
        <v>#NUM!</v>
      </c>
      <c r="GE175" s="62">
        <f ca="1">AVERAGE(OFFSET($GD$3,0,0,'Données projet'!$E$17+1,1))-AVERAGE(OFFSET($H$3,0,0,'Données projet'!$E$17+1,1))</f>
        <v>455.50822833641354</v>
      </c>
      <c r="GF175" s="62">
        <f t="shared" si="158"/>
        <v>261.14722581688039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1.7053025658242404E-13</v>
      </c>
      <c r="GV175" s="18">
        <f>GU175*VLOOKUP('Données projet'!$B$18,Paramètres!$A$1:$I$89,3,0)*VLOOKUP('Données projet'!$B$18,Paramètres!$A$1:$I$89,5,0)</f>
        <v>1.1439169611549005E-13</v>
      </c>
      <c r="GW175" s="14">
        <f t="shared" si="188"/>
        <v>1.6918016515029816E-12</v>
      </c>
      <c r="GX175" s="22">
        <f t="shared" si="189"/>
        <v>3.1457867471021712E-12</v>
      </c>
      <c r="GY175" s="62">
        <f t="shared" si="137"/>
        <v>293.33333333333644</v>
      </c>
      <c r="GZ175" s="62">
        <f ca="1">AVERAGE(OFFSET($GY$3,0,0,'Données projet'!$E$18+1,1))-AVERAGE(OFFSET($H$3,0,0,'Données projet'!$E$18+1,1))</f>
        <v>312.06797204903796</v>
      </c>
      <c r="HA175" s="62">
        <f t="shared" si="160"/>
        <v>258.20189001775151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projet'!$B$18,Paramètres!$A$1:$I$89,3,0)*0.475*44/12</f>
        <v>0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190"/>
        <v>0</v>
      </c>
    </row>
    <row r="176" spans="1:218" x14ac:dyDescent="0.25">
      <c r="A176" s="11">
        <f t="shared" si="161"/>
        <v>173</v>
      </c>
      <c r="B176" s="76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9">
        <f t="shared" si="110"/>
        <v>256.66666666666669</v>
      </c>
      <c r="I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2.2737367544323206E-13</v>
      </c>
      <c r="O176" s="14">
        <f>N176*VLOOKUP('Données projet'!$B$9,Paramètres!$A$1:$I$89,3,0)*VLOOKUP('Données projet'!$B$9,Paramètres!$A$1:$I$89,5,0)</f>
        <v>1.2710188457276673E-13</v>
      </c>
      <c r="P176" s="14">
        <f t="shared" si="141"/>
        <v>1.856866851063998E-12</v>
      </c>
      <c r="Q176" s="22">
        <f t="shared" si="162"/>
        <v>3.4554122145673649E-12</v>
      </c>
      <c r="R176" s="62">
        <f t="shared" si="109"/>
        <v>293.33333333333678</v>
      </c>
      <c r="S176" s="62">
        <f ca="1">AVERAGE(OFFSET($R$3,0,0,'Données projet'!$E$9+1,1))-AVERAGE(OFFSET($H$3,0,0,'Données projet'!$E$9+1,1))</f>
        <v>323.98185264074681</v>
      </c>
      <c r="T176" s="62">
        <f t="shared" si="142"/>
        <v>301.22207291854005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0.26280780364978773</v>
      </c>
      <c r="AA176" s="23">
        <f>EXP(-LN(2)/25)*AA175+(1-EXP(-LN(2)/25))/(LN(2)/25)*Calculateur!V176*Calculateur!X176*VLOOKUP('Données projet'!$B$9,Paramètres!$A$1:$I$89,3,0)*0.475*44/12</f>
        <v>0.15646607866054019</v>
      </c>
      <c r="AB176" s="23">
        <f>EXP(-LN(2)/2)*AB175+(1-EXP(-LN(2)/2))/(LN(2)/2)*V176*Y176*VLOOKUP('Données projet'!$B$9,Paramètres!$A$1:$I$89,3,0)*0.475*44/12</f>
        <v>1.8231239590910332E-21</v>
      </c>
      <c r="AC176" s="24">
        <f t="shared" si="163"/>
        <v>0.41927388231032792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-2.8421709430404007E-13</v>
      </c>
      <c r="AJ176" s="14">
        <f>AI176*VLOOKUP('Données projet'!$B$10,Paramètres!$A$1:$I$89,3,0)*VLOOKUP('Données projet'!$B$10,Paramètres!$A$1:$I$89,5,0)</f>
        <v>-1.69961822393816E-13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289.12367833861299</v>
      </c>
      <c r="AO176" s="62">
        <f t="shared" si="144"/>
        <v>229.06617320689003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1.2418583838297085E-21</v>
      </c>
      <c r="AX176" s="23">
        <f t="shared" si="166"/>
        <v>1.2418583838297085E-21</v>
      </c>
      <c r="AY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-9.6633812063373625E-13</v>
      </c>
      <c r="BE176" s="14">
        <f>BD176*VLOOKUP('Données projet'!$B$11,Paramètres!$A$1:$I$89,3,0)*VLOOKUP('Données projet'!$B$11,Paramètres!$A$1:$I$89,5,0)</f>
        <v>-8.7434273154940449E-13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428.8489304403459</v>
      </c>
      <c r="BJ176" s="62">
        <f t="shared" si="146"/>
        <v>247.01165577562966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-1.7053025658242404E-13</v>
      </c>
      <c r="BZ176" s="14">
        <f>BY176*VLOOKUP('Données projet'!$B$12,Paramètres!$A$1:$I$89,3,0)*VLOOKUP('Données projet'!$B$12,Paramètres!$A$1:$I$89,5,0)</f>
        <v>-1.250327841262333E-13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290.85271051443431</v>
      </c>
      <c r="CE176" s="62">
        <f t="shared" si="148"/>
        <v>318.66958823451142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1.1368683772161603E-13</v>
      </c>
      <c r="CU176" s="18">
        <f>CT176*VLOOKUP('Données projet'!$B$13,Paramètres!$A$1:$I$89,3,0)*VLOOKUP('Données projet'!$B$13,Paramètres!$A$1:$I$89,5,0)</f>
        <v>8.8675733422860506E-14</v>
      </c>
      <c r="CV176" s="14">
        <f t="shared" si="173"/>
        <v>1.3509285393066301E-12</v>
      </c>
      <c r="CW176" s="22">
        <f t="shared" si="174"/>
        <v>2.5073107750038623E-12</v>
      </c>
      <c r="CX176" s="62">
        <f t="shared" si="122"/>
        <v>293.33333333333582</v>
      </c>
      <c r="CY176" s="62">
        <f ca="1">AVERAGE(OFFSET($CX$3,0,0,'Données projet'!$E$13+1,1))-AVERAGE(OFFSET($H$3,0,0,'Données projet'!$E$13+1,1))</f>
        <v>292.57482726862594</v>
      </c>
      <c r="CZ176" s="62">
        <f t="shared" si="150"/>
        <v>283.48738729114024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-1.7053025658242404E-13</v>
      </c>
      <c r="DP176" s="18">
        <f>DO176*VLOOKUP('Données projet'!$B$14,Paramètres!$A$1:$I$89,3,0)*VLOOKUP('Données projet'!$B$14,Paramètres!$A$1:$I$89,5,0)</f>
        <v>-1.3567387213697657E-13</v>
      </c>
      <c r="DQ176" s="14" t="e">
        <f t="shared" si="176"/>
        <v>#NUM!</v>
      </c>
      <c r="DR176" s="22" t="e">
        <f t="shared" si="177"/>
        <v>#NUM!</v>
      </c>
      <c r="DS176" s="62" t="e">
        <f t="shared" si="125"/>
        <v>#NUM!</v>
      </c>
      <c r="DT176" s="62">
        <f ca="1">AVERAGE(OFFSET($DS$3,0,0,'Données projet'!$E$14+1,1))-AVERAGE(OFFSET($H$3,0,0,'Données projet'!$E$14+1,1))</f>
        <v>312.53381881960331</v>
      </c>
      <c r="DU176" s="62">
        <f t="shared" si="152"/>
        <v>342.06887933351783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1.1368683772161603E-13</v>
      </c>
      <c r="EK176" s="18">
        <f>EJ176*VLOOKUP('Données projet'!$B$15,Paramètres!$A$1:$I$89,3,0)*VLOOKUP('Données projet'!$B$15,Paramètres!$A$1:$I$89,5,0)</f>
        <v>1.0818439477588981E-13</v>
      </c>
      <c r="EL176" s="14">
        <f t="shared" si="179"/>
        <v>1.6104228458716316E-12</v>
      </c>
      <c r="EM176" s="22">
        <f t="shared" si="180"/>
        <v>2.9932409441277661E-12</v>
      </c>
      <c r="EN176" s="62">
        <f t="shared" si="128"/>
        <v>293.33333333333633</v>
      </c>
      <c r="EO176" s="62">
        <f ca="1">AVERAGE(OFFSET($EN$3,0,0,'Données projet'!$E$15+1,1))-AVERAGE(OFFSET($H$3,0,0,'Données projet'!$E$15+1,1))</f>
        <v>363.37916970915211</v>
      </c>
      <c r="EP176" s="62">
        <f t="shared" si="154"/>
        <v>281.52963027844595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-6.2527760746888816E-13</v>
      </c>
      <c r="FF176" s="18">
        <f>FE176*VLOOKUP('Données projet'!$B$16,Paramètres!$A$1:$I$89,3,0)*VLOOKUP('Données projet'!$B$16,Paramètres!$A$1:$I$89,5,0)</f>
        <v>-2.9262992029543964E-13</v>
      </c>
      <c r="FG176" s="14" t="e">
        <f t="shared" si="182"/>
        <v>#NUM!</v>
      </c>
      <c r="FH176" s="22" t="e">
        <f t="shared" si="183"/>
        <v>#NUM!</v>
      </c>
      <c r="FI176" s="62" t="e">
        <f t="shared" si="131"/>
        <v>#NUM!</v>
      </c>
      <c r="FJ176" s="62">
        <f ca="1">AVERAGE(OFFSET($FI$3,0,0,'Données projet'!$E$16+1,1))-AVERAGE(OFFSET($H$3,0,0,'Données projet'!$E$16+1,1))</f>
        <v>245.47494516762282</v>
      </c>
      <c r="FK176" s="62">
        <f t="shared" si="156"/>
        <v>145.54897745089966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-9.6633812063373625E-13</v>
      </c>
      <c r="GA176" s="18">
        <f>FZ176*VLOOKUP('Données projet'!$B$17,Paramètres!$A$1:$I$89,3,0)*VLOOKUP('Données projet'!$B$17,Paramètres!$A$1:$I$89,5,0)</f>
        <v>-9.3464223027694966E-13</v>
      </c>
      <c r="GB176" s="14" t="e">
        <f t="shared" si="185"/>
        <v>#NUM!</v>
      </c>
      <c r="GC176" s="22" t="e">
        <f t="shared" si="186"/>
        <v>#NUM!</v>
      </c>
      <c r="GD176" s="62" t="e">
        <f t="shared" si="134"/>
        <v>#NUM!</v>
      </c>
      <c r="GE176" s="62">
        <f ca="1">AVERAGE(OFFSET($GD$3,0,0,'Données projet'!$E$17+1,1))-AVERAGE(OFFSET($H$3,0,0,'Données projet'!$E$17+1,1))</f>
        <v>455.50822833641354</v>
      </c>
      <c r="GF176" s="62">
        <f t="shared" si="158"/>
        <v>261.14722581688039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1.7053025658242404E-13</v>
      </c>
      <c r="GV176" s="18">
        <f>GU176*VLOOKUP('Données projet'!$B$18,Paramètres!$A$1:$I$89,3,0)*VLOOKUP('Données projet'!$B$18,Paramètres!$A$1:$I$89,5,0)</f>
        <v>1.1439169611549005E-13</v>
      </c>
      <c r="GW176" s="14">
        <f t="shared" si="188"/>
        <v>1.6918016515029816E-12</v>
      </c>
      <c r="GX176" s="22">
        <f t="shared" si="189"/>
        <v>3.1457867471021712E-12</v>
      </c>
      <c r="GY176" s="62">
        <f t="shared" si="137"/>
        <v>293.33333333333644</v>
      </c>
      <c r="GZ176" s="62">
        <f ca="1">AVERAGE(OFFSET($GY$3,0,0,'Données projet'!$E$18+1,1))-AVERAGE(OFFSET($H$3,0,0,'Données projet'!$E$18+1,1))</f>
        <v>312.06797204903796</v>
      </c>
      <c r="HA176" s="62">
        <f t="shared" si="160"/>
        <v>258.20189001775151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projet'!$B$18,Paramètres!$A$1:$I$89,3,0)*0.475*44/12</f>
        <v>0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190"/>
        <v>0</v>
      </c>
    </row>
    <row r="177" spans="1:218" x14ac:dyDescent="0.25">
      <c r="A177" s="11">
        <f t="shared" si="161"/>
        <v>174</v>
      </c>
      <c r="B177" s="76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9">
        <f t="shared" si="110"/>
        <v>256.66666666666669</v>
      </c>
      <c r="I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2.2737367544323206E-13</v>
      </c>
      <c r="O177" s="14">
        <f>N177*VLOOKUP('Données projet'!$B$9,Paramètres!$A$1:$I$89,3,0)*VLOOKUP('Données projet'!$B$9,Paramètres!$A$1:$I$89,5,0)</f>
        <v>1.2710188457276673E-13</v>
      </c>
      <c r="P177" s="14">
        <f t="shared" si="141"/>
        <v>1.856866851063998E-12</v>
      </c>
      <c r="Q177" s="22">
        <f t="shared" si="162"/>
        <v>3.4554122145673649E-12</v>
      </c>
      <c r="R177" s="62">
        <f t="shared" si="109"/>
        <v>293.33333333333678</v>
      </c>
      <c r="S177" s="62">
        <f ca="1">AVERAGE(OFFSET($R$3,0,0,'Données projet'!$E$9+1,1))-AVERAGE(OFFSET($H$3,0,0,'Données projet'!$E$9+1,1))</f>
        <v>323.98185264074681</v>
      </c>
      <c r="T177" s="62">
        <f t="shared" si="142"/>
        <v>301.22207291854005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0.25765430291714764</v>
      </c>
      <c r="AA177" s="23">
        <f>EXP(-LN(2)/25)*AA176+(1-EXP(-LN(2)/25))/(LN(2)/25)*Calculateur!V177*Calculateur!X177*VLOOKUP('Données projet'!$B$9,Paramètres!$A$1:$I$89,3,0)*0.475*44/12</f>
        <v>0.15218750551137425</v>
      </c>
      <c r="AB177" s="23">
        <f>EXP(-LN(2)/2)*AB176+(1-EXP(-LN(2)/2))/(LN(2)/2)*V177*Y177*VLOOKUP('Données projet'!$B$9,Paramètres!$A$1:$I$89,3,0)*0.475*44/12</f>
        <v>1.2891433144169354E-21</v>
      </c>
      <c r="AC177" s="24">
        <f t="shared" si="163"/>
        <v>0.40984180842852191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-2.8421709430404007E-13</v>
      </c>
      <c r="AJ177" s="14">
        <f>AI177*VLOOKUP('Données projet'!$B$10,Paramètres!$A$1:$I$89,3,0)*VLOOKUP('Données projet'!$B$10,Paramètres!$A$1:$I$89,5,0)</f>
        <v>-1.69961822393816E-13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289.12367833861299</v>
      </c>
      <c r="AO177" s="62">
        <f t="shared" si="144"/>
        <v>229.06617320689003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8.7812648447935325E-22</v>
      </c>
      <c r="AX177" s="23">
        <f t="shared" si="166"/>
        <v>8.7812648447935325E-22</v>
      </c>
      <c r="AY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-9.6633812063373625E-13</v>
      </c>
      <c r="BE177" s="14">
        <f>BD177*VLOOKUP('Données projet'!$B$11,Paramètres!$A$1:$I$89,3,0)*VLOOKUP('Données projet'!$B$11,Paramètres!$A$1:$I$89,5,0)</f>
        <v>-8.7434273154940449E-13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428.8489304403459</v>
      </c>
      <c r="BJ177" s="62">
        <f t="shared" si="146"/>
        <v>247.01165577562966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-1.7053025658242404E-13</v>
      </c>
      <c r="BZ177" s="14">
        <f>BY177*VLOOKUP('Données projet'!$B$12,Paramètres!$A$1:$I$89,3,0)*VLOOKUP('Données projet'!$B$12,Paramètres!$A$1:$I$89,5,0)</f>
        <v>-1.250327841262333E-13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290.85271051443431</v>
      </c>
      <c r="CE177" s="62">
        <f t="shared" si="148"/>
        <v>318.66958823451142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1.1368683772161603E-13</v>
      </c>
      <c r="CU177" s="18">
        <f>CT177*VLOOKUP('Données projet'!$B$13,Paramètres!$A$1:$I$89,3,0)*VLOOKUP('Données projet'!$B$13,Paramètres!$A$1:$I$89,5,0)</f>
        <v>8.8675733422860506E-14</v>
      </c>
      <c r="CV177" s="14">
        <f t="shared" si="173"/>
        <v>1.3509285393066301E-12</v>
      </c>
      <c r="CW177" s="22">
        <f t="shared" si="174"/>
        <v>2.5073107750038623E-12</v>
      </c>
      <c r="CX177" s="62">
        <f t="shared" si="122"/>
        <v>293.33333333333582</v>
      </c>
      <c r="CY177" s="62">
        <f ca="1">AVERAGE(OFFSET($CX$3,0,0,'Données projet'!$E$13+1,1))-AVERAGE(OFFSET($H$3,0,0,'Données projet'!$E$13+1,1))</f>
        <v>292.57482726862594</v>
      </c>
      <c r="CZ177" s="62">
        <f t="shared" si="150"/>
        <v>283.48738729114024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-1.7053025658242404E-13</v>
      </c>
      <c r="DP177" s="18">
        <f>DO177*VLOOKUP('Données projet'!$B$14,Paramètres!$A$1:$I$89,3,0)*VLOOKUP('Données projet'!$B$14,Paramètres!$A$1:$I$89,5,0)</f>
        <v>-1.3567387213697657E-13</v>
      </c>
      <c r="DQ177" s="14" t="e">
        <f t="shared" si="176"/>
        <v>#NUM!</v>
      </c>
      <c r="DR177" s="22" t="e">
        <f t="shared" si="177"/>
        <v>#NUM!</v>
      </c>
      <c r="DS177" s="62" t="e">
        <f t="shared" si="125"/>
        <v>#NUM!</v>
      </c>
      <c r="DT177" s="62">
        <f ca="1">AVERAGE(OFFSET($DS$3,0,0,'Données projet'!$E$14+1,1))-AVERAGE(OFFSET($H$3,0,0,'Données projet'!$E$14+1,1))</f>
        <v>312.53381881960331</v>
      </c>
      <c r="DU177" s="62">
        <f t="shared" si="152"/>
        <v>342.06887933351783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1.1368683772161603E-13</v>
      </c>
      <c r="EK177" s="18">
        <f>EJ177*VLOOKUP('Données projet'!$B$15,Paramètres!$A$1:$I$89,3,0)*VLOOKUP('Données projet'!$B$15,Paramètres!$A$1:$I$89,5,0)</f>
        <v>1.0818439477588981E-13</v>
      </c>
      <c r="EL177" s="14">
        <f t="shared" si="179"/>
        <v>1.6104228458716316E-12</v>
      </c>
      <c r="EM177" s="22">
        <f t="shared" si="180"/>
        <v>2.9932409441277661E-12</v>
      </c>
      <c r="EN177" s="62">
        <f t="shared" si="128"/>
        <v>293.33333333333633</v>
      </c>
      <c r="EO177" s="62">
        <f ca="1">AVERAGE(OFFSET($EN$3,0,0,'Données projet'!$E$15+1,1))-AVERAGE(OFFSET($H$3,0,0,'Données projet'!$E$15+1,1))</f>
        <v>363.37916970915211</v>
      </c>
      <c r="EP177" s="62">
        <f t="shared" si="154"/>
        <v>281.52963027844595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-6.2527760746888816E-13</v>
      </c>
      <c r="FF177" s="18">
        <f>FE177*VLOOKUP('Données projet'!$B$16,Paramètres!$A$1:$I$89,3,0)*VLOOKUP('Données projet'!$B$16,Paramètres!$A$1:$I$89,5,0)</f>
        <v>-2.9262992029543964E-13</v>
      </c>
      <c r="FG177" s="14" t="e">
        <f t="shared" si="182"/>
        <v>#NUM!</v>
      </c>
      <c r="FH177" s="22" t="e">
        <f t="shared" si="183"/>
        <v>#NUM!</v>
      </c>
      <c r="FI177" s="62" t="e">
        <f t="shared" si="131"/>
        <v>#NUM!</v>
      </c>
      <c r="FJ177" s="62">
        <f ca="1">AVERAGE(OFFSET($FI$3,0,0,'Données projet'!$E$16+1,1))-AVERAGE(OFFSET($H$3,0,0,'Données projet'!$E$16+1,1))</f>
        <v>245.47494516762282</v>
      </c>
      <c r="FK177" s="62">
        <f t="shared" si="156"/>
        <v>145.54897745089966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-9.6633812063373625E-13</v>
      </c>
      <c r="GA177" s="18">
        <f>FZ177*VLOOKUP('Données projet'!$B$17,Paramètres!$A$1:$I$89,3,0)*VLOOKUP('Données projet'!$B$17,Paramètres!$A$1:$I$89,5,0)</f>
        <v>-9.3464223027694966E-13</v>
      </c>
      <c r="GB177" s="14" t="e">
        <f t="shared" si="185"/>
        <v>#NUM!</v>
      </c>
      <c r="GC177" s="22" t="e">
        <f t="shared" si="186"/>
        <v>#NUM!</v>
      </c>
      <c r="GD177" s="62" t="e">
        <f t="shared" si="134"/>
        <v>#NUM!</v>
      </c>
      <c r="GE177" s="62">
        <f ca="1">AVERAGE(OFFSET($GD$3,0,0,'Données projet'!$E$17+1,1))-AVERAGE(OFFSET($H$3,0,0,'Données projet'!$E$17+1,1))</f>
        <v>455.50822833641354</v>
      </c>
      <c r="GF177" s="62">
        <f t="shared" si="158"/>
        <v>261.14722581688039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1.7053025658242404E-13</v>
      </c>
      <c r="GV177" s="18">
        <f>GU177*VLOOKUP('Données projet'!$B$18,Paramètres!$A$1:$I$89,3,0)*VLOOKUP('Données projet'!$B$18,Paramètres!$A$1:$I$89,5,0)</f>
        <v>1.1439169611549005E-13</v>
      </c>
      <c r="GW177" s="14">
        <f t="shared" si="188"/>
        <v>1.6918016515029816E-12</v>
      </c>
      <c r="GX177" s="22">
        <f t="shared" si="189"/>
        <v>3.1457867471021712E-12</v>
      </c>
      <c r="GY177" s="62">
        <f t="shared" si="137"/>
        <v>293.33333333333644</v>
      </c>
      <c r="GZ177" s="62">
        <f ca="1">AVERAGE(OFFSET($GY$3,0,0,'Données projet'!$E$18+1,1))-AVERAGE(OFFSET($H$3,0,0,'Données projet'!$E$18+1,1))</f>
        <v>312.06797204903796</v>
      </c>
      <c r="HA177" s="62">
        <f t="shared" si="160"/>
        <v>258.20189001775151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projet'!$B$18,Paramètres!$A$1:$I$89,3,0)*0.475*44/12</f>
        <v>0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190"/>
        <v>0</v>
      </c>
    </row>
    <row r="178" spans="1:218" x14ac:dyDescent="0.25">
      <c r="A178" s="11">
        <f t="shared" si="161"/>
        <v>175</v>
      </c>
      <c r="B178" s="76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9">
        <f t="shared" si="110"/>
        <v>256.66666666666669</v>
      </c>
      <c r="I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2.2737367544323206E-13</v>
      </c>
      <c r="O178" s="14">
        <f>N178*VLOOKUP('Données projet'!$B$9,Paramètres!$A$1:$I$89,3,0)*VLOOKUP('Données projet'!$B$9,Paramètres!$A$1:$I$89,5,0)</f>
        <v>1.2710188457276673E-13</v>
      </c>
      <c r="P178" s="14">
        <f t="shared" si="141"/>
        <v>1.856866851063998E-12</v>
      </c>
      <c r="Q178" s="22">
        <f t="shared" si="162"/>
        <v>3.4554122145673649E-12</v>
      </c>
      <c r="R178" s="62">
        <f t="shared" si="109"/>
        <v>293.33333333333678</v>
      </c>
      <c r="S178" s="62">
        <f ca="1">AVERAGE(OFFSET($R$3,0,0,'Données projet'!$E$9+1,1))-AVERAGE(OFFSET($H$3,0,0,'Données projet'!$E$9+1,1))</f>
        <v>323.98185264074681</v>
      </c>
      <c r="T178" s="62">
        <f t="shared" si="142"/>
        <v>301.22207291854005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0.2526018591905495</v>
      </c>
      <c r="AA178" s="23">
        <f>EXP(-LN(2)/25)*AA177+(1-EXP(-LN(2)/25))/(LN(2)/25)*Calculateur!V178*Calculateur!X178*VLOOKUP('Données projet'!$B$9,Paramètres!$A$1:$I$89,3,0)*0.475*44/12</f>
        <v>0.14802593016997265</v>
      </c>
      <c r="AB178" s="23">
        <f>EXP(-LN(2)/2)*AB177+(1-EXP(-LN(2)/2))/(LN(2)/2)*V178*Y178*VLOOKUP('Données projet'!$B$9,Paramètres!$A$1:$I$89,3,0)*0.475*44/12</f>
        <v>9.1156197954551659E-22</v>
      </c>
      <c r="AC178" s="24">
        <f t="shared" si="163"/>
        <v>0.40062778936052212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-2.8421709430404007E-13</v>
      </c>
      <c r="AJ178" s="14">
        <f>AI178*VLOOKUP('Données projet'!$B$10,Paramètres!$A$1:$I$89,3,0)*VLOOKUP('Données projet'!$B$10,Paramètres!$A$1:$I$89,5,0)</f>
        <v>-1.69961822393816E-13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289.12367833861299</v>
      </c>
      <c r="AO178" s="62">
        <f t="shared" si="144"/>
        <v>229.06617320689003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6.2092919191485427E-22</v>
      </c>
      <c r="AX178" s="23">
        <f t="shared" si="166"/>
        <v>6.2092919191485427E-22</v>
      </c>
      <c r="AY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-9.6633812063373625E-13</v>
      </c>
      <c r="BE178" s="14">
        <f>BD178*VLOOKUP('Données projet'!$B$11,Paramètres!$A$1:$I$89,3,0)*VLOOKUP('Données projet'!$B$11,Paramètres!$A$1:$I$89,5,0)</f>
        <v>-8.7434273154940449E-13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428.8489304403459</v>
      </c>
      <c r="BJ178" s="62">
        <f t="shared" si="146"/>
        <v>247.01165577562966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-1.7053025658242404E-13</v>
      </c>
      <c r="BZ178" s="14">
        <f>BY178*VLOOKUP('Données projet'!$B$12,Paramètres!$A$1:$I$89,3,0)*VLOOKUP('Données projet'!$B$12,Paramètres!$A$1:$I$89,5,0)</f>
        <v>-1.250327841262333E-13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290.85271051443431</v>
      </c>
      <c r="CE178" s="62">
        <f t="shared" si="148"/>
        <v>318.66958823451142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1.1368683772161603E-13</v>
      </c>
      <c r="CU178" s="18">
        <f>CT178*VLOOKUP('Données projet'!$B$13,Paramètres!$A$1:$I$89,3,0)*VLOOKUP('Données projet'!$B$13,Paramètres!$A$1:$I$89,5,0)</f>
        <v>8.8675733422860506E-14</v>
      </c>
      <c r="CV178" s="14">
        <f t="shared" si="173"/>
        <v>1.3509285393066301E-12</v>
      </c>
      <c r="CW178" s="22">
        <f t="shared" si="174"/>
        <v>2.5073107750038623E-12</v>
      </c>
      <c r="CX178" s="62">
        <f t="shared" si="122"/>
        <v>293.33333333333582</v>
      </c>
      <c r="CY178" s="62">
        <f ca="1">AVERAGE(OFFSET($CX$3,0,0,'Données projet'!$E$13+1,1))-AVERAGE(OFFSET($H$3,0,0,'Données projet'!$E$13+1,1))</f>
        <v>292.57482726862594</v>
      </c>
      <c r="CZ178" s="62">
        <f t="shared" si="150"/>
        <v>283.48738729114024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-1.7053025658242404E-13</v>
      </c>
      <c r="DP178" s="18">
        <f>DO178*VLOOKUP('Données projet'!$B$14,Paramètres!$A$1:$I$89,3,0)*VLOOKUP('Données projet'!$B$14,Paramètres!$A$1:$I$89,5,0)</f>
        <v>-1.3567387213697657E-13</v>
      </c>
      <c r="DQ178" s="14" t="e">
        <f t="shared" si="176"/>
        <v>#NUM!</v>
      </c>
      <c r="DR178" s="22" t="e">
        <f t="shared" si="177"/>
        <v>#NUM!</v>
      </c>
      <c r="DS178" s="62" t="e">
        <f t="shared" si="125"/>
        <v>#NUM!</v>
      </c>
      <c r="DT178" s="62">
        <f ca="1">AVERAGE(OFFSET($DS$3,0,0,'Données projet'!$E$14+1,1))-AVERAGE(OFFSET($H$3,0,0,'Données projet'!$E$14+1,1))</f>
        <v>312.53381881960331</v>
      </c>
      <c r="DU178" s="62">
        <f t="shared" si="152"/>
        <v>342.06887933351783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1.1368683772161603E-13</v>
      </c>
      <c r="EK178" s="18">
        <f>EJ178*VLOOKUP('Données projet'!$B$15,Paramètres!$A$1:$I$89,3,0)*VLOOKUP('Données projet'!$B$15,Paramètres!$A$1:$I$89,5,0)</f>
        <v>1.0818439477588981E-13</v>
      </c>
      <c r="EL178" s="14">
        <f t="shared" si="179"/>
        <v>1.6104228458716316E-12</v>
      </c>
      <c r="EM178" s="22">
        <f t="shared" si="180"/>
        <v>2.9932409441277661E-12</v>
      </c>
      <c r="EN178" s="62">
        <f t="shared" si="128"/>
        <v>293.33333333333633</v>
      </c>
      <c r="EO178" s="62">
        <f ca="1">AVERAGE(OFFSET($EN$3,0,0,'Données projet'!$E$15+1,1))-AVERAGE(OFFSET($H$3,0,0,'Données projet'!$E$15+1,1))</f>
        <v>363.37916970915211</v>
      </c>
      <c r="EP178" s="62">
        <f t="shared" si="154"/>
        <v>281.52963027844595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-6.2527760746888816E-13</v>
      </c>
      <c r="FF178" s="18">
        <f>FE178*VLOOKUP('Données projet'!$B$16,Paramètres!$A$1:$I$89,3,0)*VLOOKUP('Données projet'!$B$16,Paramètres!$A$1:$I$89,5,0)</f>
        <v>-2.9262992029543964E-13</v>
      </c>
      <c r="FG178" s="14" t="e">
        <f t="shared" si="182"/>
        <v>#NUM!</v>
      </c>
      <c r="FH178" s="22" t="e">
        <f t="shared" si="183"/>
        <v>#NUM!</v>
      </c>
      <c r="FI178" s="62" t="e">
        <f t="shared" si="131"/>
        <v>#NUM!</v>
      </c>
      <c r="FJ178" s="62">
        <f ca="1">AVERAGE(OFFSET($FI$3,0,0,'Données projet'!$E$16+1,1))-AVERAGE(OFFSET($H$3,0,0,'Données projet'!$E$16+1,1))</f>
        <v>245.47494516762282</v>
      </c>
      <c r="FK178" s="62">
        <f t="shared" si="156"/>
        <v>145.54897745089966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-9.6633812063373625E-13</v>
      </c>
      <c r="GA178" s="18">
        <f>FZ178*VLOOKUP('Données projet'!$B$17,Paramètres!$A$1:$I$89,3,0)*VLOOKUP('Données projet'!$B$17,Paramètres!$A$1:$I$89,5,0)</f>
        <v>-9.3464223027694966E-13</v>
      </c>
      <c r="GB178" s="14" t="e">
        <f t="shared" si="185"/>
        <v>#NUM!</v>
      </c>
      <c r="GC178" s="22" t="e">
        <f t="shared" si="186"/>
        <v>#NUM!</v>
      </c>
      <c r="GD178" s="62" t="e">
        <f t="shared" si="134"/>
        <v>#NUM!</v>
      </c>
      <c r="GE178" s="62">
        <f ca="1">AVERAGE(OFFSET($GD$3,0,0,'Données projet'!$E$17+1,1))-AVERAGE(OFFSET($H$3,0,0,'Données projet'!$E$17+1,1))</f>
        <v>455.50822833641354</v>
      </c>
      <c r="GF178" s="62">
        <f t="shared" si="158"/>
        <v>261.14722581688039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1.7053025658242404E-13</v>
      </c>
      <c r="GV178" s="18">
        <f>GU178*VLOOKUP('Données projet'!$B$18,Paramètres!$A$1:$I$89,3,0)*VLOOKUP('Données projet'!$B$18,Paramètres!$A$1:$I$89,5,0)</f>
        <v>1.1439169611549005E-13</v>
      </c>
      <c r="GW178" s="14">
        <f t="shared" si="188"/>
        <v>1.6918016515029816E-12</v>
      </c>
      <c r="GX178" s="22">
        <f t="shared" si="189"/>
        <v>3.1457867471021712E-12</v>
      </c>
      <c r="GY178" s="62">
        <f t="shared" si="137"/>
        <v>293.33333333333644</v>
      </c>
      <c r="GZ178" s="62">
        <f ca="1">AVERAGE(OFFSET($GY$3,0,0,'Données projet'!$E$18+1,1))-AVERAGE(OFFSET($H$3,0,0,'Données projet'!$E$18+1,1))</f>
        <v>312.06797204903796</v>
      </c>
      <c r="HA178" s="62">
        <f t="shared" si="160"/>
        <v>258.20189001775151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projet'!$B$18,Paramètres!$A$1:$I$89,3,0)*0.475*44/12</f>
        <v>0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190"/>
        <v>0</v>
      </c>
    </row>
    <row r="179" spans="1:218" x14ac:dyDescent="0.25">
      <c r="A179" s="11">
        <f t="shared" si="161"/>
        <v>176</v>
      </c>
      <c r="B179" s="76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9">
        <f t="shared" si="110"/>
        <v>256.66666666666669</v>
      </c>
      <c r="I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2.2737367544323206E-13</v>
      </c>
      <c r="O179" s="14">
        <f>N179*VLOOKUP('Données projet'!$B$9,Paramètres!$A$1:$I$89,3,0)*VLOOKUP('Données projet'!$B$9,Paramètres!$A$1:$I$89,5,0)</f>
        <v>1.2710188457276673E-13</v>
      </c>
      <c r="P179" s="14">
        <f t="shared" si="141"/>
        <v>1.856866851063998E-12</v>
      </c>
      <c r="Q179" s="22">
        <f t="shared" si="162"/>
        <v>3.4554122145673649E-12</v>
      </c>
      <c r="R179" s="62">
        <f t="shared" si="109"/>
        <v>293.33333333333678</v>
      </c>
      <c r="S179" s="62">
        <f ca="1">AVERAGE(OFFSET($R$3,0,0,'Données projet'!$E$9+1,1))-AVERAGE(OFFSET($H$3,0,0,'Données projet'!$E$9+1,1))</f>
        <v>323.98185264074681</v>
      </c>
      <c r="T179" s="62">
        <f t="shared" si="142"/>
        <v>301.22207291854005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0.2476484908037436</v>
      </c>
      <c r="AA179" s="23">
        <f>EXP(-LN(2)/25)*AA178+(1-EXP(-LN(2)/25))/(LN(2)/25)*Calculateur!V179*Calculateur!X179*VLOOKUP('Données projet'!$B$9,Paramètres!$A$1:$I$89,3,0)*0.475*44/12</f>
        <v>0.14397815332512939</v>
      </c>
      <c r="AB179" s="23">
        <f>EXP(-LN(2)/2)*AB178+(1-EXP(-LN(2)/2))/(LN(2)/2)*V179*Y179*VLOOKUP('Données projet'!$B$9,Paramètres!$A$1:$I$89,3,0)*0.475*44/12</f>
        <v>6.4457165720846772E-22</v>
      </c>
      <c r="AC179" s="24">
        <f t="shared" si="163"/>
        <v>0.39162664412887299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-2.8421709430404007E-13</v>
      </c>
      <c r="AJ179" s="14">
        <f>AI179*VLOOKUP('Données projet'!$B$10,Paramètres!$A$1:$I$89,3,0)*VLOOKUP('Données projet'!$B$10,Paramètres!$A$1:$I$89,5,0)</f>
        <v>-1.69961822393816E-13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289.12367833861299</v>
      </c>
      <c r="AO179" s="62">
        <f t="shared" si="144"/>
        <v>229.06617320689003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4.3906324223967662E-22</v>
      </c>
      <c r="AX179" s="23">
        <f t="shared" si="166"/>
        <v>4.3906324223967662E-22</v>
      </c>
      <c r="AY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-9.6633812063373625E-13</v>
      </c>
      <c r="BE179" s="14">
        <f>BD179*VLOOKUP('Données projet'!$B$11,Paramètres!$A$1:$I$89,3,0)*VLOOKUP('Données projet'!$B$11,Paramètres!$A$1:$I$89,5,0)</f>
        <v>-8.7434273154940449E-13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428.8489304403459</v>
      </c>
      <c r="BJ179" s="62">
        <f t="shared" si="146"/>
        <v>247.01165577562966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-1.7053025658242404E-13</v>
      </c>
      <c r="BZ179" s="14">
        <f>BY179*VLOOKUP('Données projet'!$B$12,Paramètres!$A$1:$I$89,3,0)*VLOOKUP('Données projet'!$B$12,Paramètres!$A$1:$I$89,5,0)</f>
        <v>-1.250327841262333E-13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290.85271051443431</v>
      </c>
      <c r="CE179" s="62">
        <f t="shared" si="148"/>
        <v>318.66958823451142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1.1368683772161603E-13</v>
      </c>
      <c r="CU179" s="18">
        <f>CT179*VLOOKUP('Données projet'!$B$13,Paramètres!$A$1:$I$89,3,0)*VLOOKUP('Données projet'!$B$13,Paramètres!$A$1:$I$89,5,0)</f>
        <v>8.8675733422860506E-14</v>
      </c>
      <c r="CV179" s="14">
        <f t="shared" si="173"/>
        <v>1.3509285393066301E-12</v>
      </c>
      <c r="CW179" s="22">
        <f t="shared" si="174"/>
        <v>2.5073107750038623E-12</v>
      </c>
      <c r="CX179" s="62">
        <f t="shared" si="122"/>
        <v>293.33333333333582</v>
      </c>
      <c r="CY179" s="62">
        <f ca="1">AVERAGE(OFFSET($CX$3,0,0,'Données projet'!$E$13+1,1))-AVERAGE(OFFSET($H$3,0,0,'Données projet'!$E$13+1,1))</f>
        <v>292.57482726862594</v>
      </c>
      <c r="CZ179" s="62">
        <f t="shared" si="150"/>
        <v>283.48738729114024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-1.7053025658242404E-13</v>
      </c>
      <c r="DP179" s="18">
        <f>DO179*VLOOKUP('Données projet'!$B$14,Paramètres!$A$1:$I$89,3,0)*VLOOKUP('Données projet'!$B$14,Paramètres!$A$1:$I$89,5,0)</f>
        <v>-1.3567387213697657E-13</v>
      </c>
      <c r="DQ179" s="14" t="e">
        <f t="shared" si="176"/>
        <v>#NUM!</v>
      </c>
      <c r="DR179" s="22" t="e">
        <f t="shared" si="177"/>
        <v>#NUM!</v>
      </c>
      <c r="DS179" s="62" t="e">
        <f t="shared" si="125"/>
        <v>#NUM!</v>
      </c>
      <c r="DT179" s="62">
        <f ca="1">AVERAGE(OFFSET($DS$3,0,0,'Données projet'!$E$14+1,1))-AVERAGE(OFFSET($H$3,0,0,'Données projet'!$E$14+1,1))</f>
        <v>312.53381881960331</v>
      </c>
      <c r="DU179" s="62">
        <f t="shared" si="152"/>
        <v>342.06887933351783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1.1368683772161603E-13</v>
      </c>
      <c r="EK179" s="18">
        <f>EJ179*VLOOKUP('Données projet'!$B$15,Paramètres!$A$1:$I$89,3,0)*VLOOKUP('Données projet'!$B$15,Paramètres!$A$1:$I$89,5,0)</f>
        <v>1.0818439477588981E-13</v>
      </c>
      <c r="EL179" s="14">
        <f t="shared" si="179"/>
        <v>1.6104228458716316E-12</v>
      </c>
      <c r="EM179" s="22">
        <f t="shared" si="180"/>
        <v>2.9932409441277661E-12</v>
      </c>
      <c r="EN179" s="62">
        <f t="shared" si="128"/>
        <v>293.33333333333633</v>
      </c>
      <c r="EO179" s="62">
        <f ca="1">AVERAGE(OFFSET($EN$3,0,0,'Données projet'!$E$15+1,1))-AVERAGE(OFFSET($H$3,0,0,'Données projet'!$E$15+1,1))</f>
        <v>363.37916970915211</v>
      </c>
      <c r="EP179" s="62">
        <f t="shared" si="154"/>
        <v>281.52963027844595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-6.2527760746888816E-13</v>
      </c>
      <c r="FF179" s="18">
        <f>FE179*VLOOKUP('Données projet'!$B$16,Paramètres!$A$1:$I$89,3,0)*VLOOKUP('Données projet'!$B$16,Paramètres!$A$1:$I$89,5,0)</f>
        <v>-2.9262992029543964E-13</v>
      </c>
      <c r="FG179" s="14" t="e">
        <f t="shared" si="182"/>
        <v>#NUM!</v>
      </c>
      <c r="FH179" s="22" t="e">
        <f t="shared" si="183"/>
        <v>#NUM!</v>
      </c>
      <c r="FI179" s="62" t="e">
        <f t="shared" si="131"/>
        <v>#NUM!</v>
      </c>
      <c r="FJ179" s="62">
        <f ca="1">AVERAGE(OFFSET($FI$3,0,0,'Données projet'!$E$16+1,1))-AVERAGE(OFFSET($H$3,0,0,'Données projet'!$E$16+1,1))</f>
        <v>245.47494516762282</v>
      </c>
      <c r="FK179" s="62">
        <f t="shared" si="156"/>
        <v>145.54897745089966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-9.6633812063373625E-13</v>
      </c>
      <c r="GA179" s="18">
        <f>FZ179*VLOOKUP('Données projet'!$B$17,Paramètres!$A$1:$I$89,3,0)*VLOOKUP('Données projet'!$B$17,Paramètres!$A$1:$I$89,5,0)</f>
        <v>-9.3464223027694966E-13</v>
      </c>
      <c r="GB179" s="14" t="e">
        <f t="shared" si="185"/>
        <v>#NUM!</v>
      </c>
      <c r="GC179" s="22" t="e">
        <f t="shared" si="186"/>
        <v>#NUM!</v>
      </c>
      <c r="GD179" s="62" t="e">
        <f t="shared" si="134"/>
        <v>#NUM!</v>
      </c>
      <c r="GE179" s="62">
        <f ca="1">AVERAGE(OFFSET($GD$3,0,0,'Données projet'!$E$17+1,1))-AVERAGE(OFFSET($H$3,0,0,'Données projet'!$E$17+1,1))</f>
        <v>455.50822833641354</v>
      </c>
      <c r="GF179" s="62">
        <f t="shared" si="158"/>
        <v>261.14722581688039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1.7053025658242404E-13</v>
      </c>
      <c r="GV179" s="18">
        <f>GU179*VLOOKUP('Données projet'!$B$18,Paramètres!$A$1:$I$89,3,0)*VLOOKUP('Données projet'!$B$18,Paramètres!$A$1:$I$89,5,0)</f>
        <v>1.1439169611549005E-13</v>
      </c>
      <c r="GW179" s="14">
        <f t="shared" si="188"/>
        <v>1.6918016515029816E-12</v>
      </c>
      <c r="GX179" s="22">
        <f t="shared" si="189"/>
        <v>3.1457867471021712E-12</v>
      </c>
      <c r="GY179" s="62">
        <f t="shared" si="137"/>
        <v>293.33333333333644</v>
      </c>
      <c r="GZ179" s="62">
        <f ca="1">AVERAGE(OFFSET($GY$3,0,0,'Données projet'!$E$18+1,1))-AVERAGE(OFFSET($H$3,0,0,'Données projet'!$E$18+1,1))</f>
        <v>312.06797204903796</v>
      </c>
      <c r="HA179" s="62">
        <f t="shared" si="160"/>
        <v>258.20189001775151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projet'!$B$18,Paramètres!$A$1:$I$89,3,0)*0.475*44/12</f>
        <v>0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190"/>
        <v>0</v>
      </c>
    </row>
    <row r="180" spans="1:218" x14ac:dyDescent="0.25">
      <c r="A180" s="11">
        <f t="shared" si="161"/>
        <v>177</v>
      </c>
      <c r="B180" s="76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9">
        <f t="shared" si="110"/>
        <v>256.66666666666669</v>
      </c>
      <c r="I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2.2737367544323206E-13</v>
      </c>
      <c r="O180" s="14">
        <f>N180*VLOOKUP('Données projet'!$B$9,Paramètres!$A$1:$I$89,3,0)*VLOOKUP('Données projet'!$B$9,Paramètres!$A$1:$I$89,5,0)</f>
        <v>1.2710188457276673E-13</v>
      </c>
      <c r="P180" s="14">
        <f t="shared" si="141"/>
        <v>1.856866851063998E-12</v>
      </c>
      <c r="Q180" s="22">
        <f t="shared" si="162"/>
        <v>3.4554122145673649E-12</v>
      </c>
      <c r="R180" s="62">
        <f t="shared" si="109"/>
        <v>293.33333333333678</v>
      </c>
      <c r="S180" s="62">
        <f ca="1">AVERAGE(OFFSET($R$3,0,0,'Données projet'!$E$9+1,1))-AVERAGE(OFFSET($H$3,0,0,'Données projet'!$E$9+1,1))</f>
        <v>323.98185264074681</v>
      </c>
      <c r="T180" s="62">
        <f t="shared" si="142"/>
        <v>301.22207291854005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0.24279225494974657</v>
      </c>
      <c r="AA180" s="23">
        <f>EXP(-LN(2)/25)*AA179+(1-EXP(-LN(2)/25))/(LN(2)/25)*Calculateur!V180*Calculateur!X180*VLOOKUP('Données projet'!$B$9,Paramètres!$A$1:$I$89,3,0)*0.475*44/12</f>
        <v>0.1400410631509717</v>
      </c>
      <c r="AB180" s="23">
        <f>EXP(-LN(2)/2)*AB179+(1-EXP(-LN(2)/2))/(LN(2)/2)*V180*Y180*VLOOKUP('Données projet'!$B$9,Paramètres!$A$1:$I$89,3,0)*0.475*44/12</f>
        <v>4.557809897727583E-22</v>
      </c>
      <c r="AC180" s="24">
        <f t="shared" si="163"/>
        <v>0.3828333181007183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-2.8421709430404007E-13</v>
      </c>
      <c r="AJ180" s="14">
        <f>AI180*VLOOKUP('Données projet'!$B$10,Paramètres!$A$1:$I$89,3,0)*VLOOKUP('Données projet'!$B$10,Paramètres!$A$1:$I$89,5,0)</f>
        <v>-1.69961822393816E-13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289.12367833861299</v>
      </c>
      <c r="AO180" s="62">
        <f t="shared" si="144"/>
        <v>229.06617320689003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3.1046459595742713E-22</v>
      </c>
      <c r="AX180" s="23">
        <f t="shared" si="166"/>
        <v>3.1046459595742713E-22</v>
      </c>
      <c r="AY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-9.6633812063373625E-13</v>
      </c>
      <c r="BE180" s="14">
        <f>BD180*VLOOKUP('Données projet'!$B$11,Paramètres!$A$1:$I$89,3,0)*VLOOKUP('Données projet'!$B$11,Paramètres!$A$1:$I$89,5,0)</f>
        <v>-8.7434273154940449E-13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428.8489304403459</v>
      </c>
      <c r="BJ180" s="62">
        <f t="shared" si="146"/>
        <v>247.01165577562966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-1.7053025658242404E-13</v>
      </c>
      <c r="BZ180" s="14">
        <f>BY180*VLOOKUP('Données projet'!$B$12,Paramètres!$A$1:$I$89,3,0)*VLOOKUP('Données projet'!$B$12,Paramètres!$A$1:$I$89,5,0)</f>
        <v>-1.250327841262333E-13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290.85271051443431</v>
      </c>
      <c r="CE180" s="62">
        <f t="shared" si="148"/>
        <v>318.66958823451142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1.1368683772161603E-13</v>
      </c>
      <c r="CU180" s="18">
        <f>CT180*VLOOKUP('Données projet'!$B$13,Paramètres!$A$1:$I$89,3,0)*VLOOKUP('Données projet'!$B$13,Paramètres!$A$1:$I$89,5,0)</f>
        <v>8.8675733422860506E-14</v>
      </c>
      <c r="CV180" s="14">
        <f t="shared" si="173"/>
        <v>1.3509285393066301E-12</v>
      </c>
      <c r="CW180" s="22">
        <f t="shared" si="174"/>
        <v>2.5073107750038623E-12</v>
      </c>
      <c r="CX180" s="62">
        <f t="shared" si="122"/>
        <v>293.33333333333582</v>
      </c>
      <c r="CY180" s="62">
        <f ca="1">AVERAGE(OFFSET($CX$3,0,0,'Données projet'!$E$13+1,1))-AVERAGE(OFFSET($H$3,0,0,'Données projet'!$E$13+1,1))</f>
        <v>292.57482726862594</v>
      </c>
      <c r="CZ180" s="62">
        <f t="shared" si="150"/>
        <v>283.48738729114024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-1.7053025658242404E-13</v>
      </c>
      <c r="DP180" s="18">
        <f>DO180*VLOOKUP('Données projet'!$B$14,Paramètres!$A$1:$I$89,3,0)*VLOOKUP('Données projet'!$B$14,Paramètres!$A$1:$I$89,5,0)</f>
        <v>-1.3567387213697657E-13</v>
      </c>
      <c r="DQ180" s="14" t="e">
        <f t="shared" si="176"/>
        <v>#NUM!</v>
      </c>
      <c r="DR180" s="22" t="e">
        <f t="shared" si="177"/>
        <v>#NUM!</v>
      </c>
      <c r="DS180" s="62" t="e">
        <f t="shared" si="125"/>
        <v>#NUM!</v>
      </c>
      <c r="DT180" s="62">
        <f ca="1">AVERAGE(OFFSET($DS$3,0,0,'Données projet'!$E$14+1,1))-AVERAGE(OFFSET($H$3,0,0,'Données projet'!$E$14+1,1))</f>
        <v>312.53381881960331</v>
      </c>
      <c r="DU180" s="62">
        <f t="shared" si="152"/>
        <v>342.06887933351783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1.1368683772161603E-13</v>
      </c>
      <c r="EK180" s="18">
        <f>EJ180*VLOOKUP('Données projet'!$B$15,Paramètres!$A$1:$I$89,3,0)*VLOOKUP('Données projet'!$B$15,Paramètres!$A$1:$I$89,5,0)</f>
        <v>1.0818439477588981E-13</v>
      </c>
      <c r="EL180" s="14">
        <f t="shared" si="179"/>
        <v>1.6104228458716316E-12</v>
      </c>
      <c r="EM180" s="22">
        <f t="shared" si="180"/>
        <v>2.9932409441277661E-12</v>
      </c>
      <c r="EN180" s="62">
        <f t="shared" si="128"/>
        <v>293.33333333333633</v>
      </c>
      <c r="EO180" s="62">
        <f ca="1">AVERAGE(OFFSET($EN$3,0,0,'Données projet'!$E$15+1,1))-AVERAGE(OFFSET($H$3,0,0,'Données projet'!$E$15+1,1))</f>
        <v>363.37916970915211</v>
      </c>
      <c r="EP180" s="62">
        <f t="shared" si="154"/>
        <v>281.52963027844595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-6.2527760746888816E-13</v>
      </c>
      <c r="FF180" s="18">
        <f>FE180*VLOOKUP('Données projet'!$B$16,Paramètres!$A$1:$I$89,3,0)*VLOOKUP('Données projet'!$B$16,Paramètres!$A$1:$I$89,5,0)</f>
        <v>-2.9262992029543964E-13</v>
      </c>
      <c r="FG180" s="14" t="e">
        <f t="shared" si="182"/>
        <v>#NUM!</v>
      </c>
      <c r="FH180" s="22" t="e">
        <f t="shared" si="183"/>
        <v>#NUM!</v>
      </c>
      <c r="FI180" s="62" t="e">
        <f t="shared" si="131"/>
        <v>#NUM!</v>
      </c>
      <c r="FJ180" s="62">
        <f ca="1">AVERAGE(OFFSET($FI$3,0,0,'Données projet'!$E$16+1,1))-AVERAGE(OFFSET($H$3,0,0,'Données projet'!$E$16+1,1))</f>
        <v>245.47494516762282</v>
      </c>
      <c r="FK180" s="62">
        <f t="shared" si="156"/>
        <v>145.54897745089966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-9.6633812063373625E-13</v>
      </c>
      <c r="GA180" s="18">
        <f>FZ180*VLOOKUP('Données projet'!$B$17,Paramètres!$A$1:$I$89,3,0)*VLOOKUP('Données projet'!$B$17,Paramètres!$A$1:$I$89,5,0)</f>
        <v>-9.3464223027694966E-13</v>
      </c>
      <c r="GB180" s="14" t="e">
        <f t="shared" si="185"/>
        <v>#NUM!</v>
      </c>
      <c r="GC180" s="22" t="e">
        <f t="shared" si="186"/>
        <v>#NUM!</v>
      </c>
      <c r="GD180" s="62" t="e">
        <f t="shared" si="134"/>
        <v>#NUM!</v>
      </c>
      <c r="GE180" s="62">
        <f ca="1">AVERAGE(OFFSET($GD$3,0,0,'Données projet'!$E$17+1,1))-AVERAGE(OFFSET($H$3,0,0,'Données projet'!$E$17+1,1))</f>
        <v>455.50822833641354</v>
      </c>
      <c r="GF180" s="62">
        <f t="shared" si="158"/>
        <v>261.14722581688039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1.7053025658242404E-13</v>
      </c>
      <c r="GV180" s="18">
        <f>GU180*VLOOKUP('Données projet'!$B$18,Paramètres!$A$1:$I$89,3,0)*VLOOKUP('Données projet'!$B$18,Paramètres!$A$1:$I$89,5,0)</f>
        <v>1.1439169611549005E-13</v>
      </c>
      <c r="GW180" s="14">
        <f t="shared" si="188"/>
        <v>1.6918016515029816E-12</v>
      </c>
      <c r="GX180" s="22">
        <f t="shared" si="189"/>
        <v>3.1457867471021712E-12</v>
      </c>
      <c r="GY180" s="62">
        <f t="shared" si="137"/>
        <v>293.33333333333644</v>
      </c>
      <c r="GZ180" s="62">
        <f ca="1">AVERAGE(OFFSET($GY$3,0,0,'Données projet'!$E$18+1,1))-AVERAGE(OFFSET($H$3,0,0,'Données projet'!$E$18+1,1))</f>
        <v>312.06797204903796</v>
      </c>
      <c r="HA180" s="62">
        <f t="shared" si="160"/>
        <v>258.20189001775151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projet'!$B$18,Paramètres!$A$1:$I$89,3,0)*0.475*44/12</f>
        <v>0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190"/>
        <v>0</v>
      </c>
    </row>
    <row r="181" spans="1:218" x14ac:dyDescent="0.25">
      <c r="A181" s="11">
        <f t="shared" si="161"/>
        <v>178</v>
      </c>
      <c r="B181" s="76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9">
        <f t="shared" si="110"/>
        <v>256.66666666666669</v>
      </c>
      <c r="I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2.2737367544323206E-13</v>
      </c>
      <c r="O181" s="14">
        <f>N181*VLOOKUP('Données projet'!$B$9,Paramètres!$A$1:$I$89,3,0)*VLOOKUP('Données projet'!$B$9,Paramètres!$A$1:$I$89,5,0)</f>
        <v>1.2710188457276673E-13</v>
      </c>
      <c r="P181" s="14">
        <f t="shared" si="141"/>
        <v>1.856866851063998E-12</v>
      </c>
      <c r="Q181" s="22">
        <f t="shared" si="162"/>
        <v>3.4554122145673649E-12</v>
      </c>
      <c r="R181" s="62">
        <f t="shared" si="109"/>
        <v>293.33333333333678</v>
      </c>
      <c r="S181" s="62">
        <f ca="1">AVERAGE(OFFSET($R$3,0,0,'Données projet'!$E$9+1,1))-AVERAGE(OFFSET($H$3,0,0,'Données projet'!$E$9+1,1))</f>
        <v>323.98185264074681</v>
      </c>
      <c r="T181" s="62">
        <f t="shared" si="142"/>
        <v>301.22207291854005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0.23803124691883501</v>
      </c>
      <c r="AA181" s="23">
        <f>EXP(-LN(2)/25)*AA180+(1-EXP(-LN(2)/25))/(LN(2)/25)*Calculateur!V181*Calculateur!X181*VLOOKUP('Données projet'!$B$9,Paramètres!$A$1:$I$89,3,0)*0.475*44/12</f>
        <v>0.13621163291466892</v>
      </c>
      <c r="AB181" s="23">
        <f>EXP(-LN(2)/2)*AB180+(1-EXP(-LN(2)/2))/(LN(2)/2)*V181*Y181*VLOOKUP('Données projet'!$B$9,Paramètres!$A$1:$I$89,3,0)*0.475*44/12</f>
        <v>3.2228582860423386E-22</v>
      </c>
      <c r="AC181" s="24">
        <f t="shared" si="163"/>
        <v>0.37424287983350391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-2.8421709430404007E-13</v>
      </c>
      <c r="AJ181" s="14">
        <f>AI181*VLOOKUP('Données projet'!$B$10,Paramètres!$A$1:$I$89,3,0)*VLOOKUP('Données projet'!$B$10,Paramètres!$A$1:$I$89,5,0)</f>
        <v>-1.69961822393816E-13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289.12367833861299</v>
      </c>
      <c r="AO181" s="62">
        <f t="shared" si="144"/>
        <v>229.06617320689003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2.1953162111983831E-22</v>
      </c>
      <c r="AX181" s="23">
        <f t="shared" si="166"/>
        <v>2.1953162111983831E-22</v>
      </c>
      <c r="AY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-9.6633812063373625E-13</v>
      </c>
      <c r="BE181" s="14">
        <f>BD181*VLOOKUP('Données projet'!$B$11,Paramètres!$A$1:$I$89,3,0)*VLOOKUP('Données projet'!$B$11,Paramètres!$A$1:$I$89,5,0)</f>
        <v>-8.7434273154940449E-13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428.8489304403459</v>
      </c>
      <c r="BJ181" s="62">
        <f t="shared" si="146"/>
        <v>247.01165577562966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-1.7053025658242404E-13</v>
      </c>
      <c r="BZ181" s="14">
        <f>BY181*VLOOKUP('Données projet'!$B$12,Paramètres!$A$1:$I$89,3,0)*VLOOKUP('Données projet'!$B$12,Paramètres!$A$1:$I$89,5,0)</f>
        <v>-1.250327841262333E-13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290.85271051443431</v>
      </c>
      <c r="CE181" s="62">
        <f t="shared" si="148"/>
        <v>318.66958823451142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1.1368683772161603E-13</v>
      </c>
      <c r="CU181" s="18">
        <f>CT181*VLOOKUP('Données projet'!$B$13,Paramètres!$A$1:$I$89,3,0)*VLOOKUP('Données projet'!$B$13,Paramètres!$A$1:$I$89,5,0)</f>
        <v>8.8675733422860506E-14</v>
      </c>
      <c r="CV181" s="14">
        <f t="shared" si="173"/>
        <v>1.3509285393066301E-12</v>
      </c>
      <c r="CW181" s="22">
        <f t="shared" si="174"/>
        <v>2.5073107750038623E-12</v>
      </c>
      <c r="CX181" s="62">
        <f t="shared" si="122"/>
        <v>293.33333333333582</v>
      </c>
      <c r="CY181" s="62">
        <f ca="1">AVERAGE(OFFSET($CX$3,0,0,'Données projet'!$E$13+1,1))-AVERAGE(OFFSET($H$3,0,0,'Données projet'!$E$13+1,1))</f>
        <v>292.57482726862594</v>
      </c>
      <c r="CZ181" s="62">
        <f t="shared" si="150"/>
        <v>283.48738729114024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-1.7053025658242404E-13</v>
      </c>
      <c r="DP181" s="18">
        <f>DO181*VLOOKUP('Données projet'!$B$14,Paramètres!$A$1:$I$89,3,0)*VLOOKUP('Données projet'!$B$14,Paramètres!$A$1:$I$89,5,0)</f>
        <v>-1.3567387213697657E-13</v>
      </c>
      <c r="DQ181" s="14" t="e">
        <f t="shared" si="176"/>
        <v>#NUM!</v>
      </c>
      <c r="DR181" s="22" t="e">
        <f t="shared" si="177"/>
        <v>#NUM!</v>
      </c>
      <c r="DS181" s="62" t="e">
        <f t="shared" si="125"/>
        <v>#NUM!</v>
      </c>
      <c r="DT181" s="62">
        <f ca="1">AVERAGE(OFFSET($DS$3,0,0,'Données projet'!$E$14+1,1))-AVERAGE(OFFSET($H$3,0,0,'Données projet'!$E$14+1,1))</f>
        <v>312.53381881960331</v>
      </c>
      <c r="DU181" s="62">
        <f t="shared" si="152"/>
        <v>342.06887933351783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1.1368683772161603E-13</v>
      </c>
      <c r="EK181" s="18">
        <f>EJ181*VLOOKUP('Données projet'!$B$15,Paramètres!$A$1:$I$89,3,0)*VLOOKUP('Données projet'!$B$15,Paramètres!$A$1:$I$89,5,0)</f>
        <v>1.0818439477588981E-13</v>
      </c>
      <c r="EL181" s="14">
        <f t="shared" si="179"/>
        <v>1.6104228458716316E-12</v>
      </c>
      <c r="EM181" s="22">
        <f t="shared" si="180"/>
        <v>2.9932409441277661E-12</v>
      </c>
      <c r="EN181" s="62">
        <f t="shared" si="128"/>
        <v>293.33333333333633</v>
      </c>
      <c r="EO181" s="62">
        <f ca="1">AVERAGE(OFFSET($EN$3,0,0,'Données projet'!$E$15+1,1))-AVERAGE(OFFSET($H$3,0,0,'Données projet'!$E$15+1,1))</f>
        <v>363.37916970915211</v>
      </c>
      <c r="EP181" s="62">
        <f t="shared" si="154"/>
        <v>281.52963027844595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-6.2527760746888816E-13</v>
      </c>
      <c r="FF181" s="18">
        <f>FE181*VLOOKUP('Données projet'!$B$16,Paramètres!$A$1:$I$89,3,0)*VLOOKUP('Données projet'!$B$16,Paramètres!$A$1:$I$89,5,0)</f>
        <v>-2.9262992029543964E-13</v>
      </c>
      <c r="FG181" s="14" t="e">
        <f t="shared" si="182"/>
        <v>#NUM!</v>
      </c>
      <c r="FH181" s="22" t="e">
        <f t="shared" si="183"/>
        <v>#NUM!</v>
      </c>
      <c r="FI181" s="62" t="e">
        <f t="shared" si="131"/>
        <v>#NUM!</v>
      </c>
      <c r="FJ181" s="62">
        <f ca="1">AVERAGE(OFFSET($FI$3,0,0,'Données projet'!$E$16+1,1))-AVERAGE(OFFSET($H$3,0,0,'Données projet'!$E$16+1,1))</f>
        <v>245.47494516762282</v>
      </c>
      <c r="FK181" s="62">
        <f t="shared" si="156"/>
        <v>145.54897745089966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-9.6633812063373625E-13</v>
      </c>
      <c r="GA181" s="18">
        <f>FZ181*VLOOKUP('Données projet'!$B$17,Paramètres!$A$1:$I$89,3,0)*VLOOKUP('Données projet'!$B$17,Paramètres!$A$1:$I$89,5,0)</f>
        <v>-9.3464223027694966E-13</v>
      </c>
      <c r="GB181" s="14" t="e">
        <f t="shared" si="185"/>
        <v>#NUM!</v>
      </c>
      <c r="GC181" s="22" t="e">
        <f t="shared" si="186"/>
        <v>#NUM!</v>
      </c>
      <c r="GD181" s="62" t="e">
        <f t="shared" si="134"/>
        <v>#NUM!</v>
      </c>
      <c r="GE181" s="62">
        <f ca="1">AVERAGE(OFFSET($GD$3,0,0,'Données projet'!$E$17+1,1))-AVERAGE(OFFSET($H$3,0,0,'Données projet'!$E$17+1,1))</f>
        <v>455.50822833641354</v>
      </c>
      <c r="GF181" s="62">
        <f t="shared" si="158"/>
        <v>261.14722581688039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1.7053025658242404E-13</v>
      </c>
      <c r="GV181" s="18">
        <f>GU181*VLOOKUP('Données projet'!$B$18,Paramètres!$A$1:$I$89,3,0)*VLOOKUP('Données projet'!$B$18,Paramètres!$A$1:$I$89,5,0)</f>
        <v>1.1439169611549005E-13</v>
      </c>
      <c r="GW181" s="14">
        <f t="shared" si="188"/>
        <v>1.6918016515029816E-12</v>
      </c>
      <c r="GX181" s="22">
        <f t="shared" si="189"/>
        <v>3.1457867471021712E-12</v>
      </c>
      <c r="GY181" s="62">
        <f t="shared" si="137"/>
        <v>293.33333333333644</v>
      </c>
      <c r="GZ181" s="62">
        <f ca="1">AVERAGE(OFFSET($GY$3,0,0,'Données projet'!$E$18+1,1))-AVERAGE(OFFSET($H$3,0,0,'Données projet'!$E$18+1,1))</f>
        <v>312.06797204903796</v>
      </c>
      <c r="HA181" s="62">
        <f t="shared" si="160"/>
        <v>258.20189001775151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projet'!$B$18,Paramètres!$A$1:$I$89,3,0)*0.475*44/12</f>
        <v>0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190"/>
        <v>0</v>
      </c>
    </row>
    <row r="182" spans="1:218" x14ac:dyDescent="0.25">
      <c r="A182" s="11">
        <f t="shared" si="161"/>
        <v>179</v>
      </c>
      <c r="B182" s="76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9">
        <f t="shared" si="110"/>
        <v>256.66666666666669</v>
      </c>
      <c r="I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2.2737367544323206E-13</v>
      </c>
      <c r="O182" s="14">
        <f>N182*VLOOKUP('Données projet'!$B$9,Paramètres!$A$1:$I$89,3,0)*VLOOKUP('Données projet'!$B$9,Paramètres!$A$1:$I$89,5,0)</f>
        <v>1.2710188457276673E-13</v>
      </c>
      <c r="P182" s="14">
        <f t="shared" si="141"/>
        <v>1.856866851063998E-12</v>
      </c>
      <c r="Q182" s="22">
        <f t="shared" si="162"/>
        <v>3.4554122145673649E-12</v>
      </c>
      <c r="R182" s="62">
        <f t="shared" si="109"/>
        <v>293.33333333333678</v>
      </c>
      <c r="S182" s="62">
        <f ca="1">AVERAGE(OFFSET($R$3,0,0,'Données projet'!$E$9+1,1))-AVERAGE(OFFSET($H$3,0,0,'Données projet'!$E$9+1,1))</f>
        <v>323.98185264074681</v>
      </c>
      <c r="T182" s="62">
        <f t="shared" si="142"/>
        <v>301.22207291854005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0.23336359935148149</v>
      </c>
      <c r="AA182" s="23">
        <f>EXP(-LN(2)/25)*AA181+(1-EXP(-LN(2)/25))/(LN(2)/25)*Calculateur!V182*Calculateur!X182*VLOOKUP('Données projet'!$B$9,Paramètres!$A$1:$I$89,3,0)*0.475*44/12</f>
        <v>0.13248691864955883</v>
      </c>
      <c r="AB182" s="23">
        <f>EXP(-LN(2)/2)*AB181+(1-EXP(-LN(2)/2))/(LN(2)/2)*V182*Y182*VLOOKUP('Données projet'!$B$9,Paramètres!$A$1:$I$89,3,0)*0.475*44/12</f>
        <v>2.2789049488637915E-22</v>
      </c>
      <c r="AC182" s="24">
        <f t="shared" si="163"/>
        <v>0.36585051800104029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-2.8421709430404007E-13</v>
      </c>
      <c r="AJ182" s="14">
        <f>AI182*VLOOKUP('Données projet'!$B$10,Paramètres!$A$1:$I$89,3,0)*VLOOKUP('Données projet'!$B$10,Paramètres!$A$1:$I$89,5,0)</f>
        <v>-1.69961822393816E-13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289.12367833861299</v>
      </c>
      <c r="AO182" s="62">
        <f t="shared" si="144"/>
        <v>229.06617320689003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1.5523229797871357E-22</v>
      </c>
      <c r="AX182" s="23">
        <f t="shared" si="166"/>
        <v>1.5523229797871357E-22</v>
      </c>
      <c r="AY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-9.6633812063373625E-13</v>
      </c>
      <c r="BE182" s="14">
        <f>BD182*VLOOKUP('Données projet'!$B$11,Paramètres!$A$1:$I$89,3,0)*VLOOKUP('Données projet'!$B$11,Paramètres!$A$1:$I$89,5,0)</f>
        <v>-8.7434273154940449E-13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428.8489304403459</v>
      </c>
      <c r="BJ182" s="62">
        <f t="shared" si="146"/>
        <v>247.01165577562966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-1.7053025658242404E-13</v>
      </c>
      <c r="BZ182" s="14">
        <f>BY182*VLOOKUP('Données projet'!$B$12,Paramètres!$A$1:$I$89,3,0)*VLOOKUP('Données projet'!$B$12,Paramètres!$A$1:$I$89,5,0)</f>
        <v>-1.250327841262333E-13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290.85271051443431</v>
      </c>
      <c r="CE182" s="62">
        <f t="shared" si="148"/>
        <v>318.66958823451142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1.1368683772161603E-13</v>
      </c>
      <c r="CU182" s="18">
        <f>CT182*VLOOKUP('Données projet'!$B$13,Paramètres!$A$1:$I$89,3,0)*VLOOKUP('Données projet'!$B$13,Paramètres!$A$1:$I$89,5,0)</f>
        <v>8.8675733422860506E-14</v>
      </c>
      <c r="CV182" s="14">
        <f t="shared" si="173"/>
        <v>1.3509285393066301E-12</v>
      </c>
      <c r="CW182" s="22">
        <f t="shared" si="174"/>
        <v>2.5073107750038623E-12</v>
      </c>
      <c r="CX182" s="62">
        <f t="shared" si="122"/>
        <v>293.33333333333582</v>
      </c>
      <c r="CY182" s="62">
        <f ca="1">AVERAGE(OFFSET($CX$3,0,0,'Données projet'!$E$13+1,1))-AVERAGE(OFFSET($H$3,0,0,'Données projet'!$E$13+1,1))</f>
        <v>292.57482726862594</v>
      </c>
      <c r="CZ182" s="62">
        <f t="shared" si="150"/>
        <v>283.48738729114024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-1.7053025658242404E-13</v>
      </c>
      <c r="DP182" s="18">
        <f>DO182*VLOOKUP('Données projet'!$B$14,Paramètres!$A$1:$I$89,3,0)*VLOOKUP('Données projet'!$B$14,Paramètres!$A$1:$I$89,5,0)</f>
        <v>-1.3567387213697657E-13</v>
      </c>
      <c r="DQ182" s="14" t="e">
        <f t="shared" si="176"/>
        <v>#NUM!</v>
      </c>
      <c r="DR182" s="22" t="e">
        <f t="shared" si="177"/>
        <v>#NUM!</v>
      </c>
      <c r="DS182" s="62" t="e">
        <f t="shared" si="125"/>
        <v>#NUM!</v>
      </c>
      <c r="DT182" s="62">
        <f ca="1">AVERAGE(OFFSET($DS$3,0,0,'Données projet'!$E$14+1,1))-AVERAGE(OFFSET($H$3,0,0,'Données projet'!$E$14+1,1))</f>
        <v>312.53381881960331</v>
      </c>
      <c r="DU182" s="62">
        <f t="shared" si="152"/>
        <v>342.06887933351783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1.1368683772161603E-13</v>
      </c>
      <c r="EK182" s="18">
        <f>EJ182*VLOOKUP('Données projet'!$B$15,Paramètres!$A$1:$I$89,3,0)*VLOOKUP('Données projet'!$B$15,Paramètres!$A$1:$I$89,5,0)</f>
        <v>1.0818439477588981E-13</v>
      </c>
      <c r="EL182" s="14">
        <f t="shared" si="179"/>
        <v>1.6104228458716316E-12</v>
      </c>
      <c r="EM182" s="22">
        <f t="shared" si="180"/>
        <v>2.9932409441277661E-12</v>
      </c>
      <c r="EN182" s="62">
        <f t="shared" si="128"/>
        <v>293.33333333333633</v>
      </c>
      <c r="EO182" s="62">
        <f ca="1">AVERAGE(OFFSET($EN$3,0,0,'Données projet'!$E$15+1,1))-AVERAGE(OFFSET($H$3,0,0,'Données projet'!$E$15+1,1))</f>
        <v>363.37916970915211</v>
      </c>
      <c r="EP182" s="62">
        <f t="shared" si="154"/>
        <v>281.52963027844595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-6.2527760746888816E-13</v>
      </c>
      <c r="FF182" s="18">
        <f>FE182*VLOOKUP('Données projet'!$B$16,Paramètres!$A$1:$I$89,3,0)*VLOOKUP('Données projet'!$B$16,Paramètres!$A$1:$I$89,5,0)</f>
        <v>-2.9262992029543964E-13</v>
      </c>
      <c r="FG182" s="14" t="e">
        <f t="shared" si="182"/>
        <v>#NUM!</v>
      </c>
      <c r="FH182" s="22" t="e">
        <f t="shared" si="183"/>
        <v>#NUM!</v>
      </c>
      <c r="FI182" s="62" t="e">
        <f t="shared" si="131"/>
        <v>#NUM!</v>
      </c>
      <c r="FJ182" s="62">
        <f ca="1">AVERAGE(OFFSET($FI$3,0,0,'Données projet'!$E$16+1,1))-AVERAGE(OFFSET($H$3,0,0,'Données projet'!$E$16+1,1))</f>
        <v>245.47494516762282</v>
      </c>
      <c r="FK182" s="62">
        <f t="shared" si="156"/>
        <v>145.54897745089966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-9.6633812063373625E-13</v>
      </c>
      <c r="GA182" s="18">
        <f>FZ182*VLOOKUP('Données projet'!$B$17,Paramètres!$A$1:$I$89,3,0)*VLOOKUP('Données projet'!$B$17,Paramètres!$A$1:$I$89,5,0)</f>
        <v>-9.3464223027694966E-13</v>
      </c>
      <c r="GB182" s="14" t="e">
        <f t="shared" si="185"/>
        <v>#NUM!</v>
      </c>
      <c r="GC182" s="22" t="e">
        <f t="shared" si="186"/>
        <v>#NUM!</v>
      </c>
      <c r="GD182" s="62" t="e">
        <f t="shared" si="134"/>
        <v>#NUM!</v>
      </c>
      <c r="GE182" s="62">
        <f ca="1">AVERAGE(OFFSET($GD$3,0,0,'Données projet'!$E$17+1,1))-AVERAGE(OFFSET($H$3,0,0,'Données projet'!$E$17+1,1))</f>
        <v>455.50822833641354</v>
      </c>
      <c r="GF182" s="62">
        <f t="shared" si="158"/>
        <v>261.14722581688039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1.7053025658242404E-13</v>
      </c>
      <c r="GV182" s="18">
        <f>GU182*VLOOKUP('Données projet'!$B$18,Paramètres!$A$1:$I$89,3,0)*VLOOKUP('Données projet'!$B$18,Paramètres!$A$1:$I$89,5,0)</f>
        <v>1.1439169611549005E-13</v>
      </c>
      <c r="GW182" s="14">
        <f t="shared" si="188"/>
        <v>1.6918016515029816E-12</v>
      </c>
      <c r="GX182" s="22">
        <f t="shared" si="189"/>
        <v>3.1457867471021712E-12</v>
      </c>
      <c r="GY182" s="62">
        <f t="shared" si="137"/>
        <v>293.33333333333644</v>
      </c>
      <c r="GZ182" s="62">
        <f ca="1">AVERAGE(OFFSET($GY$3,0,0,'Données projet'!$E$18+1,1))-AVERAGE(OFFSET($H$3,0,0,'Données projet'!$E$18+1,1))</f>
        <v>312.06797204903796</v>
      </c>
      <c r="HA182" s="62">
        <f t="shared" si="160"/>
        <v>258.20189001775151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projet'!$B$18,Paramètres!$A$1:$I$89,3,0)*0.475*44/12</f>
        <v>0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190"/>
        <v>0</v>
      </c>
    </row>
    <row r="183" spans="1:218" x14ac:dyDescent="0.25">
      <c r="A183" s="11">
        <f t="shared" si="161"/>
        <v>180</v>
      </c>
      <c r="B183" s="76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9">
        <f t="shared" si="110"/>
        <v>256.66666666666669</v>
      </c>
      <c r="I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2.2737367544323206E-13</v>
      </c>
      <c r="O183" s="14">
        <f>N183*VLOOKUP('Données projet'!$B$9,Paramètres!$A$1:$I$89,3,0)*VLOOKUP('Données projet'!$B$9,Paramètres!$A$1:$I$89,5,0)</f>
        <v>1.2710188457276673E-13</v>
      </c>
      <c r="P183" s="14">
        <f t="shared" si="141"/>
        <v>1.856866851063998E-12</v>
      </c>
      <c r="Q183" s="22">
        <f t="shared" si="162"/>
        <v>3.4554122145673649E-12</v>
      </c>
      <c r="R183" s="62">
        <f t="shared" si="109"/>
        <v>293.33333333333678</v>
      </c>
      <c r="S183" s="62">
        <f ca="1">AVERAGE(OFFSET($R$3,0,0,'Données projet'!$E$9+1,1))-AVERAGE(OFFSET($H$3,0,0,'Données projet'!$E$9+1,1))</f>
        <v>323.98185264074681</v>
      </c>
      <c r="T183" s="62">
        <f t="shared" si="142"/>
        <v>301.22207291854005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0.22878748150593986</v>
      </c>
      <c r="AA183" s="23">
        <f>EXP(-LN(2)/25)*AA182+(1-EXP(-LN(2)/25))/(LN(2)/25)*Calculateur!V183*Calculateur!X183*VLOOKUP('Données projet'!$B$9,Paramètres!$A$1:$I$89,3,0)*0.475*44/12</f>
        <v>0.12886405689190239</v>
      </c>
      <c r="AB183" s="23">
        <f>EXP(-LN(2)/2)*AB182+(1-EXP(-LN(2)/2))/(LN(2)/2)*V183*Y183*VLOOKUP('Données projet'!$B$9,Paramètres!$A$1:$I$89,3,0)*0.475*44/12</f>
        <v>1.6114291430211693E-22</v>
      </c>
      <c r="AC183" s="24">
        <f t="shared" si="163"/>
        <v>0.35765153839784225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-2.8421709430404007E-13</v>
      </c>
      <c r="AJ183" s="14">
        <f>AI183*VLOOKUP('Données projet'!$B$10,Paramètres!$A$1:$I$89,3,0)*VLOOKUP('Données projet'!$B$10,Paramètres!$A$1:$I$89,5,0)</f>
        <v>-1.69961822393816E-13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289.12367833861299</v>
      </c>
      <c r="AO183" s="62">
        <f t="shared" si="144"/>
        <v>229.06617320689003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1.0976581055991916E-22</v>
      </c>
      <c r="AX183" s="23">
        <f t="shared" si="166"/>
        <v>1.0976581055991916E-22</v>
      </c>
      <c r="AY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-9.6633812063373625E-13</v>
      </c>
      <c r="BE183" s="14">
        <f>BD183*VLOOKUP('Données projet'!$B$11,Paramètres!$A$1:$I$89,3,0)*VLOOKUP('Données projet'!$B$11,Paramètres!$A$1:$I$89,5,0)</f>
        <v>-8.7434273154940449E-13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428.8489304403459</v>
      </c>
      <c r="BJ183" s="62">
        <f t="shared" si="146"/>
        <v>247.01165577562966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-1.7053025658242404E-13</v>
      </c>
      <c r="BZ183" s="14">
        <f>BY183*VLOOKUP('Données projet'!$B$12,Paramètres!$A$1:$I$89,3,0)*VLOOKUP('Données projet'!$B$12,Paramètres!$A$1:$I$89,5,0)</f>
        <v>-1.250327841262333E-13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290.85271051443431</v>
      </c>
      <c r="CE183" s="62">
        <f t="shared" si="148"/>
        <v>318.66958823451142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1.1368683772161603E-13</v>
      </c>
      <c r="CU183" s="18">
        <f>CT183*VLOOKUP('Données projet'!$B$13,Paramètres!$A$1:$I$89,3,0)*VLOOKUP('Données projet'!$B$13,Paramètres!$A$1:$I$89,5,0)</f>
        <v>8.8675733422860506E-14</v>
      </c>
      <c r="CV183" s="14">
        <f t="shared" si="173"/>
        <v>1.3509285393066301E-12</v>
      </c>
      <c r="CW183" s="22">
        <f t="shared" si="174"/>
        <v>2.5073107750038623E-12</v>
      </c>
      <c r="CX183" s="62">
        <f t="shared" si="122"/>
        <v>293.33333333333582</v>
      </c>
      <c r="CY183" s="62">
        <f ca="1">AVERAGE(OFFSET($CX$3,0,0,'Données projet'!$E$13+1,1))-AVERAGE(OFFSET($H$3,0,0,'Données projet'!$E$13+1,1))</f>
        <v>292.57482726862594</v>
      </c>
      <c r="CZ183" s="62">
        <f t="shared" si="150"/>
        <v>283.48738729114024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-1.7053025658242404E-13</v>
      </c>
      <c r="DP183" s="18">
        <f>DO183*VLOOKUP('Données projet'!$B$14,Paramètres!$A$1:$I$89,3,0)*VLOOKUP('Données projet'!$B$14,Paramètres!$A$1:$I$89,5,0)</f>
        <v>-1.3567387213697657E-13</v>
      </c>
      <c r="DQ183" s="14" t="e">
        <f t="shared" si="176"/>
        <v>#NUM!</v>
      </c>
      <c r="DR183" s="22" t="e">
        <f t="shared" si="177"/>
        <v>#NUM!</v>
      </c>
      <c r="DS183" s="62" t="e">
        <f t="shared" si="125"/>
        <v>#NUM!</v>
      </c>
      <c r="DT183" s="62">
        <f ca="1">AVERAGE(OFFSET($DS$3,0,0,'Données projet'!$E$14+1,1))-AVERAGE(OFFSET($H$3,0,0,'Données projet'!$E$14+1,1))</f>
        <v>312.53381881960331</v>
      </c>
      <c r="DU183" s="62">
        <f t="shared" si="152"/>
        <v>342.06887933351783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1.1368683772161603E-13</v>
      </c>
      <c r="EK183" s="18">
        <f>EJ183*VLOOKUP('Données projet'!$B$15,Paramètres!$A$1:$I$89,3,0)*VLOOKUP('Données projet'!$B$15,Paramètres!$A$1:$I$89,5,0)</f>
        <v>1.0818439477588981E-13</v>
      </c>
      <c r="EL183" s="14">
        <f t="shared" si="179"/>
        <v>1.6104228458716316E-12</v>
      </c>
      <c r="EM183" s="22">
        <f t="shared" si="180"/>
        <v>2.9932409441277661E-12</v>
      </c>
      <c r="EN183" s="62">
        <f t="shared" si="128"/>
        <v>293.33333333333633</v>
      </c>
      <c r="EO183" s="62">
        <f ca="1">AVERAGE(OFFSET($EN$3,0,0,'Données projet'!$E$15+1,1))-AVERAGE(OFFSET($H$3,0,0,'Données projet'!$E$15+1,1))</f>
        <v>363.37916970915211</v>
      </c>
      <c r="EP183" s="62">
        <f t="shared" si="154"/>
        <v>281.52963027844595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-6.2527760746888816E-13</v>
      </c>
      <c r="FF183" s="18">
        <f>FE183*VLOOKUP('Données projet'!$B$16,Paramètres!$A$1:$I$89,3,0)*VLOOKUP('Données projet'!$B$16,Paramètres!$A$1:$I$89,5,0)</f>
        <v>-2.9262992029543964E-13</v>
      </c>
      <c r="FG183" s="14" t="e">
        <f t="shared" si="182"/>
        <v>#NUM!</v>
      </c>
      <c r="FH183" s="22" t="e">
        <f t="shared" si="183"/>
        <v>#NUM!</v>
      </c>
      <c r="FI183" s="62" t="e">
        <f t="shared" si="131"/>
        <v>#NUM!</v>
      </c>
      <c r="FJ183" s="62">
        <f ca="1">AVERAGE(OFFSET($FI$3,0,0,'Données projet'!$E$16+1,1))-AVERAGE(OFFSET($H$3,0,0,'Données projet'!$E$16+1,1))</f>
        <v>245.47494516762282</v>
      </c>
      <c r="FK183" s="62">
        <f t="shared" si="156"/>
        <v>145.54897745089966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-9.6633812063373625E-13</v>
      </c>
      <c r="GA183" s="18">
        <f>FZ183*VLOOKUP('Données projet'!$B$17,Paramètres!$A$1:$I$89,3,0)*VLOOKUP('Données projet'!$B$17,Paramètres!$A$1:$I$89,5,0)</f>
        <v>-9.3464223027694966E-13</v>
      </c>
      <c r="GB183" s="14" t="e">
        <f t="shared" si="185"/>
        <v>#NUM!</v>
      </c>
      <c r="GC183" s="22" t="e">
        <f t="shared" si="186"/>
        <v>#NUM!</v>
      </c>
      <c r="GD183" s="62" t="e">
        <f t="shared" si="134"/>
        <v>#NUM!</v>
      </c>
      <c r="GE183" s="62">
        <f ca="1">AVERAGE(OFFSET($GD$3,0,0,'Données projet'!$E$17+1,1))-AVERAGE(OFFSET($H$3,0,0,'Données projet'!$E$17+1,1))</f>
        <v>455.50822833641354</v>
      </c>
      <c r="GF183" s="62">
        <f t="shared" si="158"/>
        <v>261.14722581688039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1.7053025658242404E-13</v>
      </c>
      <c r="GV183" s="18">
        <f>GU183*VLOOKUP('Données projet'!$B$18,Paramètres!$A$1:$I$89,3,0)*VLOOKUP('Données projet'!$B$18,Paramètres!$A$1:$I$89,5,0)</f>
        <v>1.1439169611549005E-13</v>
      </c>
      <c r="GW183" s="14">
        <f t="shared" si="188"/>
        <v>1.6918016515029816E-12</v>
      </c>
      <c r="GX183" s="22">
        <f t="shared" si="189"/>
        <v>3.1457867471021712E-12</v>
      </c>
      <c r="GY183" s="62">
        <f t="shared" si="137"/>
        <v>293.33333333333644</v>
      </c>
      <c r="GZ183" s="62">
        <f ca="1">AVERAGE(OFFSET($GY$3,0,0,'Données projet'!$E$18+1,1))-AVERAGE(OFFSET($H$3,0,0,'Données projet'!$E$18+1,1))</f>
        <v>312.06797204903796</v>
      </c>
      <c r="HA183" s="62">
        <f t="shared" si="160"/>
        <v>258.20189001775151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projet'!$B$18,Paramètres!$A$1:$I$89,3,0)*0.475*44/12</f>
        <v>0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190"/>
        <v>0</v>
      </c>
    </row>
    <row r="184" spans="1:218" x14ac:dyDescent="0.25">
      <c r="A184" s="11">
        <f t="shared" si="161"/>
        <v>181</v>
      </c>
      <c r="B184" s="76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9">
        <f t="shared" si="110"/>
        <v>256.66666666666669</v>
      </c>
      <c r="I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2.2737367544323206E-13</v>
      </c>
      <c r="O184" s="14">
        <f>N184*VLOOKUP('Données projet'!$B$9,Paramètres!$A$1:$I$89,3,0)*VLOOKUP('Données projet'!$B$9,Paramètres!$A$1:$I$89,5,0)</f>
        <v>1.2710188457276673E-13</v>
      </c>
      <c r="P184" s="14">
        <f t="shared" si="141"/>
        <v>1.856866851063998E-12</v>
      </c>
      <c r="Q184" s="22">
        <f t="shared" si="162"/>
        <v>3.4554122145673649E-12</v>
      </c>
      <c r="R184" s="62">
        <f t="shared" si="109"/>
        <v>293.33333333333678</v>
      </c>
      <c r="S184" s="62">
        <f ca="1">AVERAGE(OFFSET($R$3,0,0,'Données projet'!$E$9+1,1))-AVERAGE(OFFSET($H$3,0,0,'Données projet'!$E$9+1,1))</f>
        <v>323.98185264074681</v>
      </c>
      <c r="T184" s="62">
        <f t="shared" si="142"/>
        <v>301.22207291854005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0.22430109854019301</v>
      </c>
      <c r="AA184" s="23">
        <f>EXP(-LN(2)/25)*AA183+(1-EXP(-LN(2)/25))/(LN(2)/25)*Calculateur!V184*Calculateur!X184*VLOOKUP('Données projet'!$B$9,Paramètres!$A$1:$I$89,3,0)*0.475*44/12</f>
        <v>0.12534026247952709</v>
      </c>
      <c r="AB184" s="23">
        <f>EXP(-LN(2)/2)*AB183+(1-EXP(-LN(2)/2))/(LN(2)/2)*V184*Y184*VLOOKUP('Données projet'!$B$9,Paramètres!$A$1:$I$89,3,0)*0.475*44/12</f>
        <v>1.1394524744318957E-22</v>
      </c>
      <c r="AC184" s="24">
        <f t="shared" si="163"/>
        <v>0.3496413610197201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-2.8421709430404007E-13</v>
      </c>
      <c r="AJ184" s="14">
        <f>AI184*VLOOKUP('Données projet'!$B$10,Paramètres!$A$1:$I$89,3,0)*VLOOKUP('Données projet'!$B$10,Paramètres!$A$1:$I$89,5,0)</f>
        <v>-1.69961822393816E-13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289.12367833861299</v>
      </c>
      <c r="AO184" s="62">
        <f t="shared" si="144"/>
        <v>229.06617320689003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7.7616148989356783E-23</v>
      </c>
      <c r="AX184" s="23">
        <f t="shared" si="166"/>
        <v>7.7616148989356783E-23</v>
      </c>
      <c r="AY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-9.6633812063373625E-13</v>
      </c>
      <c r="BE184" s="14">
        <f>BD184*VLOOKUP('Données projet'!$B$11,Paramètres!$A$1:$I$89,3,0)*VLOOKUP('Données projet'!$B$11,Paramètres!$A$1:$I$89,5,0)</f>
        <v>-8.7434273154940449E-13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428.8489304403459</v>
      </c>
      <c r="BJ184" s="62">
        <f t="shared" si="146"/>
        <v>247.01165577562966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-1.7053025658242404E-13</v>
      </c>
      <c r="BZ184" s="14">
        <f>BY184*VLOOKUP('Données projet'!$B$12,Paramètres!$A$1:$I$89,3,0)*VLOOKUP('Données projet'!$B$12,Paramètres!$A$1:$I$89,5,0)</f>
        <v>-1.250327841262333E-13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290.85271051443431</v>
      </c>
      <c r="CE184" s="62">
        <f t="shared" si="148"/>
        <v>318.66958823451142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1.1368683772161603E-13</v>
      </c>
      <c r="CU184" s="18">
        <f>CT184*VLOOKUP('Données projet'!$B$13,Paramètres!$A$1:$I$89,3,0)*VLOOKUP('Données projet'!$B$13,Paramètres!$A$1:$I$89,5,0)</f>
        <v>8.8675733422860506E-14</v>
      </c>
      <c r="CV184" s="14">
        <f t="shared" si="173"/>
        <v>1.3509285393066301E-12</v>
      </c>
      <c r="CW184" s="22">
        <f t="shared" si="174"/>
        <v>2.5073107750038623E-12</v>
      </c>
      <c r="CX184" s="62">
        <f t="shared" si="122"/>
        <v>293.33333333333582</v>
      </c>
      <c r="CY184" s="62">
        <f ca="1">AVERAGE(OFFSET($CX$3,0,0,'Données projet'!$E$13+1,1))-AVERAGE(OFFSET($H$3,0,0,'Données projet'!$E$13+1,1))</f>
        <v>292.57482726862594</v>
      </c>
      <c r="CZ184" s="62">
        <f t="shared" si="150"/>
        <v>283.48738729114024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-1.7053025658242404E-13</v>
      </c>
      <c r="DP184" s="18">
        <f>DO184*VLOOKUP('Données projet'!$B$14,Paramètres!$A$1:$I$89,3,0)*VLOOKUP('Données projet'!$B$14,Paramètres!$A$1:$I$89,5,0)</f>
        <v>-1.3567387213697657E-13</v>
      </c>
      <c r="DQ184" s="14" t="e">
        <f t="shared" si="176"/>
        <v>#NUM!</v>
      </c>
      <c r="DR184" s="22" t="e">
        <f t="shared" si="177"/>
        <v>#NUM!</v>
      </c>
      <c r="DS184" s="62" t="e">
        <f t="shared" si="125"/>
        <v>#NUM!</v>
      </c>
      <c r="DT184" s="62">
        <f ca="1">AVERAGE(OFFSET($DS$3,0,0,'Données projet'!$E$14+1,1))-AVERAGE(OFFSET($H$3,0,0,'Données projet'!$E$14+1,1))</f>
        <v>312.53381881960331</v>
      </c>
      <c r="DU184" s="62">
        <f t="shared" si="152"/>
        <v>342.06887933351783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1.1368683772161603E-13</v>
      </c>
      <c r="EK184" s="18">
        <f>EJ184*VLOOKUP('Données projet'!$B$15,Paramètres!$A$1:$I$89,3,0)*VLOOKUP('Données projet'!$B$15,Paramètres!$A$1:$I$89,5,0)</f>
        <v>1.0818439477588981E-13</v>
      </c>
      <c r="EL184" s="14">
        <f t="shared" si="179"/>
        <v>1.6104228458716316E-12</v>
      </c>
      <c r="EM184" s="22">
        <f t="shared" si="180"/>
        <v>2.9932409441277661E-12</v>
      </c>
      <c r="EN184" s="62">
        <f t="shared" si="128"/>
        <v>293.33333333333633</v>
      </c>
      <c r="EO184" s="62">
        <f ca="1">AVERAGE(OFFSET($EN$3,0,0,'Données projet'!$E$15+1,1))-AVERAGE(OFFSET($H$3,0,0,'Données projet'!$E$15+1,1))</f>
        <v>363.37916970915211</v>
      </c>
      <c r="EP184" s="62">
        <f t="shared" si="154"/>
        <v>281.52963027844595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-6.2527760746888816E-13</v>
      </c>
      <c r="FF184" s="18">
        <f>FE184*VLOOKUP('Données projet'!$B$16,Paramètres!$A$1:$I$89,3,0)*VLOOKUP('Données projet'!$B$16,Paramètres!$A$1:$I$89,5,0)</f>
        <v>-2.9262992029543964E-13</v>
      </c>
      <c r="FG184" s="14" t="e">
        <f t="shared" si="182"/>
        <v>#NUM!</v>
      </c>
      <c r="FH184" s="22" t="e">
        <f t="shared" si="183"/>
        <v>#NUM!</v>
      </c>
      <c r="FI184" s="62" t="e">
        <f t="shared" si="131"/>
        <v>#NUM!</v>
      </c>
      <c r="FJ184" s="62">
        <f ca="1">AVERAGE(OFFSET($FI$3,0,0,'Données projet'!$E$16+1,1))-AVERAGE(OFFSET($H$3,0,0,'Données projet'!$E$16+1,1))</f>
        <v>245.47494516762282</v>
      </c>
      <c r="FK184" s="62">
        <f t="shared" si="156"/>
        <v>145.54897745089966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-9.6633812063373625E-13</v>
      </c>
      <c r="GA184" s="18">
        <f>FZ184*VLOOKUP('Données projet'!$B$17,Paramètres!$A$1:$I$89,3,0)*VLOOKUP('Données projet'!$B$17,Paramètres!$A$1:$I$89,5,0)</f>
        <v>-9.3464223027694966E-13</v>
      </c>
      <c r="GB184" s="14" t="e">
        <f t="shared" si="185"/>
        <v>#NUM!</v>
      </c>
      <c r="GC184" s="22" t="e">
        <f t="shared" si="186"/>
        <v>#NUM!</v>
      </c>
      <c r="GD184" s="62" t="e">
        <f t="shared" si="134"/>
        <v>#NUM!</v>
      </c>
      <c r="GE184" s="62">
        <f ca="1">AVERAGE(OFFSET($GD$3,0,0,'Données projet'!$E$17+1,1))-AVERAGE(OFFSET($H$3,0,0,'Données projet'!$E$17+1,1))</f>
        <v>455.50822833641354</v>
      </c>
      <c r="GF184" s="62">
        <f t="shared" si="158"/>
        <v>261.14722581688039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1.7053025658242404E-13</v>
      </c>
      <c r="GV184" s="18">
        <f>GU184*VLOOKUP('Données projet'!$B$18,Paramètres!$A$1:$I$89,3,0)*VLOOKUP('Données projet'!$B$18,Paramètres!$A$1:$I$89,5,0)</f>
        <v>1.1439169611549005E-13</v>
      </c>
      <c r="GW184" s="14">
        <f t="shared" si="188"/>
        <v>1.6918016515029816E-12</v>
      </c>
      <c r="GX184" s="22">
        <f t="shared" si="189"/>
        <v>3.1457867471021712E-12</v>
      </c>
      <c r="GY184" s="62">
        <f t="shared" si="137"/>
        <v>293.33333333333644</v>
      </c>
      <c r="GZ184" s="62">
        <f ca="1">AVERAGE(OFFSET($GY$3,0,0,'Données projet'!$E$18+1,1))-AVERAGE(OFFSET($H$3,0,0,'Données projet'!$E$18+1,1))</f>
        <v>312.06797204903796</v>
      </c>
      <c r="HA184" s="62">
        <f t="shared" si="160"/>
        <v>258.20189001775151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projet'!$B$18,Paramètres!$A$1:$I$89,3,0)*0.475*44/12</f>
        <v>0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190"/>
        <v>0</v>
      </c>
    </row>
    <row r="185" spans="1:218" x14ac:dyDescent="0.25">
      <c r="A185" s="11">
        <f t="shared" si="161"/>
        <v>182</v>
      </c>
      <c r="B185" s="76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9">
        <f t="shared" si="110"/>
        <v>256.66666666666669</v>
      </c>
      <c r="I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2.2737367544323206E-13</v>
      </c>
      <c r="O185" s="14">
        <f>N185*VLOOKUP('Données projet'!$B$9,Paramètres!$A$1:$I$89,3,0)*VLOOKUP('Données projet'!$B$9,Paramètres!$A$1:$I$89,5,0)</f>
        <v>1.2710188457276673E-13</v>
      </c>
      <c r="P185" s="14">
        <f t="shared" si="141"/>
        <v>1.856866851063998E-12</v>
      </c>
      <c r="Q185" s="22">
        <f t="shared" si="162"/>
        <v>3.4554122145673649E-12</v>
      </c>
      <c r="R185" s="62">
        <f t="shared" si="109"/>
        <v>293.33333333333678</v>
      </c>
      <c r="S185" s="62">
        <f ca="1">AVERAGE(OFFSET($R$3,0,0,'Données projet'!$E$9+1,1))-AVERAGE(OFFSET($H$3,0,0,'Données projet'!$E$9+1,1))</f>
        <v>323.98185264074681</v>
      </c>
      <c r="T185" s="62">
        <f t="shared" si="142"/>
        <v>301.22207291854005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0.21990269080798105</v>
      </c>
      <c r="AA185" s="23">
        <f>EXP(-LN(2)/25)*AA184+(1-EXP(-LN(2)/25))/(LN(2)/25)*Calculateur!V185*Calculateur!X185*VLOOKUP('Données projet'!$B$9,Paramètres!$A$1:$I$89,3,0)*0.475*44/12</f>
        <v>0.12191282641066649</v>
      </c>
      <c r="AB185" s="23">
        <f>EXP(-LN(2)/2)*AB184+(1-EXP(-LN(2)/2))/(LN(2)/2)*V185*Y185*VLOOKUP('Données projet'!$B$9,Paramètres!$A$1:$I$89,3,0)*0.475*44/12</f>
        <v>8.0571457151058466E-23</v>
      </c>
      <c r="AC185" s="24">
        <f t="shared" si="163"/>
        <v>0.34181551721864756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-2.8421709430404007E-13</v>
      </c>
      <c r="AJ185" s="14">
        <f>AI185*VLOOKUP('Données projet'!$B$10,Paramètres!$A$1:$I$89,3,0)*VLOOKUP('Données projet'!$B$10,Paramètres!$A$1:$I$89,5,0)</f>
        <v>-1.69961822393816E-13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289.12367833861299</v>
      </c>
      <c r="AO185" s="62">
        <f t="shared" si="144"/>
        <v>229.06617320689003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5.4882905279959578E-23</v>
      </c>
      <c r="AX185" s="23">
        <f t="shared" si="166"/>
        <v>5.4882905279959578E-23</v>
      </c>
      <c r="AY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-9.6633812063373625E-13</v>
      </c>
      <c r="BE185" s="14">
        <f>BD185*VLOOKUP('Données projet'!$B$11,Paramètres!$A$1:$I$89,3,0)*VLOOKUP('Données projet'!$B$11,Paramètres!$A$1:$I$89,5,0)</f>
        <v>-8.7434273154940449E-13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428.8489304403459</v>
      </c>
      <c r="BJ185" s="62">
        <f t="shared" si="146"/>
        <v>247.01165577562966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-1.7053025658242404E-13</v>
      </c>
      <c r="BZ185" s="14">
        <f>BY185*VLOOKUP('Données projet'!$B$12,Paramètres!$A$1:$I$89,3,0)*VLOOKUP('Données projet'!$B$12,Paramètres!$A$1:$I$89,5,0)</f>
        <v>-1.250327841262333E-13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290.85271051443431</v>
      </c>
      <c r="CE185" s="62">
        <f t="shared" si="148"/>
        <v>318.66958823451142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1.1368683772161603E-13</v>
      </c>
      <c r="CU185" s="18">
        <f>CT185*VLOOKUP('Données projet'!$B$13,Paramètres!$A$1:$I$89,3,0)*VLOOKUP('Données projet'!$B$13,Paramètres!$A$1:$I$89,5,0)</f>
        <v>8.8675733422860506E-14</v>
      </c>
      <c r="CV185" s="14">
        <f t="shared" si="173"/>
        <v>1.3509285393066301E-12</v>
      </c>
      <c r="CW185" s="22">
        <f t="shared" si="174"/>
        <v>2.5073107750038623E-12</v>
      </c>
      <c r="CX185" s="62">
        <f t="shared" si="122"/>
        <v>293.33333333333582</v>
      </c>
      <c r="CY185" s="62">
        <f ca="1">AVERAGE(OFFSET($CX$3,0,0,'Données projet'!$E$13+1,1))-AVERAGE(OFFSET($H$3,0,0,'Données projet'!$E$13+1,1))</f>
        <v>292.57482726862594</v>
      </c>
      <c r="CZ185" s="62">
        <f t="shared" si="150"/>
        <v>283.48738729114024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-1.7053025658242404E-13</v>
      </c>
      <c r="DP185" s="18">
        <f>DO185*VLOOKUP('Données projet'!$B$14,Paramètres!$A$1:$I$89,3,0)*VLOOKUP('Données projet'!$B$14,Paramètres!$A$1:$I$89,5,0)</f>
        <v>-1.3567387213697657E-13</v>
      </c>
      <c r="DQ185" s="14" t="e">
        <f t="shared" si="176"/>
        <v>#NUM!</v>
      </c>
      <c r="DR185" s="22" t="e">
        <f t="shared" si="177"/>
        <v>#NUM!</v>
      </c>
      <c r="DS185" s="62" t="e">
        <f t="shared" si="125"/>
        <v>#NUM!</v>
      </c>
      <c r="DT185" s="62">
        <f ca="1">AVERAGE(OFFSET($DS$3,0,0,'Données projet'!$E$14+1,1))-AVERAGE(OFFSET($H$3,0,0,'Données projet'!$E$14+1,1))</f>
        <v>312.53381881960331</v>
      </c>
      <c r="DU185" s="62">
        <f t="shared" si="152"/>
        <v>342.06887933351783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1.1368683772161603E-13</v>
      </c>
      <c r="EK185" s="18">
        <f>EJ185*VLOOKUP('Données projet'!$B$15,Paramètres!$A$1:$I$89,3,0)*VLOOKUP('Données projet'!$B$15,Paramètres!$A$1:$I$89,5,0)</f>
        <v>1.0818439477588981E-13</v>
      </c>
      <c r="EL185" s="14">
        <f t="shared" si="179"/>
        <v>1.6104228458716316E-12</v>
      </c>
      <c r="EM185" s="22">
        <f t="shared" si="180"/>
        <v>2.9932409441277661E-12</v>
      </c>
      <c r="EN185" s="62">
        <f t="shared" si="128"/>
        <v>293.33333333333633</v>
      </c>
      <c r="EO185" s="62">
        <f ca="1">AVERAGE(OFFSET($EN$3,0,0,'Données projet'!$E$15+1,1))-AVERAGE(OFFSET($H$3,0,0,'Données projet'!$E$15+1,1))</f>
        <v>363.37916970915211</v>
      </c>
      <c r="EP185" s="62">
        <f t="shared" si="154"/>
        <v>281.52963027844595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-6.2527760746888816E-13</v>
      </c>
      <c r="FF185" s="18">
        <f>FE185*VLOOKUP('Données projet'!$B$16,Paramètres!$A$1:$I$89,3,0)*VLOOKUP('Données projet'!$B$16,Paramètres!$A$1:$I$89,5,0)</f>
        <v>-2.9262992029543964E-13</v>
      </c>
      <c r="FG185" s="14" t="e">
        <f t="shared" si="182"/>
        <v>#NUM!</v>
      </c>
      <c r="FH185" s="22" t="e">
        <f t="shared" si="183"/>
        <v>#NUM!</v>
      </c>
      <c r="FI185" s="62" t="e">
        <f t="shared" si="131"/>
        <v>#NUM!</v>
      </c>
      <c r="FJ185" s="62">
        <f ca="1">AVERAGE(OFFSET($FI$3,0,0,'Données projet'!$E$16+1,1))-AVERAGE(OFFSET($H$3,0,0,'Données projet'!$E$16+1,1))</f>
        <v>245.47494516762282</v>
      </c>
      <c r="FK185" s="62">
        <f t="shared" si="156"/>
        <v>145.54897745089966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-9.6633812063373625E-13</v>
      </c>
      <c r="GA185" s="18">
        <f>FZ185*VLOOKUP('Données projet'!$B$17,Paramètres!$A$1:$I$89,3,0)*VLOOKUP('Données projet'!$B$17,Paramètres!$A$1:$I$89,5,0)</f>
        <v>-9.3464223027694966E-13</v>
      </c>
      <c r="GB185" s="14" t="e">
        <f t="shared" si="185"/>
        <v>#NUM!</v>
      </c>
      <c r="GC185" s="22" t="e">
        <f t="shared" si="186"/>
        <v>#NUM!</v>
      </c>
      <c r="GD185" s="62" t="e">
        <f t="shared" si="134"/>
        <v>#NUM!</v>
      </c>
      <c r="GE185" s="62">
        <f ca="1">AVERAGE(OFFSET($GD$3,0,0,'Données projet'!$E$17+1,1))-AVERAGE(OFFSET($H$3,0,0,'Données projet'!$E$17+1,1))</f>
        <v>455.50822833641354</v>
      </c>
      <c r="GF185" s="62">
        <f t="shared" si="158"/>
        <v>261.14722581688039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1.7053025658242404E-13</v>
      </c>
      <c r="GV185" s="18">
        <f>GU185*VLOOKUP('Données projet'!$B$18,Paramètres!$A$1:$I$89,3,0)*VLOOKUP('Données projet'!$B$18,Paramètres!$A$1:$I$89,5,0)</f>
        <v>1.1439169611549005E-13</v>
      </c>
      <c r="GW185" s="14">
        <f t="shared" si="188"/>
        <v>1.6918016515029816E-12</v>
      </c>
      <c r="GX185" s="22">
        <f t="shared" si="189"/>
        <v>3.1457867471021712E-12</v>
      </c>
      <c r="GY185" s="62">
        <f t="shared" si="137"/>
        <v>293.33333333333644</v>
      </c>
      <c r="GZ185" s="62">
        <f ca="1">AVERAGE(OFFSET($GY$3,0,0,'Données projet'!$E$18+1,1))-AVERAGE(OFFSET($H$3,0,0,'Données projet'!$E$18+1,1))</f>
        <v>312.06797204903796</v>
      </c>
      <c r="HA185" s="62">
        <f t="shared" si="160"/>
        <v>258.20189001775151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projet'!$B$18,Paramètres!$A$1:$I$89,3,0)*0.475*44/12</f>
        <v>0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190"/>
        <v>0</v>
      </c>
    </row>
    <row r="186" spans="1:218" x14ac:dyDescent="0.25">
      <c r="A186" s="11">
        <f t="shared" si="161"/>
        <v>183</v>
      </c>
      <c r="B186" s="76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9">
        <f t="shared" si="110"/>
        <v>256.66666666666669</v>
      </c>
      <c r="I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2.2737367544323206E-13</v>
      </c>
      <c r="O186" s="14">
        <f>N186*VLOOKUP('Données projet'!$B$9,Paramètres!$A$1:$I$89,3,0)*VLOOKUP('Données projet'!$B$9,Paramètres!$A$1:$I$89,5,0)</f>
        <v>1.2710188457276673E-13</v>
      </c>
      <c r="P186" s="14">
        <f t="shared" si="141"/>
        <v>1.856866851063998E-12</v>
      </c>
      <c r="Q186" s="22">
        <f t="shared" si="162"/>
        <v>3.4554122145673649E-12</v>
      </c>
      <c r="R186" s="62">
        <f t="shared" si="109"/>
        <v>293.33333333333678</v>
      </c>
      <c r="S186" s="62">
        <f ca="1">AVERAGE(OFFSET($R$3,0,0,'Données projet'!$E$9+1,1))-AVERAGE(OFFSET($H$3,0,0,'Données projet'!$E$9+1,1))</f>
        <v>323.98185264074681</v>
      </c>
      <c r="T186" s="62">
        <f t="shared" si="142"/>
        <v>301.22207291854005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0.21559053316863397</v>
      </c>
      <c r="AA186" s="23">
        <f>EXP(-LN(2)/25)*AA185+(1-EXP(-LN(2)/25))/(LN(2)/25)*Calculateur!V186*Calculateur!X186*VLOOKUP('Données projet'!$B$9,Paramètres!$A$1:$I$89,3,0)*0.475*44/12</f>
        <v>0.11857911376134991</v>
      </c>
      <c r="AB186" s="23">
        <f>EXP(-LN(2)/2)*AB185+(1-EXP(-LN(2)/2))/(LN(2)/2)*V186*Y186*VLOOKUP('Données projet'!$B$9,Paramètres!$A$1:$I$89,3,0)*0.475*44/12</f>
        <v>5.6972623721594787E-23</v>
      </c>
      <c r="AC186" s="24">
        <f t="shared" si="163"/>
        <v>0.33416964692998385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-2.8421709430404007E-13</v>
      </c>
      <c r="AJ186" s="14">
        <f>AI186*VLOOKUP('Données projet'!$B$10,Paramètres!$A$1:$I$89,3,0)*VLOOKUP('Données projet'!$B$10,Paramètres!$A$1:$I$89,5,0)</f>
        <v>-1.69961822393816E-13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289.12367833861299</v>
      </c>
      <c r="AO186" s="62">
        <f t="shared" si="144"/>
        <v>229.06617320689003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3.8808074494678392E-23</v>
      </c>
      <c r="AX186" s="23">
        <f t="shared" si="166"/>
        <v>3.8808074494678392E-23</v>
      </c>
      <c r="AY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-9.6633812063373625E-13</v>
      </c>
      <c r="BE186" s="14">
        <f>BD186*VLOOKUP('Données projet'!$B$11,Paramètres!$A$1:$I$89,3,0)*VLOOKUP('Données projet'!$B$11,Paramètres!$A$1:$I$89,5,0)</f>
        <v>-8.7434273154940449E-13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428.8489304403459</v>
      </c>
      <c r="BJ186" s="62">
        <f t="shared" si="146"/>
        <v>247.01165577562966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-1.7053025658242404E-13</v>
      </c>
      <c r="BZ186" s="14">
        <f>BY186*VLOOKUP('Données projet'!$B$12,Paramètres!$A$1:$I$89,3,0)*VLOOKUP('Données projet'!$B$12,Paramètres!$A$1:$I$89,5,0)</f>
        <v>-1.250327841262333E-13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290.85271051443431</v>
      </c>
      <c r="CE186" s="62">
        <f t="shared" si="148"/>
        <v>318.66958823451142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1.1368683772161603E-13</v>
      </c>
      <c r="CU186" s="18">
        <f>CT186*VLOOKUP('Données projet'!$B$13,Paramètres!$A$1:$I$89,3,0)*VLOOKUP('Données projet'!$B$13,Paramètres!$A$1:$I$89,5,0)</f>
        <v>8.8675733422860506E-14</v>
      </c>
      <c r="CV186" s="14">
        <f t="shared" si="173"/>
        <v>1.3509285393066301E-12</v>
      </c>
      <c r="CW186" s="22">
        <f t="shared" si="174"/>
        <v>2.5073107750038623E-12</v>
      </c>
      <c r="CX186" s="62">
        <f t="shared" si="122"/>
        <v>293.33333333333582</v>
      </c>
      <c r="CY186" s="62">
        <f ca="1">AVERAGE(OFFSET($CX$3,0,0,'Données projet'!$E$13+1,1))-AVERAGE(OFFSET($H$3,0,0,'Données projet'!$E$13+1,1))</f>
        <v>292.57482726862594</v>
      </c>
      <c r="CZ186" s="62">
        <f t="shared" si="150"/>
        <v>283.48738729114024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-1.7053025658242404E-13</v>
      </c>
      <c r="DP186" s="18">
        <f>DO186*VLOOKUP('Données projet'!$B$14,Paramètres!$A$1:$I$89,3,0)*VLOOKUP('Données projet'!$B$14,Paramètres!$A$1:$I$89,5,0)</f>
        <v>-1.3567387213697657E-13</v>
      </c>
      <c r="DQ186" s="14" t="e">
        <f t="shared" si="176"/>
        <v>#NUM!</v>
      </c>
      <c r="DR186" s="22" t="e">
        <f t="shared" si="177"/>
        <v>#NUM!</v>
      </c>
      <c r="DS186" s="62" t="e">
        <f t="shared" si="125"/>
        <v>#NUM!</v>
      </c>
      <c r="DT186" s="62">
        <f ca="1">AVERAGE(OFFSET($DS$3,0,0,'Données projet'!$E$14+1,1))-AVERAGE(OFFSET($H$3,0,0,'Données projet'!$E$14+1,1))</f>
        <v>312.53381881960331</v>
      </c>
      <c r="DU186" s="62">
        <f t="shared" si="152"/>
        <v>342.06887933351783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1.1368683772161603E-13</v>
      </c>
      <c r="EK186" s="18">
        <f>EJ186*VLOOKUP('Données projet'!$B$15,Paramètres!$A$1:$I$89,3,0)*VLOOKUP('Données projet'!$B$15,Paramètres!$A$1:$I$89,5,0)</f>
        <v>1.0818439477588981E-13</v>
      </c>
      <c r="EL186" s="14">
        <f t="shared" si="179"/>
        <v>1.6104228458716316E-12</v>
      </c>
      <c r="EM186" s="22">
        <f t="shared" si="180"/>
        <v>2.9932409441277661E-12</v>
      </c>
      <c r="EN186" s="62">
        <f t="shared" si="128"/>
        <v>293.33333333333633</v>
      </c>
      <c r="EO186" s="62">
        <f ca="1">AVERAGE(OFFSET($EN$3,0,0,'Données projet'!$E$15+1,1))-AVERAGE(OFFSET($H$3,0,0,'Données projet'!$E$15+1,1))</f>
        <v>363.37916970915211</v>
      </c>
      <c r="EP186" s="62">
        <f t="shared" si="154"/>
        <v>281.52963027844595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-6.2527760746888816E-13</v>
      </c>
      <c r="FF186" s="18">
        <f>FE186*VLOOKUP('Données projet'!$B$16,Paramètres!$A$1:$I$89,3,0)*VLOOKUP('Données projet'!$B$16,Paramètres!$A$1:$I$89,5,0)</f>
        <v>-2.9262992029543964E-13</v>
      </c>
      <c r="FG186" s="14" t="e">
        <f t="shared" si="182"/>
        <v>#NUM!</v>
      </c>
      <c r="FH186" s="22" t="e">
        <f t="shared" si="183"/>
        <v>#NUM!</v>
      </c>
      <c r="FI186" s="62" t="e">
        <f t="shared" si="131"/>
        <v>#NUM!</v>
      </c>
      <c r="FJ186" s="62">
        <f ca="1">AVERAGE(OFFSET($FI$3,0,0,'Données projet'!$E$16+1,1))-AVERAGE(OFFSET($H$3,0,0,'Données projet'!$E$16+1,1))</f>
        <v>245.47494516762282</v>
      </c>
      <c r="FK186" s="62">
        <f t="shared" si="156"/>
        <v>145.54897745089966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-9.6633812063373625E-13</v>
      </c>
      <c r="GA186" s="18">
        <f>FZ186*VLOOKUP('Données projet'!$B$17,Paramètres!$A$1:$I$89,3,0)*VLOOKUP('Données projet'!$B$17,Paramètres!$A$1:$I$89,5,0)</f>
        <v>-9.3464223027694966E-13</v>
      </c>
      <c r="GB186" s="14" t="e">
        <f t="shared" si="185"/>
        <v>#NUM!</v>
      </c>
      <c r="GC186" s="22" t="e">
        <f t="shared" si="186"/>
        <v>#NUM!</v>
      </c>
      <c r="GD186" s="62" t="e">
        <f t="shared" si="134"/>
        <v>#NUM!</v>
      </c>
      <c r="GE186" s="62">
        <f ca="1">AVERAGE(OFFSET($GD$3,0,0,'Données projet'!$E$17+1,1))-AVERAGE(OFFSET($H$3,0,0,'Données projet'!$E$17+1,1))</f>
        <v>455.50822833641354</v>
      </c>
      <c r="GF186" s="62">
        <f t="shared" si="158"/>
        <v>261.14722581688039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1.7053025658242404E-13</v>
      </c>
      <c r="GV186" s="18">
        <f>GU186*VLOOKUP('Données projet'!$B$18,Paramètres!$A$1:$I$89,3,0)*VLOOKUP('Données projet'!$B$18,Paramètres!$A$1:$I$89,5,0)</f>
        <v>1.1439169611549005E-13</v>
      </c>
      <c r="GW186" s="14">
        <f t="shared" si="188"/>
        <v>1.6918016515029816E-12</v>
      </c>
      <c r="GX186" s="22">
        <f t="shared" si="189"/>
        <v>3.1457867471021712E-12</v>
      </c>
      <c r="GY186" s="62">
        <f t="shared" si="137"/>
        <v>293.33333333333644</v>
      </c>
      <c r="GZ186" s="62">
        <f ca="1">AVERAGE(OFFSET($GY$3,0,0,'Données projet'!$E$18+1,1))-AVERAGE(OFFSET($H$3,0,0,'Données projet'!$E$18+1,1))</f>
        <v>312.06797204903796</v>
      </c>
      <c r="HA186" s="62">
        <f t="shared" si="160"/>
        <v>258.20189001775151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projet'!$B$18,Paramètres!$A$1:$I$89,3,0)*0.475*44/12</f>
        <v>0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190"/>
        <v>0</v>
      </c>
    </row>
    <row r="187" spans="1:218" x14ac:dyDescent="0.25">
      <c r="A187" s="11">
        <f t="shared" si="161"/>
        <v>184</v>
      </c>
      <c r="B187" s="76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9">
        <f t="shared" si="110"/>
        <v>256.66666666666669</v>
      </c>
      <c r="I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2.2737367544323206E-13</v>
      </c>
      <c r="O187" s="14">
        <f>N187*VLOOKUP('Données projet'!$B$9,Paramètres!$A$1:$I$89,3,0)*VLOOKUP('Données projet'!$B$9,Paramètres!$A$1:$I$89,5,0)</f>
        <v>1.2710188457276673E-13</v>
      </c>
      <c r="P187" s="14">
        <f t="shared" si="141"/>
        <v>1.856866851063998E-12</v>
      </c>
      <c r="Q187" s="22">
        <f t="shared" si="162"/>
        <v>3.4554122145673649E-12</v>
      </c>
      <c r="R187" s="62">
        <f t="shared" si="109"/>
        <v>293.33333333333678</v>
      </c>
      <c r="S187" s="62">
        <f ca="1">AVERAGE(OFFSET($R$3,0,0,'Données projet'!$E$9+1,1))-AVERAGE(OFFSET($H$3,0,0,'Données projet'!$E$9+1,1))</f>
        <v>323.98185264074681</v>
      </c>
      <c r="T187" s="62">
        <f t="shared" si="142"/>
        <v>301.22207291854005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0.21136293431043801</v>
      </c>
      <c r="AA187" s="23">
        <f>EXP(-LN(2)/25)*AA186+(1-EXP(-LN(2)/25))/(LN(2)/25)*Calculateur!V187*Calculateur!X187*VLOOKUP('Données projet'!$B$9,Paramètres!$A$1:$I$89,3,0)*0.475*44/12</f>
        <v>0.11533656165974122</v>
      </c>
      <c r="AB187" s="23">
        <f>EXP(-LN(2)/2)*AB186+(1-EXP(-LN(2)/2))/(LN(2)/2)*V187*Y187*VLOOKUP('Données projet'!$B$9,Paramètres!$A$1:$I$89,3,0)*0.475*44/12</f>
        <v>4.0285728575529233E-23</v>
      </c>
      <c r="AC187" s="24">
        <f t="shared" si="163"/>
        <v>0.32669949597017922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-2.8421709430404007E-13</v>
      </c>
      <c r="AJ187" s="14">
        <f>AI187*VLOOKUP('Données projet'!$B$10,Paramètres!$A$1:$I$89,3,0)*VLOOKUP('Données projet'!$B$10,Paramètres!$A$1:$I$89,5,0)</f>
        <v>-1.69961822393816E-13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289.12367833861299</v>
      </c>
      <c r="AO187" s="62">
        <f t="shared" si="144"/>
        <v>229.06617320689003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2.7441452639979789E-23</v>
      </c>
      <c r="AX187" s="23">
        <f t="shared" si="166"/>
        <v>2.7441452639979789E-23</v>
      </c>
      <c r="AY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-9.6633812063373625E-13</v>
      </c>
      <c r="BE187" s="14">
        <f>BD187*VLOOKUP('Données projet'!$B$11,Paramètres!$A$1:$I$89,3,0)*VLOOKUP('Données projet'!$B$11,Paramètres!$A$1:$I$89,5,0)</f>
        <v>-8.7434273154940449E-13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428.8489304403459</v>
      </c>
      <c r="BJ187" s="62">
        <f t="shared" si="146"/>
        <v>247.01165577562966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-1.7053025658242404E-13</v>
      </c>
      <c r="BZ187" s="14">
        <f>BY187*VLOOKUP('Données projet'!$B$12,Paramètres!$A$1:$I$89,3,0)*VLOOKUP('Données projet'!$B$12,Paramètres!$A$1:$I$89,5,0)</f>
        <v>-1.250327841262333E-13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290.85271051443431</v>
      </c>
      <c r="CE187" s="62">
        <f t="shared" si="148"/>
        <v>318.66958823451142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1.1368683772161603E-13</v>
      </c>
      <c r="CU187" s="18">
        <f>CT187*VLOOKUP('Données projet'!$B$13,Paramètres!$A$1:$I$89,3,0)*VLOOKUP('Données projet'!$B$13,Paramètres!$A$1:$I$89,5,0)</f>
        <v>8.8675733422860506E-14</v>
      </c>
      <c r="CV187" s="14">
        <f t="shared" si="173"/>
        <v>1.3509285393066301E-12</v>
      </c>
      <c r="CW187" s="22">
        <f t="shared" si="174"/>
        <v>2.5073107750038623E-12</v>
      </c>
      <c r="CX187" s="62">
        <f t="shared" si="122"/>
        <v>293.33333333333582</v>
      </c>
      <c r="CY187" s="62">
        <f ca="1">AVERAGE(OFFSET($CX$3,0,0,'Données projet'!$E$13+1,1))-AVERAGE(OFFSET($H$3,0,0,'Données projet'!$E$13+1,1))</f>
        <v>292.57482726862594</v>
      </c>
      <c r="CZ187" s="62">
        <f t="shared" si="150"/>
        <v>283.48738729114024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-1.7053025658242404E-13</v>
      </c>
      <c r="DP187" s="18">
        <f>DO187*VLOOKUP('Données projet'!$B$14,Paramètres!$A$1:$I$89,3,0)*VLOOKUP('Données projet'!$B$14,Paramètres!$A$1:$I$89,5,0)</f>
        <v>-1.3567387213697657E-13</v>
      </c>
      <c r="DQ187" s="14" t="e">
        <f t="shared" si="176"/>
        <v>#NUM!</v>
      </c>
      <c r="DR187" s="22" t="e">
        <f t="shared" si="177"/>
        <v>#NUM!</v>
      </c>
      <c r="DS187" s="62" t="e">
        <f t="shared" si="125"/>
        <v>#NUM!</v>
      </c>
      <c r="DT187" s="62">
        <f ca="1">AVERAGE(OFFSET($DS$3,0,0,'Données projet'!$E$14+1,1))-AVERAGE(OFFSET($H$3,0,0,'Données projet'!$E$14+1,1))</f>
        <v>312.53381881960331</v>
      </c>
      <c r="DU187" s="62">
        <f t="shared" si="152"/>
        <v>342.06887933351783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1.1368683772161603E-13</v>
      </c>
      <c r="EK187" s="18">
        <f>EJ187*VLOOKUP('Données projet'!$B$15,Paramètres!$A$1:$I$89,3,0)*VLOOKUP('Données projet'!$B$15,Paramètres!$A$1:$I$89,5,0)</f>
        <v>1.0818439477588981E-13</v>
      </c>
      <c r="EL187" s="14">
        <f t="shared" si="179"/>
        <v>1.6104228458716316E-12</v>
      </c>
      <c r="EM187" s="22">
        <f t="shared" si="180"/>
        <v>2.9932409441277661E-12</v>
      </c>
      <c r="EN187" s="62">
        <f t="shared" si="128"/>
        <v>293.33333333333633</v>
      </c>
      <c r="EO187" s="62">
        <f ca="1">AVERAGE(OFFSET($EN$3,0,0,'Données projet'!$E$15+1,1))-AVERAGE(OFFSET($H$3,0,0,'Données projet'!$E$15+1,1))</f>
        <v>363.37916970915211</v>
      </c>
      <c r="EP187" s="62">
        <f t="shared" si="154"/>
        <v>281.52963027844595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-6.2527760746888816E-13</v>
      </c>
      <c r="FF187" s="18">
        <f>FE187*VLOOKUP('Données projet'!$B$16,Paramètres!$A$1:$I$89,3,0)*VLOOKUP('Données projet'!$B$16,Paramètres!$A$1:$I$89,5,0)</f>
        <v>-2.9262992029543964E-13</v>
      </c>
      <c r="FG187" s="14" t="e">
        <f t="shared" si="182"/>
        <v>#NUM!</v>
      </c>
      <c r="FH187" s="22" t="e">
        <f t="shared" si="183"/>
        <v>#NUM!</v>
      </c>
      <c r="FI187" s="62" t="e">
        <f t="shared" si="131"/>
        <v>#NUM!</v>
      </c>
      <c r="FJ187" s="62">
        <f ca="1">AVERAGE(OFFSET($FI$3,0,0,'Données projet'!$E$16+1,1))-AVERAGE(OFFSET($H$3,0,0,'Données projet'!$E$16+1,1))</f>
        <v>245.47494516762282</v>
      </c>
      <c r="FK187" s="62">
        <f t="shared" si="156"/>
        <v>145.54897745089966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-9.6633812063373625E-13</v>
      </c>
      <c r="GA187" s="18">
        <f>FZ187*VLOOKUP('Données projet'!$B$17,Paramètres!$A$1:$I$89,3,0)*VLOOKUP('Données projet'!$B$17,Paramètres!$A$1:$I$89,5,0)</f>
        <v>-9.3464223027694966E-13</v>
      </c>
      <c r="GB187" s="14" t="e">
        <f t="shared" si="185"/>
        <v>#NUM!</v>
      </c>
      <c r="GC187" s="22" t="e">
        <f t="shared" si="186"/>
        <v>#NUM!</v>
      </c>
      <c r="GD187" s="62" t="e">
        <f t="shared" si="134"/>
        <v>#NUM!</v>
      </c>
      <c r="GE187" s="62">
        <f ca="1">AVERAGE(OFFSET($GD$3,0,0,'Données projet'!$E$17+1,1))-AVERAGE(OFFSET($H$3,0,0,'Données projet'!$E$17+1,1))</f>
        <v>455.50822833641354</v>
      </c>
      <c r="GF187" s="62">
        <f t="shared" si="158"/>
        <v>261.14722581688039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1.7053025658242404E-13</v>
      </c>
      <c r="GV187" s="18">
        <f>GU187*VLOOKUP('Données projet'!$B$18,Paramètres!$A$1:$I$89,3,0)*VLOOKUP('Données projet'!$B$18,Paramètres!$A$1:$I$89,5,0)</f>
        <v>1.1439169611549005E-13</v>
      </c>
      <c r="GW187" s="14">
        <f t="shared" si="188"/>
        <v>1.6918016515029816E-12</v>
      </c>
      <c r="GX187" s="22">
        <f t="shared" si="189"/>
        <v>3.1457867471021712E-12</v>
      </c>
      <c r="GY187" s="62">
        <f t="shared" si="137"/>
        <v>293.33333333333644</v>
      </c>
      <c r="GZ187" s="62">
        <f ca="1">AVERAGE(OFFSET($GY$3,0,0,'Données projet'!$E$18+1,1))-AVERAGE(OFFSET($H$3,0,0,'Données projet'!$E$18+1,1))</f>
        <v>312.06797204903796</v>
      </c>
      <c r="HA187" s="62">
        <f t="shared" si="160"/>
        <v>258.20189001775151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projet'!$B$18,Paramètres!$A$1:$I$89,3,0)*0.475*44/12</f>
        <v>0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190"/>
        <v>0</v>
      </c>
    </row>
    <row r="188" spans="1:218" x14ac:dyDescent="0.25">
      <c r="A188" s="11">
        <f t="shared" si="161"/>
        <v>185</v>
      </c>
      <c r="B188" s="76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9">
        <f t="shared" si="110"/>
        <v>256.66666666666669</v>
      </c>
      <c r="I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2.2737367544323206E-13</v>
      </c>
      <c r="O188" s="14">
        <f>N188*VLOOKUP('Données projet'!$B$9,Paramètres!$A$1:$I$89,3,0)*VLOOKUP('Données projet'!$B$9,Paramètres!$A$1:$I$89,5,0)</f>
        <v>1.2710188457276673E-13</v>
      </c>
      <c r="P188" s="14">
        <f t="shared" si="141"/>
        <v>1.856866851063998E-12</v>
      </c>
      <c r="Q188" s="22">
        <f t="shared" si="162"/>
        <v>3.4554122145673649E-12</v>
      </c>
      <c r="R188" s="62">
        <f t="shared" si="109"/>
        <v>293.33333333333678</v>
      </c>
      <c r="S188" s="62">
        <f ca="1">AVERAGE(OFFSET($R$3,0,0,'Données projet'!$E$9+1,1))-AVERAGE(OFFSET($H$3,0,0,'Données projet'!$E$9+1,1))</f>
        <v>323.98185264074681</v>
      </c>
      <c r="T188" s="62">
        <f t="shared" si="142"/>
        <v>301.22207291854005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0.20721823608727058</v>
      </c>
      <c r="AA188" s="23">
        <f>EXP(-LN(2)/25)*AA187+(1-EXP(-LN(2)/25))/(LN(2)/25)*Calculateur!V188*Calculateur!X188*VLOOKUP('Données projet'!$B$9,Paramètres!$A$1:$I$89,3,0)*0.475*44/12</f>
        <v>0.11218267731586942</v>
      </c>
      <c r="AB188" s="23">
        <f>EXP(-LN(2)/2)*AB187+(1-EXP(-LN(2)/2))/(LN(2)/2)*V188*Y188*VLOOKUP('Données projet'!$B$9,Paramètres!$A$1:$I$89,3,0)*0.475*44/12</f>
        <v>2.8486311860797394E-23</v>
      </c>
      <c r="AC188" s="24">
        <f t="shared" si="163"/>
        <v>0.31940091340314003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-2.8421709430404007E-13</v>
      </c>
      <c r="AJ188" s="14">
        <f>AI188*VLOOKUP('Données projet'!$B$10,Paramètres!$A$1:$I$89,3,0)*VLOOKUP('Données projet'!$B$10,Paramètres!$A$1:$I$89,5,0)</f>
        <v>-1.69961822393816E-13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289.12367833861299</v>
      </c>
      <c r="AO188" s="62">
        <f t="shared" si="144"/>
        <v>229.06617320689003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1.9404037247339196E-23</v>
      </c>
      <c r="AX188" s="23">
        <f t="shared" si="166"/>
        <v>1.9404037247339196E-23</v>
      </c>
      <c r="AY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-9.6633812063373625E-13</v>
      </c>
      <c r="BE188" s="14">
        <f>BD188*VLOOKUP('Données projet'!$B$11,Paramètres!$A$1:$I$89,3,0)*VLOOKUP('Données projet'!$B$11,Paramètres!$A$1:$I$89,5,0)</f>
        <v>-8.7434273154940449E-13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428.8489304403459</v>
      </c>
      <c r="BJ188" s="62">
        <f t="shared" si="146"/>
        <v>247.01165577562966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-1.7053025658242404E-13</v>
      </c>
      <c r="BZ188" s="14">
        <f>BY188*VLOOKUP('Données projet'!$B$12,Paramètres!$A$1:$I$89,3,0)*VLOOKUP('Données projet'!$B$12,Paramètres!$A$1:$I$89,5,0)</f>
        <v>-1.250327841262333E-13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290.85271051443431</v>
      </c>
      <c r="CE188" s="62">
        <f t="shared" si="148"/>
        <v>318.66958823451142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1.1368683772161603E-13</v>
      </c>
      <c r="CU188" s="18">
        <f>CT188*VLOOKUP('Données projet'!$B$13,Paramètres!$A$1:$I$89,3,0)*VLOOKUP('Données projet'!$B$13,Paramètres!$A$1:$I$89,5,0)</f>
        <v>8.8675733422860506E-14</v>
      </c>
      <c r="CV188" s="14">
        <f t="shared" si="173"/>
        <v>1.3509285393066301E-12</v>
      </c>
      <c r="CW188" s="22">
        <f t="shared" si="174"/>
        <v>2.5073107750038623E-12</v>
      </c>
      <c r="CX188" s="62">
        <f t="shared" si="122"/>
        <v>293.33333333333582</v>
      </c>
      <c r="CY188" s="62">
        <f ca="1">AVERAGE(OFFSET($CX$3,0,0,'Données projet'!$E$13+1,1))-AVERAGE(OFFSET($H$3,0,0,'Données projet'!$E$13+1,1))</f>
        <v>292.57482726862594</v>
      </c>
      <c r="CZ188" s="62">
        <f t="shared" si="150"/>
        <v>283.48738729114024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-1.7053025658242404E-13</v>
      </c>
      <c r="DP188" s="18">
        <f>DO188*VLOOKUP('Données projet'!$B$14,Paramètres!$A$1:$I$89,3,0)*VLOOKUP('Données projet'!$B$14,Paramètres!$A$1:$I$89,5,0)</f>
        <v>-1.3567387213697657E-13</v>
      </c>
      <c r="DQ188" s="14" t="e">
        <f t="shared" si="176"/>
        <v>#NUM!</v>
      </c>
      <c r="DR188" s="22" t="e">
        <f t="shared" si="177"/>
        <v>#NUM!</v>
      </c>
      <c r="DS188" s="62" t="e">
        <f t="shared" si="125"/>
        <v>#NUM!</v>
      </c>
      <c r="DT188" s="62">
        <f ca="1">AVERAGE(OFFSET($DS$3,0,0,'Données projet'!$E$14+1,1))-AVERAGE(OFFSET($H$3,0,0,'Données projet'!$E$14+1,1))</f>
        <v>312.53381881960331</v>
      </c>
      <c r="DU188" s="62">
        <f t="shared" si="152"/>
        <v>342.06887933351783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1.1368683772161603E-13</v>
      </c>
      <c r="EK188" s="18">
        <f>EJ188*VLOOKUP('Données projet'!$B$15,Paramètres!$A$1:$I$89,3,0)*VLOOKUP('Données projet'!$B$15,Paramètres!$A$1:$I$89,5,0)</f>
        <v>1.0818439477588981E-13</v>
      </c>
      <c r="EL188" s="14">
        <f t="shared" si="179"/>
        <v>1.6104228458716316E-12</v>
      </c>
      <c r="EM188" s="22">
        <f t="shared" si="180"/>
        <v>2.9932409441277661E-12</v>
      </c>
      <c r="EN188" s="62">
        <f t="shared" si="128"/>
        <v>293.33333333333633</v>
      </c>
      <c r="EO188" s="62">
        <f ca="1">AVERAGE(OFFSET($EN$3,0,0,'Données projet'!$E$15+1,1))-AVERAGE(OFFSET($H$3,0,0,'Données projet'!$E$15+1,1))</f>
        <v>363.37916970915211</v>
      </c>
      <c r="EP188" s="62">
        <f t="shared" si="154"/>
        <v>281.52963027844595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-6.2527760746888816E-13</v>
      </c>
      <c r="FF188" s="18">
        <f>FE188*VLOOKUP('Données projet'!$B$16,Paramètres!$A$1:$I$89,3,0)*VLOOKUP('Données projet'!$B$16,Paramètres!$A$1:$I$89,5,0)</f>
        <v>-2.9262992029543964E-13</v>
      </c>
      <c r="FG188" s="14" t="e">
        <f t="shared" si="182"/>
        <v>#NUM!</v>
      </c>
      <c r="FH188" s="22" t="e">
        <f t="shared" si="183"/>
        <v>#NUM!</v>
      </c>
      <c r="FI188" s="62" t="e">
        <f t="shared" si="131"/>
        <v>#NUM!</v>
      </c>
      <c r="FJ188" s="62">
        <f ca="1">AVERAGE(OFFSET($FI$3,0,0,'Données projet'!$E$16+1,1))-AVERAGE(OFFSET($H$3,0,0,'Données projet'!$E$16+1,1))</f>
        <v>245.47494516762282</v>
      </c>
      <c r="FK188" s="62">
        <f t="shared" si="156"/>
        <v>145.54897745089966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-9.6633812063373625E-13</v>
      </c>
      <c r="GA188" s="18">
        <f>FZ188*VLOOKUP('Données projet'!$B$17,Paramètres!$A$1:$I$89,3,0)*VLOOKUP('Données projet'!$B$17,Paramètres!$A$1:$I$89,5,0)</f>
        <v>-9.3464223027694966E-13</v>
      </c>
      <c r="GB188" s="14" t="e">
        <f t="shared" si="185"/>
        <v>#NUM!</v>
      </c>
      <c r="GC188" s="22" t="e">
        <f t="shared" si="186"/>
        <v>#NUM!</v>
      </c>
      <c r="GD188" s="62" t="e">
        <f t="shared" si="134"/>
        <v>#NUM!</v>
      </c>
      <c r="GE188" s="62">
        <f ca="1">AVERAGE(OFFSET($GD$3,0,0,'Données projet'!$E$17+1,1))-AVERAGE(OFFSET($H$3,0,0,'Données projet'!$E$17+1,1))</f>
        <v>455.50822833641354</v>
      </c>
      <c r="GF188" s="62">
        <f t="shared" si="158"/>
        <v>261.14722581688039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1.7053025658242404E-13</v>
      </c>
      <c r="GV188" s="18">
        <f>GU188*VLOOKUP('Données projet'!$B$18,Paramètres!$A$1:$I$89,3,0)*VLOOKUP('Données projet'!$B$18,Paramètres!$A$1:$I$89,5,0)</f>
        <v>1.1439169611549005E-13</v>
      </c>
      <c r="GW188" s="14">
        <f t="shared" si="188"/>
        <v>1.6918016515029816E-12</v>
      </c>
      <c r="GX188" s="22">
        <f t="shared" si="189"/>
        <v>3.1457867471021712E-12</v>
      </c>
      <c r="GY188" s="62">
        <f t="shared" si="137"/>
        <v>293.33333333333644</v>
      </c>
      <c r="GZ188" s="62">
        <f ca="1">AVERAGE(OFFSET($GY$3,0,0,'Données projet'!$E$18+1,1))-AVERAGE(OFFSET($H$3,0,0,'Données projet'!$E$18+1,1))</f>
        <v>312.06797204903796</v>
      </c>
      <c r="HA188" s="62">
        <f t="shared" si="160"/>
        <v>258.20189001775151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projet'!$B$18,Paramètres!$A$1:$I$89,3,0)*0.475*44/12</f>
        <v>0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190"/>
        <v>0</v>
      </c>
    </row>
    <row r="189" spans="1:218" x14ac:dyDescent="0.25">
      <c r="A189" s="11">
        <f t="shared" si="161"/>
        <v>186</v>
      </c>
      <c r="B189" s="76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9">
        <f t="shared" si="110"/>
        <v>256.66666666666669</v>
      </c>
      <c r="I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2.2737367544323206E-13</v>
      </c>
      <c r="O189" s="14">
        <f>N189*VLOOKUP('Données projet'!$B$9,Paramètres!$A$1:$I$89,3,0)*VLOOKUP('Données projet'!$B$9,Paramètres!$A$1:$I$89,5,0)</f>
        <v>1.2710188457276673E-13</v>
      </c>
      <c r="P189" s="14">
        <f t="shared" si="141"/>
        <v>1.856866851063998E-12</v>
      </c>
      <c r="Q189" s="22">
        <f t="shared" si="162"/>
        <v>3.4554122145673649E-12</v>
      </c>
      <c r="R189" s="62">
        <f t="shared" si="109"/>
        <v>293.33333333333678</v>
      </c>
      <c r="S189" s="62">
        <f ca="1">AVERAGE(OFFSET($R$3,0,0,'Données projet'!$E$9+1,1))-AVERAGE(OFFSET($H$3,0,0,'Données projet'!$E$9+1,1))</f>
        <v>323.98185264074681</v>
      </c>
      <c r="T189" s="62">
        <f t="shared" si="142"/>
        <v>301.22207291854005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0.20315481286824319</v>
      </c>
      <c r="AA189" s="23">
        <f>EXP(-LN(2)/25)*AA188+(1-EXP(-LN(2)/25))/(LN(2)/25)*Calculateur!V189*Calculateur!X189*VLOOKUP('Données projet'!$B$9,Paramètres!$A$1:$I$89,3,0)*0.475*44/12</f>
        <v>0.10911503610523637</v>
      </c>
      <c r="AB189" s="23">
        <f>EXP(-LN(2)/2)*AB188+(1-EXP(-LN(2)/2))/(LN(2)/2)*V189*Y189*VLOOKUP('Données projet'!$B$9,Paramètres!$A$1:$I$89,3,0)*0.475*44/12</f>
        <v>2.0142864287764616E-23</v>
      </c>
      <c r="AC189" s="24">
        <f t="shared" si="163"/>
        <v>0.31226984897347954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-2.8421709430404007E-13</v>
      </c>
      <c r="AJ189" s="14">
        <f>AI189*VLOOKUP('Données projet'!$B$10,Paramètres!$A$1:$I$89,3,0)*VLOOKUP('Données projet'!$B$10,Paramètres!$A$1:$I$89,5,0)</f>
        <v>-1.69961822393816E-13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289.12367833861299</v>
      </c>
      <c r="AO189" s="62">
        <f t="shared" si="144"/>
        <v>229.06617320689003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1.3720726319989894E-23</v>
      </c>
      <c r="AX189" s="23">
        <f t="shared" si="166"/>
        <v>1.3720726319989894E-23</v>
      </c>
      <c r="AY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-9.6633812063373625E-13</v>
      </c>
      <c r="BE189" s="14">
        <f>BD189*VLOOKUP('Données projet'!$B$11,Paramètres!$A$1:$I$89,3,0)*VLOOKUP('Données projet'!$B$11,Paramètres!$A$1:$I$89,5,0)</f>
        <v>-8.7434273154940449E-13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428.8489304403459</v>
      </c>
      <c r="BJ189" s="62">
        <f t="shared" si="146"/>
        <v>247.01165577562966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-1.7053025658242404E-13</v>
      </c>
      <c r="BZ189" s="14">
        <f>BY189*VLOOKUP('Données projet'!$B$12,Paramètres!$A$1:$I$89,3,0)*VLOOKUP('Données projet'!$B$12,Paramètres!$A$1:$I$89,5,0)</f>
        <v>-1.250327841262333E-13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290.85271051443431</v>
      </c>
      <c r="CE189" s="62">
        <f t="shared" si="148"/>
        <v>318.66958823451142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1.1368683772161603E-13</v>
      </c>
      <c r="CU189" s="18">
        <f>CT189*VLOOKUP('Données projet'!$B$13,Paramètres!$A$1:$I$89,3,0)*VLOOKUP('Données projet'!$B$13,Paramètres!$A$1:$I$89,5,0)</f>
        <v>8.8675733422860506E-14</v>
      </c>
      <c r="CV189" s="14">
        <f t="shared" si="173"/>
        <v>1.3509285393066301E-12</v>
      </c>
      <c r="CW189" s="22">
        <f t="shared" si="174"/>
        <v>2.5073107750038623E-12</v>
      </c>
      <c r="CX189" s="62">
        <f t="shared" si="122"/>
        <v>293.33333333333582</v>
      </c>
      <c r="CY189" s="62">
        <f ca="1">AVERAGE(OFFSET($CX$3,0,0,'Données projet'!$E$13+1,1))-AVERAGE(OFFSET($H$3,0,0,'Données projet'!$E$13+1,1))</f>
        <v>292.57482726862594</v>
      </c>
      <c r="CZ189" s="62">
        <f t="shared" si="150"/>
        <v>283.48738729114024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-1.7053025658242404E-13</v>
      </c>
      <c r="DP189" s="18">
        <f>DO189*VLOOKUP('Données projet'!$B$14,Paramètres!$A$1:$I$89,3,0)*VLOOKUP('Données projet'!$B$14,Paramètres!$A$1:$I$89,5,0)</f>
        <v>-1.3567387213697657E-13</v>
      </c>
      <c r="DQ189" s="14" t="e">
        <f t="shared" si="176"/>
        <v>#NUM!</v>
      </c>
      <c r="DR189" s="22" t="e">
        <f t="shared" si="177"/>
        <v>#NUM!</v>
      </c>
      <c r="DS189" s="62" t="e">
        <f t="shared" si="125"/>
        <v>#NUM!</v>
      </c>
      <c r="DT189" s="62">
        <f ca="1">AVERAGE(OFFSET($DS$3,0,0,'Données projet'!$E$14+1,1))-AVERAGE(OFFSET($H$3,0,0,'Données projet'!$E$14+1,1))</f>
        <v>312.53381881960331</v>
      </c>
      <c r="DU189" s="62">
        <f t="shared" si="152"/>
        <v>342.06887933351783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1.1368683772161603E-13</v>
      </c>
      <c r="EK189" s="18">
        <f>EJ189*VLOOKUP('Données projet'!$B$15,Paramètres!$A$1:$I$89,3,0)*VLOOKUP('Données projet'!$B$15,Paramètres!$A$1:$I$89,5,0)</f>
        <v>1.0818439477588981E-13</v>
      </c>
      <c r="EL189" s="14">
        <f t="shared" si="179"/>
        <v>1.6104228458716316E-12</v>
      </c>
      <c r="EM189" s="22">
        <f t="shared" si="180"/>
        <v>2.9932409441277661E-12</v>
      </c>
      <c r="EN189" s="62">
        <f t="shared" si="128"/>
        <v>293.33333333333633</v>
      </c>
      <c r="EO189" s="62">
        <f ca="1">AVERAGE(OFFSET($EN$3,0,0,'Données projet'!$E$15+1,1))-AVERAGE(OFFSET($H$3,0,0,'Données projet'!$E$15+1,1))</f>
        <v>363.37916970915211</v>
      </c>
      <c r="EP189" s="62">
        <f t="shared" si="154"/>
        <v>281.52963027844595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-6.2527760746888816E-13</v>
      </c>
      <c r="FF189" s="18">
        <f>FE189*VLOOKUP('Données projet'!$B$16,Paramètres!$A$1:$I$89,3,0)*VLOOKUP('Données projet'!$B$16,Paramètres!$A$1:$I$89,5,0)</f>
        <v>-2.9262992029543964E-13</v>
      </c>
      <c r="FG189" s="14" t="e">
        <f t="shared" si="182"/>
        <v>#NUM!</v>
      </c>
      <c r="FH189" s="22" t="e">
        <f t="shared" si="183"/>
        <v>#NUM!</v>
      </c>
      <c r="FI189" s="62" t="e">
        <f t="shared" si="131"/>
        <v>#NUM!</v>
      </c>
      <c r="FJ189" s="62">
        <f ca="1">AVERAGE(OFFSET($FI$3,0,0,'Données projet'!$E$16+1,1))-AVERAGE(OFFSET($H$3,0,0,'Données projet'!$E$16+1,1))</f>
        <v>245.47494516762282</v>
      </c>
      <c r="FK189" s="62">
        <f t="shared" si="156"/>
        <v>145.54897745089966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-9.6633812063373625E-13</v>
      </c>
      <c r="GA189" s="18">
        <f>FZ189*VLOOKUP('Données projet'!$B$17,Paramètres!$A$1:$I$89,3,0)*VLOOKUP('Données projet'!$B$17,Paramètres!$A$1:$I$89,5,0)</f>
        <v>-9.3464223027694966E-13</v>
      </c>
      <c r="GB189" s="14" t="e">
        <f t="shared" si="185"/>
        <v>#NUM!</v>
      </c>
      <c r="GC189" s="22" t="e">
        <f t="shared" si="186"/>
        <v>#NUM!</v>
      </c>
      <c r="GD189" s="62" t="e">
        <f t="shared" si="134"/>
        <v>#NUM!</v>
      </c>
      <c r="GE189" s="62">
        <f ca="1">AVERAGE(OFFSET($GD$3,0,0,'Données projet'!$E$17+1,1))-AVERAGE(OFFSET($H$3,0,0,'Données projet'!$E$17+1,1))</f>
        <v>455.50822833641354</v>
      </c>
      <c r="GF189" s="62">
        <f t="shared" si="158"/>
        <v>261.14722581688039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1.7053025658242404E-13</v>
      </c>
      <c r="GV189" s="18">
        <f>GU189*VLOOKUP('Données projet'!$B$18,Paramètres!$A$1:$I$89,3,0)*VLOOKUP('Données projet'!$B$18,Paramètres!$A$1:$I$89,5,0)</f>
        <v>1.1439169611549005E-13</v>
      </c>
      <c r="GW189" s="14">
        <f t="shared" si="188"/>
        <v>1.6918016515029816E-12</v>
      </c>
      <c r="GX189" s="22">
        <f t="shared" si="189"/>
        <v>3.1457867471021712E-12</v>
      </c>
      <c r="GY189" s="62">
        <f t="shared" si="137"/>
        <v>293.33333333333644</v>
      </c>
      <c r="GZ189" s="62">
        <f ca="1">AVERAGE(OFFSET($GY$3,0,0,'Données projet'!$E$18+1,1))-AVERAGE(OFFSET($H$3,0,0,'Données projet'!$E$18+1,1))</f>
        <v>312.06797204903796</v>
      </c>
      <c r="HA189" s="62">
        <f t="shared" si="160"/>
        <v>258.20189001775151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projet'!$B$18,Paramètres!$A$1:$I$89,3,0)*0.475*44/12</f>
        <v>0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190"/>
        <v>0</v>
      </c>
    </row>
    <row r="190" spans="1:218" x14ac:dyDescent="0.25">
      <c r="A190" s="11">
        <f t="shared" si="161"/>
        <v>187</v>
      </c>
      <c r="B190" s="76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9">
        <f t="shared" si="110"/>
        <v>256.66666666666669</v>
      </c>
      <c r="I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2.2737367544323206E-13</v>
      </c>
      <c r="O190" s="14">
        <f>N190*VLOOKUP('Données projet'!$B$9,Paramètres!$A$1:$I$89,3,0)*VLOOKUP('Données projet'!$B$9,Paramètres!$A$1:$I$89,5,0)</f>
        <v>1.2710188457276673E-13</v>
      </c>
      <c r="P190" s="14">
        <f t="shared" si="141"/>
        <v>1.856866851063998E-12</v>
      </c>
      <c r="Q190" s="22">
        <f t="shared" si="162"/>
        <v>3.4554122145673649E-12</v>
      </c>
      <c r="R190" s="62">
        <f t="shared" si="109"/>
        <v>293.33333333333678</v>
      </c>
      <c r="S190" s="62">
        <f ca="1">AVERAGE(OFFSET($R$3,0,0,'Données projet'!$E$9+1,1))-AVERAGE(OFFSET($H$3,0,0,'Données projet'!$E$9+1,1))</f>
        <v>323.98185264074681</v>
      </c>
      <c r="T190" s="62">
        <f t="shared" si="142"/>
        <v>301.22207291854005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0.19917107090009747</v>
      </c>
      <c r="AA190" s="23">
        <f>EXP(-LN(2)/25)*AA189+(1-EXP(-LN(2)/25))/(LN(2)/25)*Calculateur!V190*Calculateur!X190*VLOOKUP('Données projet'!$B$9,Paramètres!$A$1:$I$89,3,0)*0.475*44/12</f>
        <v>0.10613127970482832</v>
      </c>
      <c r="AB190" s="23">
        <f>EXP(-LN(2)/2)*AB189+(1-EXP(-LN(2)/2))/(LN(2)/2)*V190*Y190*VLOOKUP('Données projet'!$B$9,Paramètres!$A$1:$I$89,3,0)*0.475*44/12</f>
        <v>1.4243155930398697E-23</v>
      </c>
      <c r="AC190" s="24">
        <f t="shared" si="163"/>
        <v>0.30530235060492578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-2.8421709430404007E-13</v>
      </c>
      <c r="AJ190" s="14">
        <f>AI190*VLOOKUP('Données projet'!$B$10,Paramètres!$A$1:$I$89,3,0)*VLOOKUP('Données projet'!$B$10,Paramètres!$A$1:$I$89,5,0)</f>
        <v>-1.69961822393816E-13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289.12367833861299</v>
      </c>
      <c r="AO190" s="62">
        <f t="shared" si="144"/>
        <v>229.06617320689003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9.7020186236695979E-24</v>
      </c>
      <c r="AX190" s="23">
        <f t="shared" si="166"/>
        <v>9.7020186236695979E-24</v>
      </c>
      <c r="AY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-9.6633812063373625E-13</v>
      </c>
      <c r="BE190" s="14">
        <f>BD190*VLOOKUP('Données projet'!$B$11,Paramètres!$A$1:$I$89,3,0)*VLOOKUP('Données projet'!$B$11,Paramètres!$A$1:$I$89,5,0)</f>
        <v>-8.7434273154940449E-13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428.8489304403459</v>
      </c>
      <c r="BJ190" s="62">
        <f t="shared" si="146"/>
        <v>247.01165577562966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-1.7053025658242404E-13</v>
      </c>
      <c r="BZ190" s="14">
        <f>BY190*VLOOKUP('Données projet'!$B$12,Paramètres!$A$1:$I$89,3,0)*VLOOKUP('Données projet'!$B$12,Paramètres!$A$1:$I$89,5,0)</f>
        <v>-1.250327841262333E-13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290.85271051443431</v>
      </c>
      <c r="CE190" s="62">
        <f t="shared" si="148"/>
        <v>318.66958823451142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1.1368683772161603E-13</v>
      </c>
      <c r="CU190" s="18">
        <f>CT190*VLOOKUP('Données projet'!$B$13,Paramètres!$A$1:$I$89,3,0)*VLOOKUP('Données projet'!$B$13,Paramètres!$A$1:$I$89,5,0)</f>
        <v>8.8675733422860506E-14</v>
      </c>
      <c r="CV190" s="14">
        <f t="shared" si="173"/>
        <v>1.3509285393066301E-12</v>
      </c>
      <c r="CW190" s="22">
        <f t="shared" si="174"/>
        <v>2.5073107750038623E-12</v>
      </c>
      <c r="CX190" s="62">
        <f t="shared" si="122"/>
        <v>293.33333333333582</v>
      </c>
      <c r="CY190" s="62">
        <f ca="1">AVERAGE(OFFSET($CX$3,0,0,'Données projet'!$E$13+1,1))-AVERAGE(OFFSET($H$3,0,0,'Données projet'!$E$13+1,1))</f>
        <v>292.57482726862594</v>
      </c>
      <c r="CZ190" s="62">
        <f t="shared" si="150"/>
        <v>283.48738729114024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-1.7053025658242404E-13</v>
      </c>
      <c r="DP190" s="18">
        <f>DO190*VLOOKUP('Données projet'!$B$14,Paramètres!$A$1:$I$89,3,0)*VLOOKUP('Données projet'!$B$14,Paramètres!$A$1:$I$89,5,0)</f>
        <v>-1.3567387213697657E-13</v>
      </c>
      <c r="DQ190" s="14" t="e">
        <f t="shared" si="176"/>
        <v>#NUM!</v>
      </c>
      <c r="DR190" s="22" t="e">
        <f t="shared" si="177"/>
        <v>#NUM!</v>
      </c>
      <c r="DS190" s="62" t="e">
        <f t="shared" si="125"/>
        <v>#NUM!</v>
      </c>
      <c r="DT190" s="62">
        <f ca="1">AVERAGE(OFFSET($DS$3,0,0,'Données projet'!$E$14+1,1))-AVERAGE(OFFSET($H$3,0,0,'Données projet'!$E$14+1,1))</f>
        <v>312.53381881960331</v>
      </c>
      <c r="DU190" s="62">
        <f t="shared" si="152"/>
        <v>342.06887933351783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1.1368683772161603E-13</v>
      </c>
      <c r="EK190" s="18">
        <f>EJ190*VLOOKUP('Données projet'!$B$15,Paramètres!$A$1:$I$89,3,0)*VLOOKUP('Données projet'!$B$15,Paramètres!$A$1:$I$89,5,0)</f>
        <v>1.0818439477588981E-13</v>
      </c>
      <c r="EL190" s="14">
        <f t="shared" si="179"/>
        <v>1.6104228458716316E-12</v>
      </c>
      <c r="EM190" s="22">
        <f t="shared" si="180"/>
        <v>2.9932409441277661E-12</v>
      </c>
      <c r="EN190" s="62">
        <f t="shared" si="128"/>
        <v>293.33333333333633</v>
      </c>
      <c r="EO190" s="62">
        <f ca="1">AVERAGE(OFFSET($EN$3,0,0,'Données projet'!$E$15+1,1))-AVERAGE(OFFSET($H$3,0,0,'Données projet'!$E$15+1,1))</f>
        <v>363.37916970915211</v>
      </c>
      <c r="EP190" s="62">
        <f t="shared" si="154"/>
        <v>281.52963027844595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-6.2527760746888816E-13</v>
      </c>
      <c r="FF190" s="18">
        <f>FE190*VLOOKUP('Données projet'!$B$16,Paramètres!$A$1:$I$89,3,0)*VLOOKUP('Données projet'!$B$16,Paramètres!$A$1:$I$89,5,0)</f>
        <v>-2.9262992029543964E-13</v>
      </c>
      <c r="FG190" s="14" t="e">
        <f t="shared" si="182"/>
        <v>#NUM!</v>
      </c>
      <c r="FH190" s="22" t="e">
        <f t="shared" si="183"/>
        <v>#NUM!</v>
      </c>
      <c r="FI190" s="62" t="e">
        <f t="shared" si="131"/>
        <v>#NUM!</v>
      </c>
      <c r="FJ190" s="62">
        <f ca="1">AVERAGE(OFFSET($FI$3,0,0,'Données projet'!$E$16+1,1))-AVERAGE(OFFSET($H$3,0,0,'Données projet'!$E$16+1,1))</f>
        <v>245.47494516762282</v>
      </c>
      <c r="FK190" s="62">
        <f t="shared" si="156"/>
        <v>145.54897745089966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-9.6633812063373625E-13</v>
      </c>
      <c r="GA190" s="18">
        <f>FZ190*VLOOKUP('Données projet'!$B$17,Paramètres!$A$1:$I$89,3,0)*VLOOKUP('Données projet'!$B$17,Paramètres!$A$1:$I$89,5,0)</f>
        <v>-9.3464223027694966E-13</v>
      </c>
      <c r="GB190" s="14" t="e">
        <f t="shared" si="185"/>
        <v>#NUM!</v>
      </c>
      <c r="GC190" s="22" t="e">
        <f t="shared" si="186"/>
        <v>#NUM!</v>
      </c>
      <c r="GD190" s="62" t="e">
        <f t="shared" si="134"/>
        <v>#NUM!</v>
      </c>
      <c r="GE190" s="62">
        <f ca="1">AVERAGE(OFFSET($GD$3,0,0,'Données projet'!$E$17+1,1))-AVERAGE(OFFSET($H$3,0,0,'Données projet'!$E$17+1,1))</f>
        <v>455.50822833641354</v>
      </c>
      <c r="GF190" s="62">
        <f t="shared" si="158"/>
        <v>261.14722581688039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1.7053025658242404E-13</v>
      </c>
      <c r="GV190" s="18">
        <f>GU190*VLOOKUP('Données projet'!$B$18,Paramètres!$A$1:$I$89,3,0)*VLOOKUP('Données projet'!$B$18,Paramètres!$A$1:$I$89,5,0)</f>
        <v>1.1439169611549005E-13</v>
      </c>
      <c r="GW190" s="14">
        <f t="shared" si="188"/>
        <v>1.6918016515029816E-12</v>
      </c>
      <c r="GX190" s="22">
        <f t="shared" si="189"/>
        <v>3.1457867471021712E-12</v>
      </c>
      <c r="GY190" s="62">
        <f t="shared" si="137"/>
        <v>293.33333333333644</v>
      </c>
      <c r="GZ190" s="62">
        <f ca="1">AVERAGE(OFFSET($GY$3,0,0,'Données projet'!$E$18+1,1))-AVERAGE(OFFSET($H$3,0,0,'Données projet'!$E$18+1,1))</f>
        <v>312.06797204903796</v>
      </c>
      <c r="HA190" s="62">
        <f t="shared" si="160"/>
        <v>258.20189001775151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projet'!$B$18,Paramètres!$A$1:$I$89,3,0)*0.475*44/12</f>
        <v>0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190"/>
        <v>0</v>
      </c>
    </row>
    <row r="191" spans="1:218" x14ac:dyDescent="0.25">
      <c r="A191" s="11">
        <f t="shared" si="161"/>
        <v>188</v>
      </c>
      <c r="B191" s="76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9">
        <f t="shared" si="110"/>
        <v>256.66666666666669</v>
      </c>
      <c r="I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2.2737367544323206E-13</v>
      </c>
      <c r="O191" s="14">
        <f>N191*VLOOKUP('Données projet'!$B$9,Paramètres!$A$1:$I$89,3,0)*VLOOKUP('Données projet'!$B$9,Paramètres!$A$1:$I$89,5,0)</f>
        <v>1.2710188457276673E-13</v>
      </c>
      <c r="P191" s="14">
        <f t="shared" si="141"/>
        <v>1.856866851063998E-12</v>
      </c>
      <c r="Q191" s="22">
        <f t="shared" si="162"/>
        <v>3.4554122145673649E-12</v>
      </c>
      <c r="R191" s="62">
        <f t="shared" si="109"/>
        <v>293.33333333333678</v>
      </c>
      <c r="S191" s="62">
        <f ca="1">AVERAGE(OFFSET($R$3,0,0,'Données projet'!$E$9+1,1))-AVERAGE(OFFSET($H$3,0,0,'Données projet'!$E$9+1,1))</f>
        <v>323.98185264074681</v>
      </c>
      <c r="T191" s="62">
        <f t="shared" si="142"/>
        <v>301.22207291854005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0.19526544768210444</v>
      </c>
      <c r="AA191" s="23">
        <f>EXP(-LN(2)/25)*AA190+(1-EXP(-LN(2)/25))/(LN(2)/25)*Calculateur!V191*Calculateur!X191*VLOOKUP('Données projet'!$B$9,Paramètres!$A$1:$I$89,3,0)*0.475*44/12</f>
        <v>0.10322911428009836</v>
      </c>
      <c r="AB191" s="23">
        <f>EXP(-LN(2)/2)*AB190+(1-EXP(-LN(2)/2))/(LN(2)/2)*V191*Y191*VLOOKUP('Données projet'!$B$9,Paramètres!$A$1:$I$89,3,0)*0.475*44/12</f>
        <v>1.0071432143882308E-23</v>
      </c>
      <c r="AC191" s="24">
        <f t="shared" si="163"/>
        <v>0.29849456196220281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-2.8421709430404007E-13</v>
      </c>
      <c r="AJ191" s="14">
        <f>AI191*VLOOKUP('Données projet'!$B$10,Paramètres!$A$1:$I$89,3,0)*VLOOKUP('Données projet'!$B$10,Paramètres!$A$1:$I$89,5,0)</f>
        <v>-1.69961822393816E-13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289.12367833861299</v>
      </c>
      <c r="AO191" s="62">
        <f t="shared" si="144"/>
        <v>229.06617320689003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6.8603631599949472E-24</v>
      </c>
      <c r="AX191" s="23">
        <f t="shared" si="166"/>
        <v>6.8603631599949472E-24</v>
      </c>
      <c r="AY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-9.6633812063373625E-13</v>
      </c>
      <c r="BE191" s="14">
        <f>BD191*VLOOKUP('Données projet'!$B$11,Paramètres!$A$1:$I$89,3,0)*VLOOKUP('Données projet'!$B$11,Paramètres!$A$1:$I$89,5,0)</f>
        <v>-8.7434273154940449E-13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428.8489304403459</v>
      </c>
      <c r="BJ191" s="62">
        <f t="shared" si="146"/>
        <v>247.01165577562966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-1.7053025658242404E-13</v>
      </c>
      <c r="BZ191" s="14">
        <f>BY191*VLOOKUP('Données projet'!$B$12,Paramètres!$A$1:$I$89,3,0)*VLOOKUP('Données projet'!$B$12,Paramètres!$A$1:$I$89,5,0)</f>
        <v>-1.250327841262333E-13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290.85271051443431</v>
      </c>
      <c r="CE191" s="62">
        <f t="shared" si="148"/>
        <v>318.66958823451142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1.1368683772161603E-13</v>
      </c>
      <c r="CU191" s="18">
        <f>CT191*VLOOKUP('Données projet'!$B$13,Paramètres!$A$1:$I$89,3,0)*VLOOKUP('Données projet'!$B$13,Paramètres!$A$1:$I$89,5,0)</f>
        <v>8.8675733422860506E-14</v>
      </c>
      <c r="CV191" s="14">
        <f t="shared" si="173"/>
        <v>1.3509285393066301E-12</v>
      </c>
      <c r="CW191" s="22">
        <f t="shared" si="174"/>
        <v>2.5073107750038623E-12</v>
      </c>
      <c r="CX191" s="62">
        <f t="shared" si="122"/>
        <v>293.33333333333582</v>
      </c>
      <c r="CY191" s="62">
        <f ca="1">AVERAGE(OFFSET($CX$3,0,0,'Données projet'!$E$13+1,1))-AVERAGE(OFFSET($H$3,0,0,'Données projet'!$E$13+1,1))</f>
        <v>292.57482726862594</v>
      </c>
      <c r="CZ191" s="62">
        <f t="shared" si="150"/>
        <v>283.48738729114024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-1.7053025658242404E-13</v>
      </c>
      <c r="DP191" s="18">
        <f>DO191*VLOOKUP('Données projet'!$B$14,Paramètres!$A$1:$I$89,3,0)*VLOOKUP('Données projet'!$B$14,Paramètres!$A$1:$I$89,5,0)</f>
        <v>-1.3567387213697657E-13</v>
      </c>
      <c r="DQ191" s="14" t="e">
        <f t="shared" si="176"/>
        <v>#NUM!</v>
      </c>
      <c r="DR191" s="22" t="e">
        <f t="shared" si="177"/>
        <v>#NUM!</v>
      </c>
      <c r="DS191" s="62" t="e">
        <f t="shared" si="125"/>
        <v>#NUM!</v>
      </c>
      <c r="DT191" s="62">
        <f ca="1">AVERAGE(OFFSET($DS$3,0,0,'Données projet'!$E$14+1,1))-AVERAGE(OFFSET($H$3,0,0,'Données projet'!$E$14+1,1))</f>
        <v>312.53381881960331</v>
      </c>
      <c r="DU191" s="62">
        <f t="shared" si="152"/>
        <v>342.06887933351783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1.1368683772161603E-13</v>
      </c>
      <c r="EK191" s="18">
        <f>EJ191*VLOOKUP('Données projet'!$B$15,Paramètres!$A$1:$I$89,3,0)*VLOOKUP('Données projet'!$B$15,Paramètres!$A$1:$I$89,5,0)</f>
        <v>1.0818439477588981E-13</v>
      </c>
      <c r="EL191" s="14">
        <f t="shared" si="179"/>
        <v>1.6104228458716316E-12</v>
      </c>
      <c r="EM191" s="22">
        <f t="shared" si="180"/>
        <v>2.9932409441277661E-12</v>
      </c>
      <c r="EN191" s="62">
        <f t="shared" si="128"/>
        <v>293.33333333333633</v>
      </c>
      <c r="EO191" s="62">
        <f ca="1">AVERAGE(OFFSET($EN$3,0,0,'Données projet'!$E$15+1,1))-AVERAGE(OFFSET($H$3,0,0,'Données projet'!$E$15+1,1))</f>
        <v>363.37916970915211</v>
      </c>
      <c r="EP191" s="62">
        <f t="shared" si="154"/>
        <v>281.52963027844595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-6.2527760746888816E-13</v>
      </c>
      <c r="FF191" s="18">
        <f>FE191*VLOOKUP('Données projet'!$B$16,Paramètres!$A$1:$I$89,3,0)*VLOOKUP('Données projet'!$B$16,Paramètres!$A$1:$I$89,5,0)</f>
        <v>-2.9262992029543964E-13</v>
      </c>
      <c r="FG191" s="14" t="e">
        <f t="shared" si="182"/>
        <v>#NUM!</v>
      </c>
      <c r="FH191" s="22" t="e">
        <f t="shared" si="183"/>
        <v>#NUM!</v>
      </c>
      <c r="FI191" s="62" t="e">
        <f t="shared" si="131"/>
        <v>#NUM!</v>
      </c>
      <c r="FJ191" s="62">
        <f ca="1">AVERAGE(OFFSET($FI$3,0,0,'Données projet'!$E$16+1,1))-AVERAGE(OFFSET($H$3,0,0,'Données projet'!$E$16+1,1))</f>
        <v>245.47494516762282</v>
      </c>
      <c r="FK191" s="62">
        <f t="shared" si="156"/>
        <v>145.54897745089966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-9.6633812063373625E-13</v>
      </c>
      <c r="GA191" s="18">
        <f>FZ191*VLOOKUP('Données projet'!$B$17,Paramètres!$A$1:$I$89,3,0)*VLOOKUP('Données projet'!$B$17,Paramètres!$A$1:$I$89,5,0)</f>
        <v>-9.3464223027694966E-13</v>
      </c>
      <c r="GB191" s="14" t="e">
        <f t="shared" si="185"/>
        <v>#NUM!</v>
      </c>
      <c r="GC191" s="22" t="e">
        <f t="shared" si="186"/>
        <v>#NUM!</v>
      </c>
      <c r="GD191" s="62" t="e">
        <f t="shared" si="134"/>
        <v>#NUM!</v>
      </c>
      <c r="GE191" s="62">
        <f ca="1">AVERAGE(OFFSET($GD$3,0,0,'Données projet'!$E$17+1,1))-AVERAGE(OFFSET($H$3,0,0,'Données projet'!$E$17+1,1))</f>
        <v>455.50822833641354</v>
      </c>
      <c r="GF191" s="62">
        <f t="shared" si="158"/>
        <v>261.14722581688039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1.7053025658242404E-13</v>
      </c>
      <c r="GV191" s="18">
        <f>GU191*VLOOKUP('Données projet'!$B$18,Paramètres!$A$1:$I$89,3,0)*VLOOKUP('Données projet'!$B$18,Paramètres!$A$1:$I$89,5,0)</f>
        <v>1.1439169611549005E-13</v>
      </c>
      <c r="GW191" s="14">
        <f t="shared" si="188"/>
        <v>1.6918016515029816E-12</v>
      </c>
      <c r="GX191" s="22">
        <f t="shared" si="189"/>
        <v>3.1457867471021712E-12</v>
      </c>
      <c r="GY191" s="62">
        <f t="shared" si="137"/>
        <v>293.33333333333644</v>
      </c>
      <c r="GZ191" s="62">
        <f ca="1">AVERAGE(OFFSET($GY$3,0,0,'Données projet'!$E$18+1,1))-AVERAGE(OFFSET($H$3,0,0,'Données projet'!$E$18+1,1))</f>
        <v>312.06797204903796</v>
      </c>
      <c r="HA191" s="62">
        <f t="shared" si="160"/>
        <v>258.20189001775151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projet'!$B$18,Paramètres!$A$1:$I$89,3,0)*0.475*44/12</f>
        <v>0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190"/>
        <v>0</v>
      </c>
    </row>
    <row r="192" spans="1:218" x14ac:dyDescent="0.25">
      <c r="A192" s="11">
        <f t="shared" si="161"/>
        <v>189</v>
      </c>
      <c r="B192" s="76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9">
        <f t="shared" si="110"/>
        <v>256.66666666666669</v>
      </c>
      <c r="I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2.2737367544323206E-13</v>
      </c>
      <c r="O192" s="14">
        <f>N192*VLOOKUP('Données projet'!$B$9,Paramètres!$A$1:$I$89,3,0)*VLOOKUP('Données projet'!$B$9,Paramètres!$A$1:$I$89,5,0)</f>
        <v>1.2710188457276673E-13</v>
      </c>
      <c r="P192" s="14">
        <f t="shared" si="141"/>
        <v>1.856866851063998E-12</v>
      </c>
      <c r="Q192" s="22">
        <f t="shared" si="162"/>
        <v>3.4554122145673649E-12</v>
      </c>
      <c r="R192" s="62">
        <f t="shared" si="109"/>
        <v>293.33333333333678</v>
      </c>
      <c r="S192" s="62">
        <f ca="1">AVERAGE(OFFSET($R$3,0,0,'Données projet'!$E$9+1,1))-AVERAGE(OFFSET($H$3,0,0,'Données projet'!$E$9+1,1))</f>
        <v>323.98185264074681</v>
      </c>
      <c r="T192" s="62">
        <f t="shared" si="142"/>
        <v>301.22207291854005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0.19143641135322129</v>
      </c>
      <c r="AA192" s="23">
        <f>EXP(-LN(2)/25)*AA191+(1-EXP(-LN(2)/25))/(LN(2)/25)*Calculateur!V192*Calculateur!X192*VLOOKUP('Données projet'!$B$9,Paramètres!$A$1:$I$89,3,0)*0.475*44/12</f>
        <v>0.10040630872152588</v>
      </c>
      <c r="AB192" s="23">
        <f>EXP(-LN(2)/2)*AB191+(1-EXP(-LN(2)/2))/(LN(2)/2)*V192*Y192*VLOOKUP('Données projet'!$B$9,Paramètres!$A$1:$I$89,3,0)*0.475*44/12</f>
        <v>7.1215779651993484E-24</v>
      </c>
      <c r="AC192" s="24">
        <f t="shared" si="163"/>
        <v>0.29184272007474715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-2.8421709430404007E-13</v>
      </c>
      <c r="AJ192" s="14">
        <f>AI192*VLOOKUP('Données projet'!$B$10,Paramètres!$A$1:$I$89,3,0)*VLOOKUP('Données projet'!$B$10,Paramètres!$A$1:$I$89,5,0)</f>
        <v>-1.69961822393816E-13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289.12367833861299</v>
      </c>
      <c r="AO192" s="62">
        <f t="shared" si="144"/>
        <v>229.06617320689003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4.851009311834799E-24</v>
      </c>
      <c r="AX192" s="23">
        <f t="shared" si="166"/>
        <v>4.851009311834799E-24</v>
      </c>
      <c r="AY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-9.6633812063373625E-13</v>
      </c>
      <c r="BE192" s="14">
        <f>BD192*VLOOKUP('Données projet'!$B$11,Paramètres!$A$1:$I$89,3,0)*VLOOKUP('Données projet'!$B$11,Paramètres!$A$1:$I$89,5,0)</f>
        <v>-8.7434273154940449E-13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428.8489304403459</v>
      </c>
      <c r="BJ192" s="62">
        <f t="shared" si="146"/>
        <v>247.01165577562966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-1.7053025658242404E-13</v>
      </c>
      <c r="BZ192" s="14">
        <f>BY192*VLOOKUP('Données projet'!$B$12,Paramètres!$A$1:$I$89,3,0)*VLOOKUP('Données projet'!$B$12,Paramètres!$A$1:$I$89,5,0)</f>
        <v>-1.250327841262333E-13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290.85271051443431</v>
      </c>
      <c r="CE192" s="62">
        <f t="shared" si="148"/>
        <v>318.66958823451142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1.1368683772161603E-13</v>
      </c>
      <c r="CU192" s="18">
        <f>CT192*VLOOKUP('Données projet'!$B$13,Paramètres!$A$1:$I$89,3,0)*VLOOKUP('Données projet'!$B$13,Paramètres!$A$1:$I$89,5,0)</f>
        <v>8.8675733422860506E-14</v>
      </c>
      <c r="CV192" s="14">
        <f t="shared" si="173"/>
        <v>1.3509285393066301E-12</v>
      </c>
      <c r="CW192" s="22">
        <f t="shared" si="174"/>
        <v>2.5073107750038623E-12</v>
      </c>
      <c r="CX192" s="62">
        <f t="shared" si="122"/>
        <v>293.33333333333582</v>
      </c>
      <c r="CY192" s="62">
        <f ca="1">AVERAGE(OFFSET($CX$3,0,0,'Données projet'!$E$13+1,1))-AVERAGE(OFFSET($H$3,0,0,'Données projet'!$E$13+1,1))</f>
        <v>292.57482726862594</v>
      </c>
      <c r="CZ192" s="62">
        <f t="shared" si="150"/>
        <v>283.48738729114024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-1.7053025658242404E-13</v>
      </c>
      <c r="DP192" s="18">
        <f>DO192*VLOOKUP('Données projet'!$B$14,Paramètres!$A$1:$I$89,3,0)*VLOOKUP('Données projet'!$B$14,Paramètres!$A$1:$I$89,5,0)</f>
        <v>-1.3567387213697657E-13</v>
      </c>
      <c r="DQ192" s="14" t="e">
        <f t="shared" si="176"/>
        <v>#NUM!</v>
      </c>
      <c r="DR192" s="22" t="e">
        <f t="shared" si="177"/>
        <v>#NUM!</v>
      </c>
      <c r="DS192" s="62" t="e">
        <f t="shared" si="125"/>
        <v>#NUM!</v>
      </c>
      <c r="DT192" s="62">
        <f ca="1">AVERAGE(OFFSET($DS$3,0,0,'Données projet'!$E$14+1,1))-AVERAGE(OFFSET($H$3,0,0,'Données projet'!$E$14+1,1))</f>
        <v>312.53381881960331</v>
      </c>
      <c r="DU192" s="62">
        <f t="shared" si="152"/>
        <v>342.06887933351783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1.1368683772161603E-13</v>
      </c>
      <c r="EK192" s="18">
        <f>EJ192*VLOOKUP('Données projet'!$B$15,Paramètres!$A$1:$I$89,3,0)*VLOOKUP('Données projet'!$B$15,Paramètres!$A$1:$I$89,5,0)</f>
        <v>1.0818439477588981E-13</v>
      </c>
      <c r="EL192" s="14">
        <f t="shared" si="179"/>
        <v>1.6104228458716316E-12</v>
      </c>
      <c r="EM192" s="22">
        <f t="shared" si="180"/>
        <v>2.9932409441277661E-12</v>
      </c>
      <c r="EN192" s="62">
        <f t="shared" si="128"/>
        <v>293.33333333333633</v>
      </c>
      <c r="EO192" s="62">
        <f ca="1">AVERAGE(OFFSET($EN$3,0,0,'Données projet'!$E$15+1,1))-AVERAGE(OFFSET($H$3,0,0,'Données projet'!$E$15+1,1))</f>
        <v>363.37916970915211</v>
      </c>
      <c r="EP192" s="62">
        <f t="shared" si="154"/>
        <v>281.52963027844595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-6.2527760746888816E-13</v>
      </c>
      <c r="FF192" s="18">
        <f>FE192*VLOOKUP('Données projet'!$B$16,Paramètres!$A$1:$I$89,3,0)*VLOOKUP('Données projet'!$B$16,Paramètres!$A$1:$I$89,5,0)</f>
        <v>-2.9262992029543964E-13</v>
      </c>
      <c r="FG192" s="14" t="e">
        <f t="shared" si="182"/>
        <v>#NUM!</v>
      </c>
      <c r="FH192" s="22" t="e">
        <f t="shared" si="183"/>
        <v>#NUM!</v>
      </c>
      <c r="FI192" s="62" t="e">
        <f t="shared" si="131"/>
        <v>#NUM!</v>
      </c>
      <c r="FJ192" s="62">
        <f ca="1">AVERAGE(OFFSET($FI$3,0,0,'Données projet'!$E$16+1,1))-AVERAGE(OFFSET($H$3,0,0,'Données projet'!$E$16+1,1))</f>
        <v>245.47494516762282</v>
      </c>
      <c r="FK192" s="62">
        <f t="shared" si="156"/>
        <v>145.54897745089966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-9.6633812063373625E-13</v>
      </c>
      <c r="GA192" s="18">
        <f>FZ192*VLOOKUP('Données projet'!$B$17,Paramètres!$A$1:$I$89,3,0)*VLOOKUP('Données projet'!$B$17,Paramètres!$A$1:$I$89,5,0)</f>
        <v>-9.3464223027694966E-13</v>
      </c>
      <c r="GB192" s="14" t="e">
        <f t="shared" si="185"/>
        <v>#NUM!</v>
      </c>
      <c r="GC192" s="22" t="e">
        <f t="shared" si="186"/>
        <v>#NUM!</v>
      </c>
      <c r="GD192" s="62" t="e">
        <f t="shared" si="134"/>
        <v>#NUM!</v>
      </c>
      <c r="GE192" s="62">
        <f ca="1">AVERAGE(OFFSET($GD$3,0,0,'Données projet'!$E$17+1,1))-AVERAGE(OFFSET($H$3,0,0,'Données projet'!$E$17+1,1))</f>
        <v>455.50822833641354</v>
      </c>
      <c r="GF192" s="62">
        <f t="shared" si="158"/>
        <v>261.14722581688039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1.7053025658242404E-13</v>
      </c>
      <c r="GV192" s="18">
        <f>GU192*VLOOKUP('Données projet'!$B$18,Paramètres!$A$1:$I$89,3,0)*VLOOKUP('Données projet'!$B$18,Paramètres!$A$1:$I$89,5,0)</f>
        <v>1.1439169611549005E-13</v>
      </c>
      <c r="GW192" s="14">
        <f t="shared" si="188"/>
        <v>1.6918016515029816E-12</v>
      </c>
      <c r="GX192" s="22">
        <f t="shared" si="189"/>
        <v>3.1457867471021712E-12</v>
      </c>
      <c r="GY192" s="62">
        <f t="shared" si="137"/>
        <v>293.33333333333644</v>
      </c>
      <c r="GZ192" s="62">
        <f ca="1">AVERAGE(OFFSET($GY$3,0,0,'Données projet'!$E$18+1,1))-AVERAGE(OFFSET($H$3,0,0,'Données projet'!$E$18+1,1))</f>
        <v>312.06797204903796</v>
      </c>
      <c r="HA192" s="62">
        <f t="shared" si="160"/>
        <v>258.20189001775151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projet'!$B$18,Paramètres!$A$1:$I$89,3,0)*0.475*44/12</f>
        <v>0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190"/>
        <v>0</v>
      </c>
    </row>
    <row r="193" spans="1:218" x14ac:dyDescent="0.25">
      <c r="A193" s="11">
        <f t="shared" si="161"/>
        <v>190</v>
      </c>
      <c r="B193" s="76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9">
        <f t="shared" si="110"/>
        <v>256.66666666666669</v>
      </c>
      <c r="I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2.2737367544323206E-13</v>
      </c>
      <c r="O193" s="14">
        <f>N193*VLOOKUP('Données projet'!$B$9,Paramètres!$A$1:$I$89,3,0)*VLOOKUP('Données projet'!$B$9,Paramètres!$A$1:$I$89,5,0)</f>
        <v>1.2710188457276673E-13</v>
      </c>
      <c r="P193" s="14">
        <f t="shared" si="141"/>
        <v>1.856866851063998E-12</v>
      </c>
      <c r="Q193" s="22">
        <f t="shared" si="162"/>
        <v>3.4554122145673649E-12</v>
      </c>
      <c r="R193" s="62">
        <f t="shared" si="109"/>
        <v>293.33333333333678</v>
      </c>
      <c r="S193" s="62">
        <f ca="1">AVERAGE(OFFSET($R$3,0,0,'Données projet'!$E$9+1,1))-AVERAGE(OFFSET($H$3,0,0,'Données projet'!$E$9+1,1))</f>
        <v>323.98185264074681</v>
      </c>
      <c r="T193" s="62">
        <f t="shared" si="142"/>
        <v>301.22207291854005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0.18768246009126599</v>
      </c>
      <c r="AA193" s="23">
        <f>EXP(-LN(2)/25)*AA192+(1-EXP(-LN(2)/25))/(LN(2)/25)*Calculateur!V193*Calculateur!X193*VLOOKUP('Données projet'!$B$9,Paramètres!$A$1:$I$89,3,0)*0.475*44/12</f>
        <v>9.7660692929397455E-2</v>
      </c>
      <c r="AB193" s="23">
        <f>EXP(-LN(2)/2)*AB192+(1-EXP(-LN(2)/2))/(LN(2)/2)*V193*Y193*VLOOKUP('Données projet'!$B$9,Paramètres!$A$1:$I$89,3,0)*0.475*44/12</f>
        <v>5.0357160719411541E-24</v>
      </c>
      <c r="AC193" s="24">
        <f t="shared" si="163"/>
        <v>0.28534315302066343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-2.8421709430404007E-13</v>
      </c>
      <c r="AJ193" s="14">
        <f>AI193*VLOOKUP('Données projet'!$B$10,Paramètres!$A$1:$I$89,3,0)*VLOOKUP('Données projet'!$B$10,Paramètres!$A$1:$I$89,5,0)</f>
        <v>-1.69961822393816E-13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289.12367833861299</v>
      </c>
      <c r="AO193" s="62">
        <f t="shared" si="144"/>
        <v>229.06617320689003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3.4301815799974736E-24</v>
      </c>
      <c r="AX193" s="23">
        <f t="shared" si="166"/>
        <v>3.4301815799974736E-24</v>
      </c>
      <c r="AY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-9.6633812063373625E-13</v>
      </c>
      <c r="BE193" s="14">
        <f>BD193*VLOOKUP('Données projet'!$B$11,Paramètres!$A$1:$I$89,3,0)*VLOOKUP('Données projet'!$B$11,Paramètres!$A$1:$I$89,5,0)</f>
        <v>-8.7434273154940449E-13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428.8489304403459</v>
      </c>
      <c r="BJ193" s="62">
        <f t="shared" si="146"/>
        <v>247.01165577562966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-1.7053025658242404E-13</v>
      </c>
      <c r="BZ193" s="14">
        <f>BY193*VLOOKUP('Données projet'!$B$12,Paramètres!$A$1:$I$89,3,0)*VLOOKUP('Données projet'!$B$12,Paramètres!$A$1:$I$89,5,0)</f>
        <v>-1.250327841262333E-13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290.85271051443431</v>
      </c>
      <c r="CE193" s="62">
        <f t="shared" si="148"/>
        <v>318.66958823451142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1.1368683772161603E-13</v>
      </c>
      <c r="CU193" s="18">
        <f>CT193*VLOOKUP('Données projet'!$B$13,Paramètres!$A$1:$I$89,3,0)*VLOOKUP('Données projet'!$B$13,Paramètres!$A$1:$I$89,5,0)</f>
        <v>8.8675733422860506E-14</v>
      </c>
      <c r="CV193" s="14">
        <f t="shared" si="173"/>
        <v>1.3509285393066301E-12</v>
      </c>
      <c r="CW193" s="22">
        <f t="shared" si="174"/>
        <v>2.5073107750038623E-12</v>
      </c>
      <c r="CX193" s="62">
        <f t="shared" si="122"/>
        <v>293.33333333333582</v>
      </c>
      <c r="CY193" s="62">
        <f ca="1">AVERAGE(OFFSET($CX$3,0,0,'Données projet'!$E$13+1,1))-AVERAGE(OFFSET($H$3,0,0,'Données projet'!$E$13+1,1))</f>
        <v>292.57482726862594</v>
      </c>
      <c r="CZ193" s="62">
        <f t="shared" si="150"/>
        <v>283.48738729114024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-1.7053025658242404E-13</v>
      </c>
      <c r="DP193" s="18">
        <f>DO193*VLOOKUP('Données projet'!$B$14,Paramètres!$A$1:$I$89,3,0)*VLOOKUP('Données projet'!$B$14,Paramètres!$A$1:$I$89,5,0)</f>
        <v>-1.3567387213697657E-13</v>
      </c>
      <c r="DQ193" s="14" t="e">
        <f t="shared" si="176"/>
        <v>#NUM!</v>
      </c>
      <c r="DR193" s="22" t="e">
        <f t="shared" si="177"/>
        <v>#NUM!</v>
      </c>
      <c r="DS193" s="62" t="e">
        <f t="shared" si="125"/>
        <v>#NUM!</v>
      </c>
      <c r="DT193" s="62">
        <f ca="1">AVERAGE(OFFSET($DS$3,0,0,'Données projet'!$E$14+1,1))-AVERAGE(OFFSET($H$3,0,0,'Données projet'!$E$14+1,1))</f>
        <v>312.53381881960331</v>
      </c>
      <c r="DU193" s="62">
        <f t="shared" si="152"/>
        <v>342.06887933351783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1.1368683772161603E-13</v>
      </c>
      <c r="EK193" s="18">
        <f>EJ193*VLOOKUP('Données projet'!$B$15,Paramètres!$A$1:$I$89,3,0)*VLOOKUP('Données projet'!$B$15,Paramètres!$A$1:$I$89,5,0)</f>
        <v>1.0818439477588981E-13</v>
      </c>
      <c r="EL193" s="14">
        <f t="shared" si="179"/>
        <v>1.6104228458716316E-12</v>
      </c>
      <c r="EM193" s="22">
        <f t="shared" si="180"/>
        <v>2.9932409441277661E-12</v>
      </c>
      <c r="EN193" s="62">
        <f t="shared" si="128"/>
        <v>293.33333333333633</v>
      </c>
      <c r="EO193" s="62">
        <f ca="1">AVERAGE(OFFSET($EN$3,0,0,'Données projet'!$E$15+1,1))-AVERAGE(OFFSET($H$3,0,0,'Données projet'!$E$15+1,1))</f>
        <v>363.37916970915211</v>
      </c>
      <c r="EP193" s="62">
        <f t="shared" si="154"/>
        <v>281.52963027844595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-6.2527760746888816E-13</v>
      </c>
      <c r="FF193" s="18">
        <f>FE193*VLOOKUP('Données projet'!$B$16,Paramètres!$A$1:$I$89,3,0)*VLOOKUP('Données projet'!$B$16,Paramètres!$A$1:$I$89,5,0)</f>
        <v>-2.9262992029543964E-13</v>
      </c>
      <c r="FG193" s="14" t="e">
        <f t="shared" si="182"/>
        <v>#NUM!</v>
      </c>
      <c r="FH193" s="22" t="e">
        <f t="shared" si="183"/>
        <v>#NUM!</v>
      </c>
      <c r="FI193" s="62" t="e">
        <f t="shared" si="131"/>
        <v>#NUM!</v>
      </c>
      <c r="FJ193" s="62">
        <f ca="1">AVERAGE(OFFSET($FI$3,0,0,'Données projet'!$E$16+1,1))-AVERAGE(OFFSET($H$3,0,0,'Données projet'!$E$16+1,1))</f>
        <v>245.47494516762282</v>
      </c>
      <c r="FK193" s="62">
        <f t="shared" si="156"/>
        <v>145.54897745089966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-9.6633812063373625E-13</v>
      </c>
      <c r="GA193" s="18">
        <f>FZ193*VLOOKUP('Données projet'!$B$17,Paramètres!$A$1:$I$89,3,0)*VLOOKUP('Données projet'!$B$17,Paramètres!$A$1:$I$89,5,0)</f>
        <v>-9.3464223027694966E-13</v>
      </c>
      <c r="GB193" s="14" t="e">
        <f t="shared" si="185"/>
        <v>#NUM!</v>
      </c>
      <c r="GC193" s="22" t="e">
        <f t="shared" si="186"/>
        <v>#NUM!</v>
      </c>
      <c r="GD193" s="62" t="e">
        <f t="shared" si="134"/>
        <v>#NUM!</v>
      </c>
      <c r="GE193" s="62">
        <f ca="1">AVERAGE(OFFSET($GD$3,0,0,'Données projet'!$E$17+1,1))-AVERAGE(OFFSET($H$3,0,0,'Données projet'!$E$17+1,1))</f>
        <v>455.50822833641354</v>
      </c>
      <c r="GF193" s="62">
        <f t="shared" si="158"/>
        <v>261.14722581688039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1.7053025658242404E-13</v>
      </c>
      <c r="GV193" s="18">
        <f>GU193*VLOOKUP('Données projet'!$B$18,Paramètres!$A$1:$I$89,3,0)*VLOOKUP('Données projet'!$B$18,Paramètres!$A$1:$I$89,5,0)</f>
        <v>1.1439169611549005E-13</v>
      </c>
      <c r="GW193" s="14">
        <f t="shared" si="188"/>
        <v>1.6918016515029816E-12</v>
      </c>
      <c r="GX193" s="22">
        <f t="shared" si="189"/>
        <v>3.1457867471021712E-12</v>
      </c>
      <c r="GY193" s="62">
        <f t="shared" si="137"/>
        <v>293.33333333333644</v>
      </c>
      <c r="GZ193" s="62">
        <f ca="1">AVERAGE(OFFSET($GY$3,0,0,'Données projet'!$E$18+1,1))-AVERAGE(OFFSET($H$3,0,0,'Données projet'!$E$18+1,1))</f>
        <v>312.06797204903796</v>
      </c>
      <c r="HA193" s="62">
        <f t="shared" si="160"/>
        <v>258.20189001775151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projet'!$B$18,Paramètres!$A$1:$I$89,3,0)*0.475*44/12</f>
        <v>0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190"/>
        <v>0</v>
      </c>
    </row>
    <row r="194" spans="1:218" x14ac:dyDescent="0.25">
      <c r="A194" s="11">
        <f t="shared" si="161"/>
        <v>191</v>
      </c>
      <c r="B194" s="76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9">
        <f t="shared" si="110"/>
        <v>256.66666666666669</v>
      </c>
      <c r="I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2.2737367544323206E-13</v>
      </c>
      <c r="O194" s="14">
        <f>N194*VLOOKUP('Données projet'!$B$9,Paramètres!$A$1:$I$89,3,0)*VLOOKUP('Données projet'!$B$9,Paramètres!$A$1:$I$89,5,0)</f>
        <v>1.2710188457276673E-13</v>
      </c>
      <c r="P194" s="14">
        <f t="shared" si="141"/>
        <v>1.856866851063998E-12</v>
      </c>
      <c r="Q194" s="22">
        <f t="shared" si="162"/>
        <v>3.4554122145673649E-12</v>
      </c>
      <c r="R194" s="62">
        <f t="shared" si="109"/>
        <v>293.33333333333678</v>
      </c>
      <c r="S194" s="62">
        <f ca="1">AVERAGE(OFFSET($R$3,0,0,'Données projet'!$E$9+1,1))-AVERAGE(OFFSET($H$3,0,0,'Données projet'!$E$9+1,1))</f>
        <v>323.98185264074681</v>
      </c>
      <c r="T194" s="62">
        <f t="shared" si="142"/>
        <v>301.22207291854005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0.18400212152387346</v>
      </c>
      <c r="AA194" s="23">
        <f>EXP(-LN(2)/25)*AA193+(1-EXP(-LN(2)/25))/(LN(2)/25)*Calculateur!V194*Calculateur!X194*VLOOKUP('Données projet'!$B$9,Paramètres!$A$1:$I$89,3,0)*0.475*44/12</f>
        <v>9.4990156145490445E-2</v>
      </c>
      <c r="AB194" s="23">
        <f>EXP(-LN(2)/2)*AB193+(1-EXP(-LN(2)/2))/(LN(2)/2)*V194*Y194*VLOOKUP('Données projet'!$B$9,Paramètres!$A$1:$I$89,3,0)*0.475*44/12</f>
        <v>3.5607889825996742E-24</v>
      </c>
      <c r="AC194" s="24">
        <f t="shared" si="163"/>
        <v>0.27899227766936391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-2.8421709430404007E-13</v>
      </c>
      <c r="AJ194" s="14">
        <f>AI194*VLOOKUP('Données projet'!$B$10,Paramètres!$A$1:$I$89,3,0)*VLOOKUP('Données projet'!$B$10,Paramètres!$A$1:$I$89,5,0)</f>
        <v>-1.69961822393816E-13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289.12367833861299</v>
      </c>
      <c r="AO194" s="62">
        <f t="shared" si="144"/>
        <v>229.06617320689003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2.4255046559173995E-24</v>
      </c>
      <c r="AX194" s="23">
        <f t="shared" si="166"/>
        <v>2.4255046559173995E-24</v>
      </c>
      <c r="AY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-9.6633812063373625E-13</v>
      </c>
      <c r="BE194" s="14">
        <f>BD194*VLOOKUP('Données projet'!$B$11,Paramètres!$A$1:$I$89,3,0)*VLOOKUP('Données projet'!$B$11,Paramètres!$A$1:$I$89,5,0)</f>
        <v>-8.7434273154940449E-13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428.8489304403459</v>
      </c>
      <c r="BJ194" s="62">
        <f t="shared" si="146"/>
        <v>247.01165577562966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-1.7053025658242404E-13</v>
      </c>
      <c r="BZ194" s="14">
        <f>BY194*VLOOKUP('Données projet'!$B$12,Paramètres!$A$1:$I$89,3,0)*VLOOKUP('Données projet'!$B$12,Paramètres!$A$1:$I$89,5,0)</f>
        <v>-1.250327841262333E-13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290.85271051443431</v>
      </c>
      <c r="CE194" s="62">
        <f t="shared" si="148"/>
        <v>318.66958823451142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1.1368683772161603E-13</v>
      </c>
      <c r="CU194" s="18">
        <f>CT194*VLOOKUP('Données projet'!$B$13,Paramètres!$A$1:$I$89,3,0)*VLOOKUP('Données projet'!$B$13,Paramètres!$A$1:$I$89,5,0)</f>
        <v>8.8675733422860506E-14</v>
      </c>
      <c r="CV194" s="14">
        <f t="shared" si="173"/>
        <v>1.3509285393066301E-12</v>
      </c>
      <c r="CW194" s="22">
        <f t="shared" si="174"/>
        <v>2.5073107750038623E-12</v>
      </c>
      <c r="CX194" s="62">
        <f t="shared" si="122"/>
        <v>293.33333333333582</v>
      </c>
      <c r="CY194" s="62">
        <f ca="1">AVERAGE(OFFSET($CX$3,0,0,'Données projet'!$E$13+1,1))-AVERAGE(OFFSET($H$3,0,0,'Données projet'!$E$13+1,1))</f>
        <v>292.57482726862594</v>
      </c>
      <c r="CZ194" s="62">
        <f t="shared" si="150"/>
        <v>283.48738729114024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-1.7053025658242404E-13</v>
      </c>
      <c r="DP194" s="18">
        <f>DO194*VLOOKUP('Données projet'!$B$14,Paramètres!$A$1:$I$89,3,0)*VLOOKUP('Données projet'!$B$14,Paramètres!$A$1:$I$89,5,0)</f>
        <v>-1.3567387213697657E-13</v>
      </c>
      <c r="DQ194" s="14" t="e">
        <f t="shared" si="176"/>
        <v>#NUM!</v>
      </c>
      <c r="DR194" s="22" t="e">
        <f t="shared" si="177"/>
        <v>#NUM!</v>
      </c>
      <c r="DS194" s="62" t="e">
        <f t="shared" si="125"/>
        <v>#NUM!</v>
      </c>
      <c r="DT194" s="62">
        <f ca="1">AVERAGE(OFFSET($DS$3,0,0,'Données projet'!$E$14+1,1))-AVERAGE(OFFSET($H$3,0,0,'Données projet'!$E$14+1,1))</f>
        <v>312.53381881960331</v>
      </c>
      <c r="DU194" s="62">
        <f t="shared" si="152"/>
        <v>342.06887933351783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1.1368683772161603E-13</v>
      </c>
      <c r="EK194" s="18">
        <f>EJ194*VLOOKUP('Données projet'!$B$15,Paramètres!$A$1:$I$89,3,0)*VLOOKUP('Données projet'!$B$15,Paramètres!$A$1:$I$89,5,0)</f>
        <v>1.0818439477588981E-13</v>
      </c>
      <c r="EL194" s="14">
        <f t="shared" si="179"/>
        <v>1.6104228458716316E-12</v>
      </c>
      <c r="EM194" s="22">
        <f t="shared" si="180"/>
        <v>2.9932409441277661E-12</v>
      </c>
      <c r="EN194" s="62">
        <f t="shared" si="128"/>
        <v>293.33333333333633</v>
      </c>
      <c r="EO194" s="62">
        <f ca="1">AVERAGE(OFFSET($EN$3,0,0,'Données projet'!$E$15+1,1))-AVERAGE(OFFSET($H$3,0,0,'Données projet'!$E$15+1,1))</f>
        <v>363.37916970915211</v>
      </c>
      <c r="EP194" s="62">
        <f t="shared" si="154"/>
        <v>281.52963027844595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-6.2527760746888816E-13</v>
      </c>
      <c r="FF194" s="18">
        <f>FE194*VLOOKUP('Données projet'!$B$16,Paramètres!$A$1:$I$89,3,0)*VLOOKUP('Données projet'!$B$16,Paramètres!$A$1:$I$89,5,0)</f>
        <v>-2.9262992029543964E-13</v>
      </c>
      <c r="FG194" s="14" t="e">
        <f t="shared" si="182"/>
        <v>#NUM!</v>
      </c>
      <c r="FH194" s="22" t="e">
        <f t="shared" si="183"/>
        <v>#NUM!</v>
      </c>
      <c r="FI194" s="62" t="e">
        <f t="shared" si="131"/>
        <v>#NUM!</v>
      </c>
      <c r="FJ194" s="62">
        <f ca="1">AVERAGE(OFFSET($FI$3,0,0,'Données projet'!$E$16+1,1))-AVERAGE(OFFSET($H$3,0,0,'Données projet'!$E$16+1,1))</f>
        <v>245.47494516762282</v>
      </c>
      <c r="FK194" s="62">
        <f t="shared" si="156"/>
        <v>145.54897745089966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-9.6633812063373625E-13</v>
      </c>
      <c r="GA194" s="18">
        <f>FZ194*VLOOKUP('Données projet'!$B$17,Paramètres!$A$1:$I$89,3,0)*VLOOKUP('Données projet'!$B$17,Paramètres!$A$1:$I$89,5,0)</f>
        <v>-9.3464223027694966E-13</v>
      </c>
      <c r="GB194" s="14" t="e">
        <f t="shared" si="185"/>
        <v>#NUM!</v>
      </c>
      <c r="GC194" s="22" t="e">
        <f t="shared" si="186"/>
        <v>#NUM!</v>
      </c>
      <c r="GD194" s="62" t="e">
        <f t="shared" si="134"/>
        <v>#NUM!</v>
      </c>
      <c r="GE194" s="62">
        <f ca="1">AVERAGE(OFFSET($GD$3,0,0,'Données projet'!$E$17+1,1))-AVERAGE(OFFSET($H$3,0,0,'Données projet'!$E$17+1,1))</f>
        <v>455.50822833641354</v>
      </c>
      <c r="GF194" s="62">
        <f t="shared" si="158"/>
        <v>261.14722581688039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1.7053025658242404E-13</v>
      </c>
      <c r="GV194" s="18">
        <f>GU194*VLOOKUP('Données projet'!$B$18,Paramètres!$A$1:$I$89,3,0)*VLOOKUP('Données projet'!$B$18,Paramètres!$A$1:$I$89,5,0)</f>
        <v>1.1439169611549005E-13</v>
      </c>
      <c r="GW194" s="14">
        <f t="shared" si="188"/>
        <v>1.6918016515029816E-12</v>
      </c>
      <c r="GX194" s="22">
        <f t="shared" si="189"/>
        <v>3.1457867471021712E-12</v>
      </c>
      <c r="GY194" s="62">
        <f t="shared" si="137"/>
        <v>293.33333333333644</v>
      </c>
      <c r="GZ194" s="62">
        <f ca="1">AVERAGE(OFFSET($GY$3,0,0,'Données projet'!$E$18+1,1))-AVERAGE(OFFSET($H$3,0,0,'Données projet'!$E$18+1,1))</f>
        <v>312.06797204903796</v>
      </c>
      <c r="HA194" s="62">
        <f t="shared" si="160"/>
        <v>258.20189001775151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projet'!$B$18,Paramètres!$A$1:$I$89,3,0)*0.475*44/12</f>
        <v>0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190"/>
        <v>0</v>
      </c>
    </row>
    <row r="195" spans="1:218" x14ac:dyDescent="0.25">
      <c r="A195" s="11">
        <f t="shared" si="161"/>
        <v>192</v>
      </c>
      <c r="B195" s="76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9">
        <f t="shared" si="110"/>
        <v>256.66666666666669</v>
      </c>
      <c r="I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2.2737367544323206E-13</v>
      </c>
      <c r="O195" s="14">
        <f>N195*VLOOKUP('Données projet'!$B$9,Paramètres!$A$1:$I$89,3,0)*VLOOKUP('Données projet'!$B$9,Paramètres!$A$1:$I$89,5,0)</f>
        <v>1.2710188457276673E-13</v>
      </c>
      <c r="P195" s="14">
        <f t="shared" si="141"/>
        <v>1.856866851063998E-12</v>
      </c>
      <c r="Q195" s="22">
        <f t="shared" si="162"/>
        <v>3.4554122145673649E-12</v>
      </c>
      <c r="R195" s="62">
        <f t="shared" ref="R195:R203" si="191">Q195+(I195+J195)*44/12</f>
        <v>293.33333333333678</v>
      </c>
      <c r="S195" s="62">
        <f ca="1">AVERAGE(OFFSET($R$3,0,0,'Données projet'!$E$9+1,1))-AVERAGE(OFFSET($H$3,0,0,'Données projet'!$E$9+1,1))</f>
        <v>323.98185264074681</v>
      </c>
      <c r="T195" s="62">
        <f t="shared" si="142"/>
        <v>301.22207291854005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0.18039395215100262</v>
      </c>
      <c r="AA195" s="23">
        <f>EXP(-LN(2)/25)*AA194+(1-EXP(-LN(2)/25))/(LN(2)/25)*Calculateur!V195*Calculateur!X195*VLOOKUP('Données projet'!$B$9,Paramètres!$A$1:$I$89,3,0)*0.475*44/12</f>
        <v>9.2392645330376805E-2</v>
      </c>
      <c r="AB195" s="23">
        <f>EXP(-LN(2)/2)*AB194+(1-EXP(-LN(2)/2))/(LN(2)/2)*V195*Y195*VLOOKUP('Données projet'!$B$9,Paramètres!$A$1:$I$89,3,0)*0.475*44/12</f>
        <v>2.517858035970577E-24</v>
      </c>
      <c r="AC195" s="24">
        <f t="shared" si="163"/>
        <v>0.27278659748137946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-2.8421709430404007E-13</v>
      </c>
      <c r="AJ195" s="14">
        <f>AI195*VLOOKUP('Données projet'!$B$10,Paramètres!$A$1:$I$89,3,0)*VLOOKUP('Données projet'!$B$10,Paramètres!$A$1:$I$89,5,0)</f>
        <v>-1.69961822393816E-13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289.12367833861299</v>
      </c>
      <c r="AO195" s="62">
        <f t="shared" si="144"/>
        <v>229.06617320689003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1.7150907899987368E-24</v>
      </c>
      <c r="AX195" s="23">
        <f t="shared" si="166"/>
        <v>1.7150907899987368E-24</v>
      </c>
      <c r="AY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-9.6633812063373625E-13</v>
      </c>
      <c r="BE195" s="14">
        <f>BD195*VLOOKUP('Données projet'!$B$11,Paramètres!$A$1:$I$89,3,0)*VLOOKUP('Données projet'!$B$11,Paramètres!$A$1:$I$89,5,0)</f>
        <v>-8.7434273154940449E-13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428.8489304403459</v>
      </c>
      <c r="BJ195" s="62">
        <f t="shared" si="146"/>
        <v>247.01165577562966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-1.7053025658242404E-13</v>
      </c>
      <c r="BZ195" s="14">
        <f>BY195*VLOOKUP('Données projet'!$B$12,Paramètres!$A$1:$I$89,3,0)*VLOOKUP('Données projet'!$B$12,Paramètres!$A$1:$I$89,5,0)</f>
        <v>-1.250327841262333E-13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290.85271051443431</v>
      </c>
      <c r="CE195" s="62">
        <f t="shared" si="148"/>
        <v>318.66958823451142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1.1368683772161603E-13</v>
      </c>
      <c r="CU195" s="18">
        <f>CT195*VLOOKUP('Données projet'!$B$13,Paramètres!$A$1:$I$89,3,0)*VLOOKUP('Données projet'!$B$13,Paramètres!$A$1:$I$89,5,0)</f>
        <v>8.8675733422860506E-14</v>
      </c>
      <c r="CV195" s="14">
        <f t="shared" si="173"/>
        <v>1.3509285393066301E-12</v>
      </c>
      <c r="CW195" s="22">
        <f t="shared" si="174"/>
        <v>2.5073107750038623E-12</v>
      </c>
      <c r="CX195" s="62">
        <f t="shared" si="122"/>
        <v>293.33333333333582</v>
      </c>
      <c r="CY195" s="62">
        <f ca="1">AVERAGE(OFFSET($CX$3,0,0,'Données projet'!$E$13+1,1))-AVERAGE(OFFSET($H$3,0,0,'Données projet'!$E$13+1,1))</f>
        <v>292.57482726862594</v>
      </c>
      <c r="CZ195" s="62">
        <f t="shared" si="150"/>
        <v>283.48738729114024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-1.7053025658242404E-13</v>
      </c>
      <c r="DP195" s="18">
        <f>DO195*VLOOKUP('Données projet'!$B$14,Paramètres!$A$1:$I$89,3,0)*VLOOKUP('Données projet'!$B$14,Paramètres!$A$1:$I$89,5,0)</f>
        <v>-1.3567387213697657E-13</v>
      </c>
      <c r="DQ195" s="14" t="e">
        <f t="shared" si="176"/>
        <v>#NUM!</v>
      </c>
      <c r="DR195" s="22" t="e">
        <f t="shared" si="177"/>
        <v>#NUM!</v>
      </c>
      <c r="DS195" s="62" t="e">
        <f t="shared" si="125"/>
        <v>#NUM!</v>
      </c>
      <c r="DT195" s="62">
        <f ca="1">AVERAGE(OFFSET($DS$3,0,0,'Données projet'!$E$14+1,1))-AVERAGE(OFFSET($H$3,0,0,'Données projet'!$E$14+1,1))</f>
        <v>312.53381881960331</v>
      </c>
      <c r="DU195" s="62">
        <f t="shared" si="152"/>
        <v>342.06887933351783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1.1368683772161603E-13</v>
      </c>
      <c r="EK195" s="18">
        <f>EJ195*VLOOKUP('Données projet'!$B$15,Paramètres!$A$1:$I$89,3,0)*VLOOKUP('Données projet'!$B$15,Paramètres!$A$1:$I$89,5,0)</f>
        <v>1.0818439477588981E-13</v>
      </c>
      <c r="EL195" s="14">
        <f t="shared" si="179"/>
        <v>1.6104228458716316E-12</v>
      </c>
      <c r="EM195" s="22">
        <f t="shared" si="180"/>
        <v>2.9932409441277661E-12</v>
      </c>
      <c r="EN195" s="62">
        <f t="shared" si="128"/>
        <v>293.33333333333633</v>
      </c>
      <c r="EO195" s="62">
        <f ca="1">AVERAGE(OFFSET($EN$3,0,0,'Données projet'!$E$15+1,1))-AVERAGE(OFFSET($H$3,0,0,'Données projet'!$E$15+1,1))</f>
        <v>363.37916970915211</v>
      </c>
      <c r="EP195" s="62">
        <f t="shared" si="154"/>
        <v>281.52963027844595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-6.2527760746888816E-13</v>
      </c>
      <c r="FF195" s="18">
        <f>FE195*VLOOKUP('Données projet'!$B$16,Paramètres!$A$1:$I$89,3,0)*VLOOKUP('Données projet'!$B$16,Paramètres!$A$1:$I$89,5,0)</f>
        <v>-2.9262992029543964E-13</v>
      </c>
      <c r="FG195" s="14" t="e">
        <f t="shared" si="182"/>
        <v>#NUM!</v>
      </c>
      <c r="FH195" s="22" t="e">
        <f t="shared" si="183"/>
        <v>#NUM!</v>
      </c>
      <c r="FI195" s="62" t="e">
        <f t="shared" si="131"/>
        <v>#NUM!</v>
      </c>
      <c r="FJ195" s="62">
        <f ca="1">AVERAGE(OFFSET($FI$3,0,0,'Données projet'!$E$16+1,1))-AVERAGE(OFFSET($H$3,0,0,'Données projet'!$E$16+1,1))</f>
        <v>245.47494516762282</v>
      </c>
      <c r="FK195" s="62">
        <f t="shared" si="156"/>
        <v>145.54897745089966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-9.6633812063373625E-13</v>
      </c>
      <c r="GA195" s="18">
        <f>FZ195*VLOOKUP('Données projet'!$B$17,Paramètres!$A$1:$I$89,3,0)*VLOOKUP('Données projet'!$B$17,Paramètres!$A$1:$I$89,5,0)</f>
        <v>-9.3464223027694966E-13</v>
      </c>
      <c r="GB195" s="14" t="e">
        <f t="shared" si="185"/>
        <v>#NUM!</v>
      </c>
      <c r="GC195" s="22" t="e">
        <f t="shared" si="186"/>
        <v>#NUM!</v>
      </c>
      <c r="GD195" s="62" t="e">
        <f t="shared" si="134"/>
        <v>#NUM!</v>
      </c>
      <c r="GE195" s="62">
        <f ca="1">AVERAGE(OFFSET($GD$3,0,0,'Données projet'!$E$17+1,1))-AVERAGE(OFFSET($H$3,0,0,'Données projet'!$E$17+1,1))</f>
        <v>455.50822833641354</v>
      </c>
      <c r="GF195" s="62">
        <f t="shared" si="158"/>
        <v>261.14722581688039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1.7053025658242404E-13</v>
      </c>
      <c r="GV195" s="18">
        <f>GU195*VLOOKUP('Données projet'!$B$18,Paramètres!$A$1:$I$89,3,0)*VLOOKUP('Données projet'!$B$18,Paramètres!$A$1:$I$89,5,0)</f>
        <v>1.1439169611549005E-13</v>
      </c>
      <c r="GW195" s="14">
        <f t="shared" si="188"/>
        <v>1.6918016515029816E-12</v>
      </c>
      <c r="GX195" s="22">
        <f t="shared" si="189"/>
        <v>3.1457867471021712E-12</v>
      </c>
      <c r="GY195" s="62">
        <f t="shared" si="137"/>
        <v>293.33333333333644</v>
      </c>
      <c r="GZ195" s="62">
        <f ca="1">AVERAGE(OFFSET($GY$3,0,0,'Données projet'!$E$18+1,1))-AVERAGE(OFFSET($H$3,0,0,'Données projet'!$E$18+1,1))</f>
        <v>312.06797204903796</v>
      </c>
      <c r="HA195" s="62">
        <f t="shared" si="160"/>
        <v>258.20189001775151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projet'!$B$18,Paramètres!$A$1:$I$89,3,0)*0.475*44/12</f>
        <v>0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190"/>
        <v>0</v>
      </c>
    </row>
    <row r="196" spans="1:218" x14ac:dyDescent="0.25">
      <c r="A196" s="11">
        <f t="shared" si="161"/>
        <v>193</v>
      </c>
      <c r="B196" s="76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9">
        <f t="shared" ref="H196:H203" si="192">(B196+E196+F196)*44/12+(C196+D196)*0.475*44/12</f>
        <v>256.66666666666669</v>
      </c>
      <c r="I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2.2737367544323206E-13</v>
      </c>
      <c r="O196" s="14">
        <f>N196*VLOOKUP('Données projet'!$B$9,Paramètres!$A$1:$I$89,3,0)*VLOOKUP('Données projet'!$B$9,Paramètres!$A$1:$I$89,5,0)</f>
        <v>1.2710188457276673E-13</v>
      </c>
      <c r="P196" s="14">
        <f t="shared" si="141"/>
        <v>1.856866851063998E-12</v>
      </c>
      <c r="Q196" s="22">
        <f t="shared" si="162"/>
        <v>3.4554122145673649E-12</v>
      </c>
      <c r="R196" s="62">
        <f t="shared" si="191"/>
        <v>293.33333333333678</v>
      </c>
      <c r="S196" s="62">
        <f ca="1">AVERAGE(OFFSET($R$3,0,0,'Données projet'!$E$9+1,1))-AVERAGE(OFFSET($H$3,0,0,'Données projet'!$E$9+1,1))</f>
        <v>323.98185264074681</v>
      </c>
      <c r="T196" s="62">
        <f t="shared" si="142"/>
        <v>301.22207291854005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0.17685653677876778</v>
      </c>
      <c r="AA196" s="23">
        <f>EXP(-LN(2)/25)*AA195+(1-EXP(-LN(2)/25))/(LN(2)/25)*Calculateur!V196*Calculateur!X196*VLOOKUP('Données projet'!$B$9,Paramètres!$A$1:$I$89,3,0)*0.475*44/12</f>
        <v>8.9866163585099593E-2</v>
      </c>
      <c r="AB196" s="23">
        <f>EXP(-LN(2)/2)*AB195+(1-EXP(-LN(2)/2))/(LN(2)/2)*V196*Y196*VLOOKUP('Données projet'!$B$9,Paramètres!$A$1:$I$89,3,0)*0.475*44/12</f>
        <v>1.7803944912998371E-24</v>
      </c>
      <c r="AC196" s="24">
        <f t="shared" si="163"/>
        <v>0.26672270036386736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-2.8421709430404007E-13</v>
      </c>
      <c r="AJ196" s="14">
        <f>AI196*VLOOKUP('Données projet'!$B$10,Paramètres!$A$1:$I$89,3,0)*VLOOKUP('Données projet'!$B$10,Paramètres!$A$1:$I$89,5,0)</f>
        <v>-1.69961822393816E-13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289.12367833861299</v>
      </c>
      <c r="AO196" s="62">
        <f t="shared" si="144"/>
        <v>229.06617320689003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1.2127523279586997E-24</v>
      </c>
      <c r="AX196" s="23">
        <f t="shared" si="166"/>
        <v>1.2127523279586997E-24</v>
      </c>
      <c r="AY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-9.6633812063373625E-13</v>
      </c>
      <c r="BE196" s="14">
        <f>BD196*VLOOKUP('Données projet'!$B$11,Paramètres!$A$1:$I$89,3,0)*VLOOKUP('Données projet'!$B$11,Paramètres!$A$1:$I$89,5,0)</f>
        <v>-8.7434273154940449E-13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428.8489304403459</v>
      </c>
      <c r="BJ196" s="62">
        <f t="shared" si="146"/>
        <v>247.01165577562966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-1.7053025658242404E-13</v>
      </c>
      <c r="BZ196" s="14">
        <f>BY196*VLOOKUP('Données projet'!$B$12,Paramètres!$A$1:$I$89,3,0)*VLOOKUP('Données projet'!$B$12,Paramètres!$A$1:$I$89,5,0)</f>
        <v>-1.250327841262333E-13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290.85271051443431</v>
      </c>
      <c r="CE196" s="62">
        <f t="shared" si="148"/>
        <v>318.66958823451142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1.1368683772161603E-13</v>
      </c>
      <c r="CU196" s="18">
        <f>CT196*VLOOKUP('Données projet'!$B$13,Paramètres!$A$1:$I$89,3,0)*VLOOKUP('Données projet'!$B$13,Paramètres!$A$1:$I$89,5,0)</f>
        <v>8.8675733422860506E-14</v>
      </c>
      <c r="CV196" s="14">
        <f t="shared" si="173"/>
        <v>1.3509285393066301E-12</v>
      </c>
      <c r="CW196" s="22">
        <f t="shared" si="174"/>
        <v>2.5073107750038623E-12</v>
      </c>
      <c r="CX196" s="62">
        <f t="shared" ref="CX196:CX203" si="196">CW196+(CO196+CP196)*44/12</f>
        <v>293.33333333333582</v>
      </c>
      <c r="CY196" s="62">
        <f ca="1">AVERAGE(OFFSET($CX$3,0,0,'Données projet'!$E$13+1,1))-AVERAGE(OFFSET($H$3,0,0,'Données projet'!$E$13+1,1))</f>
        <v>292.57482726862594</v>
      </c>
      <c r="CZ196" s="62">
        <f t="shared" si="150"/>
        <v>283.48738729114024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-1.7053025658242404E-13</v>
      </c>
      <c r="DP196" s="18">
        <f>DO196*VLOOKUP('Données projet'!$B$14,Paramètres!$A$1:$I$89,3,0)*VLOOKUP('Données projet'!$B$14,Paramètres!$A$1:$I$89,5,0)</f>
        <v>-1.3567387213697657E-13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197">DR196+(DJ196+DK196)*44/12</f>
        <v>#NUM!</v>
      </c>
      <c r="DT196" s="62">
        <f ca="1">AVERAGE(OFFSET($DS$3,0,0,'Données projet'!$E$14+1,1))-AVERAGE(OFFSET($H$3,0,0,'Données projet'!$E$14+1,1))</f>
        <v>312.53381881960331</v>
      </c>
      <c r="DU196" s="62">
        <f t="shared" si="152"/>
        <v>342.06887933351783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1.1368683772161603E-13</v>
      </c>
      <c r="EK196" s="18">
        <f>EJ196*VLOOKUP('Données projet'!$B$15,Paramètres!$A$1:$I$89,3,0)*VLOOKUP('Données projet'!$B$15,Paramètres!$A$1:$I$89,5,0)</f>
        <v>1.0818439477588981E-13</v>
      </c>
      <c r="EL196" s="14">
        <f t="shared" si="179"/>
        <v>1.6104228458716316E-12</v>
      </c>
      <c r="EM196" s="22">
        <f t="shared" si="180"/>
        <v>2.9932409441277661E-12</v>
      </c>
      <c r="EN196" s="62">
        <f t="shared" ref="EN196:EN203" si="198">EM196+(EE196+EF196)*44/12</f>
        <v>293.33333333333633</v>
      </c>
      <c r="EO196" s="62">
        <f ca="1">AVERAGE(OFFSET($EN$3,0,0,'Données projet'!$E$15+1,1))-AVERAGE(OFFSET($H$3,0,0,'Données projet'!$E$15+1,1))</f>
        <v>363.37916970915211</v>
      </c>
      <c r="EP196" s="62">
        <f t="shared" si="154"/>
        <v>281.52963027844595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-6.2527760746888816E-13</v>
      </c>
      <c r="FF196" s="18">
        <f>FE196*VLOOKUP('Données projet'!$B$16,Paramètres!$A$1:$I$89,3,0)*VLOOKUP('Données projet'!$B$16,Paramètres!$A$1:$I$89,5,0)</f>
        <v>-2.9262992029543964E-13</v>
      </c>
      <c r="FG196" s="14" t="e">
        <f t="shared" si="182"/>
        <v>#NUM!</v>
      </c>
      <c r="FH196" s="22" t="e">
        <f t="shared" si="183"/>
        <v>#NUM!</v>
      </c>
      <c r="FI196" s="62" t="e">
        <f t="shared" ref="FI196:FI203" si="199">FH196+(EZ196+FA196)*44/12</f>
        <v>#NUM!</v>
      </c>
      <c r="FJ196" s="62">
        <f ca="1">AVERAGE(OFFSET($FI$3,0,0,'Données projet'!$E$16+1,1))-AVERAGE(OFFSET($H$3,0,0,'Données projet'!$E$16+1,1))</f>
        <v>245.47494516762282</v>
      </c>
      <c r="FK196" s="62">
        <f t="shared" si="156"/>
        <v>145.54897745089966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-9.6633812063373625E-13</v>
      </c>
      <c r="GA196" s="18">
        <f>FZ196*VLOOKUP('Données projet'!$B$17,Paramètres!$A$1:$I$89,3,0)*VLOOKUP('Données projet'!$B$17,Paramètres!$A$1:$I$89,5,0)</f>
        <v>-9.3464223027694966E-13</v>
      </c>
      <c r="GB196" s="14" t="e">
        <f t="shared" si="185"/>
        <v>#NUM!</v>
      </c>
      <c r="GC196" s="22" t="e">
        <f t="shared" si="186"/>
        <v>#NUM!</v>
      </c>
      <c r="GD196" s="62" t="e">
        <f t="shared" ref="GD196:GD203" si="200">GC196+(FU196+FV196)*44/12</f>
        <v>#NUM!</v>
      </c>
      <c r="GE196" s="62">
        <f ca="1">AVERAGE(OFFSET($GD$3,0,0,'Données projet'!$E$17+1,1))-AVERAGE(OFFSET($H$3,0,0,'Données projet'!$E$17+1,1))</f>
        <v>455.50822833641354</v>
      </c>
      <c r="GF196" s="62">
        <f t="shared" si="158"/>
        <v>261.14722581688039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1.7053025658242404E-13</v>
      </c>
      <c r="GV196" s="18">
        <f>GU196*VLOOKUP('Données projet'!$B$18,Paramètres!$A$1:$I$89,3,0)*VLOOKUP('Données projet'!$B$18,Paramètres!$A$1:$I$89,5,0)</f>
        <v>1.1439169611549005E-13</v>
      </c>
      <c r="GW196" s="14">
        <f t="shared" si="188"/>
        <v>1.6918016515029816E-12</v>
      </c>
      <c r="GX196" s="22">
        <f t="shared" si="189"/>
        <v>3.1457867471021712E-12</v>
      </c>
      <c r="GY196" s="62">
        <f t="shared" ref="GY196:GY203" si="201">GX196+(GP196+GQ196)*44/12</f>
        <v>293.33333333333644</v>
      </c>
      <c r="GZ196" s="62">
        <f ca="1">AVERAGE(OFFSET($GY$3,0,0,'Données projet'!$E$18+1,1))-AVERAGE(OFFSET($H$3,0,0,'Données projet'!$E$18+1,1))</f>
        <v>312.06797204903796</v>
      </c>
      <c r="HA196" s="62">
        <f t="shared" si="160"/>
        <v>258.20189001775151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projet'!$B$18,Paramètres!$A$1:$I$89,3,0)*0.475*44/12</f>
        <v>0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190"/>
        <v>0</v>
      </c>
    </row>
    <row r="197" spans="1:218" x14ac:dyDescent="0.25">
      <c r="A197" s="11">
        <f t="shared" si="161"/>
        <v>194</v>
      </c>
      <c r="B197" s="76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9">
        <f t="shared" si="192"/>
        <v>256.66666666666669</v>
      </c>
      <c r="I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2.2737367544323206E-13</v>
      </c>
      <c r="O197" s="14">
        <f>N197*VLOOKUP('Données projet'!$B$9,Paramètres!$A$1:$I$89,3,0)*VLOOKUP('Données projet'!$B$9,Paramètres!$A$1:$I$89,5,0)</f>
        <v>1.2710188457276673E-13</v>
      </c>
      <c r="P197" s="14">
        <f t="shared" ref="P197:P203" si="203">EXP(-1.0587+0.8836*LN(O197)+0.284)</f>
        <v>1.856866851063998E-12</v>
      </c>
      <c r="Q197" s="22">
        <f t="shared" si="162"/>
        <v>3.4554122145673649E-12</v>
      </c>
      <c r="R197" s="62">
        <f t="shared" si="191"/>
        <v>293.33333333333678</v>
      </c>
      <c r="S197" s="62">
        <f ca="1">AVERAGE(OFFSET($R$3,0,0,'Données projet'!$E$9+1,1))-AVERAGE(OFFSET($H$3,0,0,'Données projet'!$E$9+1,1))</f>
        <v>323.98185264074681</v>
      </c>
      <c r="T197" s="62">
        <f t="shared" ref="T197:T203" si="204">$T$3</f>
        <v>301.22207291854005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0.17338848796437212</v>
      </c>
      <c r="AA197" s="23">
        <f>EXP(-LN(2)/25)*AA196+(1-EXP(-LN(2)/25))/(LN(2)/25)*Calculateur!V197*Calculateur!X197*VLOOKUP('Données projet'!$B$9,Paramètres!$A$1:$I$89,3,0)*0.475*44/12</f>
        <v>8.7408768616008894E-2</v>
      </c>
      <c r="AB197" s="23">
        <f>EXP(-LN(2)/2)*AB196+(1-EXP(-LN(2)/2))/(LN(2)/2)*V197*Y197*VLOOKUP('Données projet'!$B$9,Paramètres!$A$1:$I$89,3,0)*0.475*44/12</f>
        <v>1.2589290179852885E-24</v>
      </c>
      <c r="AC197" s="24">
        <f t="shared" si="163"/>
        <v>0.260797256580381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-2.8421709430404007E-13</v>
      </c>
      <c r="AJ197" s="14">
        <f>AI197*VLOOKUP('Données projet'!$B$10,Paramètres!$A$1:$I$89,3,0)*VLOOKUP('Données projet'!$B$10,Paramètres!$A$1:$I$89,5,0)</f>
        <v>-1.69961822393816E-13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289.12367833861299</v>
      </c>
      <c r="AO197" s="62">
        <f t="shared" ref="AO197:AO203" si="205">$AO$3</f>
        <v>229.06617320689003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8.575453949993684E-25</v>
      </c>
      <c r="AX197" s="23">
        <f t="shared" si="166"/>
        <v>8.575453949993684E-25</v>
      </c>
      <c r="AY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-9.6633812063373625E-13</v>
      </c>
      <c r="BE197" s="14">
        <f>BD197*VLOOKUP('Données projet'!$B$11,Paramètres!$A$1:$I$89,3,0)*VLOOKUP('Données projet'!$B$11,Paramètres!$A$1:$I$89,5,0)</f>
        <v>-8.7434273154940449E-13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428.8489304403459</v>
      </c>
      <c r="BJ197" s="62">
        <f t="shared" ref="BJ197:BJ203" si="206">$BJ$3</f>
        <v>247.01165577562966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-1.7053025658242404E-13</v>
      </c>
      <c r="BZ197" s="14">
        <f>BY197*VLOOKUP('Données projet'!$B$12,Paramètres!$A$1:$I$89,3,0)*VLOOKUP('Données projet'!$B$12,Paramètres!$A$1:$I$89,5,0)</f>
        <v>-1.250327841262333E-13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290.85271051443431</v>
      </c>
      <c r="CE197" s="62">
        <f t="shared" ref="CE197:CE203" si="207">$CE$3</f>
        <v>318.66958823451142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1.1368683772161603E-13</v>
      </c>
      <c r="CU197" s="18">
        <f>CT197*VLOOKUP('Données projet'!$B$13,Paramètres!$A$1:$I$89,3,0)*VLOOKUP('Données projet'!$B$13,Paramètres!$A$1:$I$89,5,0)</f>
        <v>8.8675733422860506E-14</v>
      </c>
      <c r="CV197" s="14">
        <f t="shared" si="173"/>
        <v>1.3509285393066301E-12</v>
      </c>
      <c r="CW197" s="22">
        <f t="shared" si="174"/>
        <v>2.5073107750038623E-12</v>
      </c>
      <c r="CX197" s="62">
        <f t="shared" si="196"/>
        <v>293.33333333333582</v>
      </c>
      <c r="CY197" s="62">
        <f ca="1">AVERAGE(OFFSET($CX$3,0,0,'Données projet'!$E$13+1,1))-AVERAGE(OFFSET($H$3,0,0,'Données projet'!$E$13+1,1))</f>
        <v>292.57482726862594</v>
      </c>
      <c r="CZ197" s="62">
        <f t="shared" ref="CZ197:CZ203" si="208">$CZ$3</f>
        <v>283.48738729114024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-1.7053025658242404E-13</v>
      </c>
      <c r="DP197" s="18">
        <f>DO197*VLOOKUP('Données projet'!$B$14,Paramètres!$A$1:$I$89,3,0)*VLOOKUP('Données projet'!$B$14,Paramètres!$A$1:$I$89,5,0)</f>
        <v>-1.3567387213697657E-13</v>
      </c>
      <c r="DQ197" s="14" t="e">
        <f t="shared" si="176"/>
        <v>#NUM!</v>
      </c>
      <c r="DR197" s="22" t="e">
        <f t="shared" si="177"/>
        <v>#NUM!</v>
      </c>
      <c r="DS197" s="62" t="e">
        <f t="shared" si="197"/>
        <v>#NUM!</v>
      </c>
      <c r="DT197" s="62">
        <f ca="1">AVERAGE(OFFSET($DS$3,0,0,'Données projet'!$E$14+1,1))-AVERAGE(OFFSET($H$3,0,0,'Données projet'!$E$14+1,1))</f>
        <v>312.53381881960331</v>
      </c>
      <c r="DU197" s="62">
        <f t="shared" ref="DU197:DU203" si="209">$DU$3</f>
        <v>342.06887933351783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1.1368683772161603E-13</v>
      </c>
      <c r="EK197" s="18">
        <f>EJ197*VLOOKUP('Données projet'!$B$15,Paramètres!$A$1:$I$89,3,0)*VLOOKUP('Données projet'!$B$15,Paramètres!$A$1:$I$89,5,0)</f>
        <v>1.0818439477588981E-13</v>
      </c>
      <c r="EL197" s="14">
        <f t="shared" si="179"/>
        <v>1.6104228458716316E-12</v>
      </c>
      <c r="EM197" s="22">
        <f t="shared" si="180"/>
        <v>2.9932409441277661E-12</v>
      </c>
      <c r="EN197" s="62">
        <f t="shared" si="198"/>
        <v>293.33333333333633</v>
      </c>
      <c r="EO197" s="62">
        <f ca="1">AVERAGE(OFFSET($EN$3,0,0,'Données projet'!$E$15+1,1))-AVERAGE(OFFSET($H$3,0,0,'Données projet'!$E$15+1,1))</f>
        <v>363.37916970915211</v>
      </c>
      <c r="EP197" s="62">
        <f t="shared" ref="EP197:EP203" si="210">$EP$3</f>
        <v>281.52963027844595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-6.2527760746888816E-13</v>
      </c>
      <c r="FF197" s="18">
        <f>FE197*VLOOKUP('Données projet'!$B$16,Paramètres!$A$1:$I$89,3,0)*VLOOKUP('Données projet'!$B$16,Paramètres!$A$1:$I$89,5,0)</f>
        <v>-2.9262992029543964E-13</v>
      </c>
      <c r="FG197" s="14" t="e">
        <f t="shared" si="182"/>
        <v>#NUM!</v>
      </c>
      <c r="FH197" s="22" t="e">
        <f t="shared" si="183"/>
        <v>#NUM!</v>
      </c>
      <c r="FI197" s="62" t="e">
        <f t="shared" si="199"/>
        <v>#NUM!</v>
      </c>
      <c r="FJ197" s="62">
        <f ca="1">AVERAGE(OFFSET($FI$3,0,0,'Données projet'!$E$16+1,1))-AVERAGE(OFFSET($H$3,0,0,'Données projet'!$E$16+1,1))</f>
        <v>245.47494516762282</v>
      </c>
      <c r="FK197" s="62">
        <f t="shared" ref="FK197:FK203" si="211">$FK$3</f>
        <v>145.54897745089966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-9.6633812063373625E-13</v>
      </c>
      <c r="GA197" s="18">
        <f>FZ197*VLOOKUP('Données projet'!$B$17,Paramètres!$A$1:$I$89,3,0)*VLOOKUP('Données projet'!$B$17,Paramètres!$A$1:$I$89,5,0)</f>
        <v>-9.3464223027694966E-13</v>
      </c>
      <c r="GB197" s="14" t="e">
        <f t="shared" si="185"/>
        <v>#NUM!</v>
      </c>
      <c r="GC197" s="22" t="e">
        <f t="shared" si="186"/>
        <v>#NUM!</v>
      </c>
      <c r="GD197" s="62" t="e">
        <f t="shared" si="200"/>
        <v>#NUM!</v>
      </c>
      <c r="GE197" s="62">
        <f ca="1">AVERAGE(OFFSET($GD$3,0,0,'Données projet'!$E$17+1,1))-AVERAGE(OFFSET($H$3,0,0,'Données projet'!$E$17+1,1))</f>
        <v>455.50822833641354</v>
      </c>
      <c r="GF197" s="62">
        <f t="shared" ref="GF197:GF203" si="212">$GF$3</f>
        <v>261.14722581688039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1.7053025658242404E-13</v>
      </c>
      <c r="GV197" s="18">
        <f>GU197*VLOOKUP('Données projet'!$B$18,Paramètres!$A$1:$I$89,3,0)*VLOOKUP('Données projet'!$B$18,Paramètres!$A$1:$I$89,5,0)</f>
        <v>1.1439169611549005E-13</v>
      </c>
      <c r="GW197" s="14">
        <f t="shared" si="188"/>
        <v>1.6918016515029816E-12</v>
      </c>
      <c r="GX197" s="22">
        <f t="shared" si="189"/>
        <v>3.1457867471021712E-12</v>
      </c>
      <c r="GY197" s="62">
        <f t="shared" si="201"/>
        <v>293.33333333333644</v>
      </c>
      <c r="GZ197" s="62">
        <f ca="1">AVERAGE(OFFSET($GY$3,0,0,'Données projet'!$E$18+1,1))-AVERAGE(OFFSET($H$3,0,0,'Données projet'!$E$18+1,1))</f>
        <v>312.06797204903796</v>
      </c>
      <c r="HA197" s="62">
        <f t="shared" ref="HA197:HA203" si="213">$HA$3</f>
        <v>258.20189001775151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projet'!$B$18,Paramètres!$A$1:$I$89,3,0)*0.475*44/12</f>
        <v>0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190"/>
        <v>0</v>
      </c>
    </row>
    <row r="198" spans="1:218" x14ac:dyDescent="0.25">
      <c r="A198" s="11">
        <f t="shared" si="161"/>
        <v>195</v>
      </c>
      <c r="B198" s="76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9">
        <f t="shared" si="192"/>
        <v>256.66666666666669</v>
      </c>
      <c r="I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2.2737367544323206E-13</v>
      </c>
      <c r="O198" s="14">
        <f>N198*VLOOKUP('Données projet'!$B$9,Paramètres!$A$1:$I$89,3,0)*VLOOKUP('Données projet'!$B$9,Paramètres!$A$1:$I$89,5,0)</f>
        <v>1.2710188457276673E-13</v>
      </c>
      <c r="P198" s="14">
        <f t="shared" si="203"/>
        <v>1.856866851063998E-12</v>
      </c>
      <c r="Q198" s="22">
        <f t="shared" si="162"/>
        <v>3.4554122145673649E-12</v>
      </c>
      <c r="R198" s="62">
        <f t="shared" si="191"/>
        <v>293.33333333333678</v>
      </c>
      <c r="S198" s="62">
        <f ca="1">AVERAGE(OFFSET($R$3,0,0,'Données projet'!$E$9+1,1))-AVERAGE(OFFSET($H$3,0,0,'Données projet'!$E$9+1,1))</f>
        <v>323.98185264074681</v>
      </c>
      <c r="T198" s="62">
        <f t="shared" si="204"/>
        <v>301.22207291854005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0.16998844547192585</v>
      </c>
      <c r="AA198" s="23">
        <f>EXP(-LN(2)/25)*AA197+(1-EXP(-LN(2)/25))/(LN(2)/25)*Calculateur!V198*Calculateur!X198*VLOOKUP('Données projet'!$B$9,Paramètres!$A$1:$I$89,3,0)*0.475*44/12</f>
        <v>8.501857124157676E-2</v>
      </c>
      <c r="AB198" s="23">
        <f>EXP(-LN(2)/2)*AB197+(1-EXP(-LN(2)/2))/(LN(2)/2)*V198*Y198*VLOOKUP('Données projet'!$B$9,Paramètres!$A$1:$I$89,3,0)*0.475*44/12</f>
        <v>8.9019724564991855E-25</v>
      </c>
      <c r="AC198" s="24">
        <f t="shared" si="163"/>
        <v>0.25500701671350262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-2.8421709430404007E-13</v>
      </c>
      <c r="AJ198" s="14">
        <f>AI198*VLOOKUP('Données projet'!$B$10,Paramètres!$A$1:$I$89,3,0)*VLOOKUP('Données projet'!$B$10,Paramètres!$A$1:$I$89,5,0)</f>
        <v>-1.69961822393816E-13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289.12367833861299</v>
      </c>
      <c r="AO198" s="62">
        <f t="shared" si="205"/>
        <v>229.06617320689003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6.0637616397934987E-25</v>
      </c>
      <c r="AX198" s="23">
        <f t="shared" si="166"/>
        <v>6.0637616397934987E-25</v>
      </c>
      <c r="AY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-9.6633812063373625E-13</v>
      </c>
      <c r="BE198" s="14">
        <f>BD198*VLOOKUP('Données projet'!$B$11,Paramètres!$A$1:$I$89,3,0)*VLOOKUP('Données projet'!$B$11,Paramètres!$A$1:$I$89,5,0)</f>
        <v>-8.7434273154940449E-13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428.8489304403459</v>
      </c>
      <c r="BJ198" s="62">
        <f t="shared" si="206"/>
        <v>247.01165577562966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-1.7053025658242404E-13</v>
      </c>
      <c r="BZ198" s="14">
        <f>BY198*VLOOKUP('Données projet'!$B$12,Paramètres!$A$1:$I$89,3,0)*VLOOKUP('Données projet'!$B$12,Paramètres!$A$1:$I$89,5,0)</f>
        <v>-1.250327841262333E-13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290.85271051443431</v>
      </c>
      <c r="CE198" s="62">
        <f t="shared" si="207"/>
        <v>318.66958823451142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1.1368683772161603E-13</v>
      </c>
      <c r="CU198" s="18">
        <f>CT198*VLOOKUP('Données projet'!$B$13,Paramètres!$A$1:$I$89,3,0)*VLOOKUP('Données projet'!$B$13,Paramètres!$A$1:$I$89,5,0)</f>
        <v>8.8675733422860506E-14</v>
      </c>
      <c r="CV198" s="14">
        <f t="shared" si="173"/>
        <v>1.3509285393066301E-12</v>
      </c>
      <c r="CW198" s="22">
        <f t="shared" si="174"/>
        <v>2.5073107750038623E-12</v>
      </c>
      <c r="CX198" s="62">
        <f t="shared" si="196"/>
        <v>293.33333333333582</v>
      </c>
      <c r="CY198" s="62">
        <f ca="1">AVERAGE(OFFSET($CX$3,0,0,'Données projet'!$E$13+1,1))-AVERAGE(OFFSET($H$3,0,0,'Données projet'!$E$13+1,1))</f>
        <v>292.57482726862594</v>
      </c>
      <c r="CZ198" s="62">
        <f t="shared" si="208"/>
        <v>283.48738729114024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-1.7053025658242404E-13</v>
      </c>
      <c r="DP198" s="18">
        <f>DO198*VLOOKUP('Données projet'!$B$14,Paramètres!$A$1:$I$89,3,0)*VLOOKUP('Données projet'!$B$14,Paramètres!$A$1:$I$89,5,0)</f>
        <v>-1.3567387213697657E-13</v>
      </c>
      <c r="DQ198" s="14" t="e">
        <f t="shared" si="176"/>
        <v>#NUM!</v>
      </c>
      <c r="DR198" s="22" t="e">
        <f t="shared" si="177"/>
        <v>#NUM!</v>
      </c>
      <c r="DS198" s="62" t="e">
        <f t="shared" si="197"/>
        <v>#NUM!</v>
      </c>
      <c r="DT198" s="62">
        <f ca="1">AVERAGE(OFFSET($DS$3,0,0,'Données projet'!$E$14+1,1))-AVERAGE(OFFSET($H$3,0,0,'Données projet'!$E$14+1,1))</f>
        <v>312.53381881960331</v>
      </c>
      <c r="DU198" s="62">
        <f t="shared" si="209"/>
        <v>342.06887933351783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1.1368683772161603E-13</v>
      </c>
      <c r="EK198" s="18">
        <f>EJ198*VLOOKUP('Données projet'!$B$15,Paramètres!$A$1:$I$89,3,0)*VLOOKUP('Données projet'!$B$15,Paramètres!$A$1:$I$89,5,0)</f>
        <v>1.0818439477588981E-13</v>
      </c>
      <c r="EL198" s="14">
        <f t="shared" si="179"/>
        <v>1.6104228458716316E-12</v>
      </c>
      <c r="EM198" s="22">
        <f t="shared" si="180"/>
        <v>2.9932409441277661E-12</v>
      </c>
      <c r="EN198" s="62">
        <f t="shared" si="198"/>
        <v>293.33333333333633</v>
      </c>
      <c r="EO198" s="62">
        <f ca="1">AVERAGE(OFFSET($EN$3,0,0,'Données projet'!$E$15+1,1))-AVERAGE(OFFSET($H$3,0,0,'Données projet'!$E$15+1,1))</f>
        <v>363.37916970915211</v>
      </c>
      <c r="EP198" s="62">
        <f t="shared" si="210"/>
        <v>281.52963027844595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-6.2527760746888816E-13</v>
      </c>
      <c r="FF198" s="18">
        <f>FE198*VLOOKUP('Données projet'!$B$16,Paramètres!$A$1:$I$89,3,0)*VLOOKUP('Données projet'!$B$16,Paramètres!$A$1:$I$89,5,0)</f>
        <v>-2.9262992029543964E-13</v>
      </c>
      <c r="FG198" s="14" t="e">
        <f t="shared" si="182"/>
        <v>#NUM!</v>
      </c>
      <c r="FH198" s="22" t="e">
        <f t="shared" si="183"/>
        <v>#NUM!</v>
      </c>
      <c r="FI198" s="62" t="e">
        <f t="shared" si="199"/>
        <v>#NUM!</v>
      </c>
      <c r="FJ198" s="62">
        <f ca="1">AVERAGE(OFFSET($FI$3,0,0,'Données projet'!$E$16+1,1))-AVERAGE(OFFSET($H$3,0,0,'Données projet'!$E$16+1,1))</f>
        <v>245.47494516762282</v>
      </c>
      <c r="FK198" s="62">
        <f t="shared" si="211"/>
        <v>145.54897745089966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-9.6633812063373625E-13</v>
      </c>
      <c r="GA198" s="18">
        <f>FZ198*VLOOKUP('Données projet'!$B$17,Paramètres!$A$1:$I$89,3,0)*VLOOKUP('Données projet'!$B$17,Paramètres!$A$1:$I$89,5,0)</f>
        <v>-9.3464223027694966E-13</v>
      </c>
      <c r="GB198" s="14" t="e">
        <f t="shared" si="185"/>
        <v>#NUM!</v>
      </c>
      <c r="GC198" s="22" t="e">
        <f t="shared" si="186"/>
        <v>#NUM!</v>
      </c>
      <c r="GD198" s="62" t="e">
        <f t="shared" si="200"/>
        <v>#NUM!</v>
      </c>
      <c r="GE198" s="62">
        <f ca="1">AVERAGE(OFFSET($GD$3,0,0,'Données projet'!$E$17+1,1))-AVERAGE(OFFSET($H$3,0,0,'Données projet'!$E$17+1,1))</f>
        <v>455.50822833641354</v>
      </c>
      <c r="GF198" s="62">
        <f t="shared" si="212"/>
        <v>261.14722581688039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1.7053025658242404E-13</v>
      </c>
      <c r="GV198" s="18">
        <f>GU198*VLOOKUP('Données projet'!$B$18,Paramètres!$A$1:$I$89,3,0)*VLOOKUP('Données projet'!$B$18,Paramètres!$A$1:$I$89,5,0)</f>
        <v>1.1439169611549005E-13</v>
      </c>
      <c r="GW198" s="14">
        <f t="shared" si="188"/>
        <v>1.6918016515029816E-12</v>
      </c>
      <c r="GX198" s="22">
        <f t="shared" si="189"/>
        <v>3.1457867471021712E-12</v>
      </c>
      <c r="GY198" s="62">
        <f t="shared" si="201"/>
        <v>293.33333333333644</v>
      </c>
      <c r="GZ198" s="62">
        <f ca="1">AVERAGE(OFFSET($GY$3,0,0,'Données projet'!$E$18+1,1))-AVERAGE(OFFSET($H$3,0,0,'Données projet'!$E$18+1,1))</f>
        <v>312.06797204903796</v>
      </c>
      <c r="HA198" s="62">
        <f t="shared" si="213"/>
        <v>258.20189001775151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projet'!$B$18,Paramètres!$A$1:$I$89,3,0)*0.475*44/12</f>
        <v>0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190"/>
        <v>0</v>
      </c>
    </row>
    <row r="199" spans="1:218" x14ac:dyDescent="0.25">
      <c r="A199" s="11">
        <f t="shared" si="161"/>
        <v>196</v>
      </c>
      <c r="B199" s="76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9">
        <f t="shared" si="192"/>
        <v>256.66666666666669</v>
      </c>
      <c r="I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2.2737367544323206E-13</v>
      </c>
      <c r="O199" s="14">
        <f>N199*VLOOKUP('Données projet'!$B$9,Paramètres!$A$1:$I$89,3,0)*VLOOKUP('Données projet'!$B$9,Paramètres!$A$1:$I$89,5,0)</f>
        <v>1.2710188457276673E-13</v>
      </c>
      <c r="P199" s="14">
        <f t="shared" si="203"/>
        <v>1.856866851063998E-12</v>
      </c>
      <c r="Q199" s="22">
        <f t="shared" si="162"/>
        <v>3.4554122145673649E-12</v>
      </c>
      <c r="R199" s="62">
        <f t="shared" si="191"/>
        <v>293.33333333333678</v>
      </c>
      <c r="S199" s="62">
        <f ca="1">AVERAGE(OFFSET($R$3,0,0,'Données projet'!$E$9+1,1))-AVERAGE(OFFSET($H$3,0,0,'Données projet'!$E$9+1,1))</f>
        <v>323.98185264074681</v>
      </c>
      <c r="T199" s="62">
        <f t="shared" si="204"/>
        <v>301.22207291854005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0.16665507573893532</v>
      </c>
      <c r="AA199" s="23">
        <f>EXP(-LN(2)/25)*AA198+(1-EXP(-LN(2)/25))/(LN(2)/25)*Calculateur!V199*Calculateur!X199*VLOOKUP('Données projet'!$B$9,Paramètres!$A$1:$I$89,3,0)*0.475*44/12</f>
        <v>8.2693733940043493E-2</v>
      </c>
      <c r="AB199" s="23">
        <f>EXP(-LN(2)/2)*AB198+(1-EXP(-LN(2)/2))/(LN(2)/2)*V199*Y199*VLOOKUP('Données projet'!$B$9,Paramètres!$A$1:$I$89,3,0)*0.475*44/12</f>
        <v>6.2946450899264426E-25</v>
      </c>
      <c r="AC199" s="24">
        <f t="shared" si="163"/>
        <v>0.24934880967897882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-2.8421709430404007E-13</v>
      </c>
      <c r="AJ199" s="14">
        <f>AI199*VLOOKUP('Données projet'!$B$10,Paramètres!$A$1:$I$89,3,0)*VLOOKUP('Données projet'!$B$10,Paramètres!$A$1:$I$89,5,0)</f>
        <v>-1.69961822393816E-13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289.12367833861299</v>
      </c>
      <c r="AO199" s="62">
        <f t="shared" si="205"/>
        <v>229.06617320689003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4.287726974996842E-25</v>
      </c>
      <c r="AX199" s="23">
        <f t="shared" si="166"/>
        <v>4.287726974996842E-25</v>
      </c>
      <c r="AY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-9.6633812063373625E-13</v>
      </c>
      <c r="BE199" s="14">
        <f>BD199*VLOOKUP('Données projet'!$B$11,Paramètres!$A$1:$I$89,3,0)*VLOOKUP('Données projet'!$B$11,Paramètres!$A$1:$I$89,5,0)</f>
        <v>-8.7434273154940449E-13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428.8489304403459</v>
      </c>
      <c r="BJ199" s="62">
        <f t="shared" si="206"/>
        <v>247.01165577562966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-1.7053025658242404E-13</v>
      </c>
      <c r="BZ199" s="14">
        <f>BY199*VLOOKUP('Données projet'!$B$12,Paramètres!$A$1:$I$89,3,0)*VLOOKUP('Données projet'!$B$12,Paramètres!$A$1:$I$89,5,0)</f>
        <v>-1.250327841262333E-13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290.85271051443431</v>
      </c>
      <c r="CE199" s="62">
        <f t="shared" si="207"/>
        <v>318.66958823451142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1.1368683772161603E-13</v>
      </c>
      <c r="CU199" s="18">
        <f>CT199*VLOOKUP('Données projet'!$B$13,Paramètres!$A$1:$I$89,3,0)*VLOOKUP('Données projet'!$B$13,Paramètres!$A$1:$I$89,5,0)</f>
        <v>8.8675733422860506E-14</v>
      </c>
      <c r="CV199" s="14">
        <f t="shared" si="173"/>
        <v>1.3509285393066301E-12</v>
      </c>
      <c r="CW199" s="22">
        <f t="shared" si="174"/>
        <v>2.5073107750038623E-12</v>
      </c>
      <c r="CX199" s="62">
        <f t="shared" si="196"/>
        <v>293.33333333333582</v>
      </c>
      <c r="CY199" s="62">
        <f ca="1">AVERAGE(OFFSET($CX$3,0,0,'Données projet'!$E$13+1,1))-AVERAGE(OFFSET($H$3,0,0,'Données projet'!$E$13+1,1))</f>
        <v>292.57482726862594</v>
      </c>
      <c r="CZ199" s="62">
        <f t="shared" si="208"/>
        <v>283.48738729114024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-1.7053025658242404E-13</v>
      </c>
      <c r="DP199" s="18">
        <f>DO199*VLOOKUP('Données projet'!$B$14,Paramètres!$A$1:$I$89,3,0)*VLOOKUP('Données projet'!$B$14,Paramètres!$A$1:$I$89,5,0)</f>
        <v>-1.3567387213697657E-13</v>
      </c>
      <c r="DQ199" s="14" t="e">
        <f t="shared" si="176"/>
        <v>#NUM!</v>
      </c>
      <c r="DR199" s="22" t="e">
        <f t="shared" si="177"/>
        <v>#NUM!</v>
      </c>
      <c r="DS199" s="62" t="e">
        <f t="shared" si="197"/>
        <v>#NUM!</v>
      </c>
      <c r="DT199" s="62">
        <f ca="1">AVERAGE(OFFSET($DS$3,0,0,'Données projet'!$E$14+1,1))-AVERAGE(OFFSET($H$3,0,0,'Données projet'!$E$14+1,1))</f>
        <v>312.53381881960331</v>
      </c>
      <c r="DU199" s="62">
        <f t="shared" si="209"/>
        <v>342.06887933351783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1.1368683772161603E-13</v>
      </c>
      <c r="EK199" s="18">
        <f>EJ199*VLOOKUP('Données projet'!$B$15,Paramètres!$A$1:$I$89,3,0)*VLOOKUP('Données projet'!$B$15,Paramètres!$A$1:$I$89,5,0)</f>
        <v>1.0818439477588981E-13</v>
      </c>
      <c r="EL199" s="14">
        <f t="shared" si="179"/>
        <v>1.6104228458716316E-12</v>
      </c>
      <c r="EM199" s="22">
        <f t="shared" si="180"/>
        <v>2.9932409441277661E-12</v>
      </c>
      <c r="EN199" s="62">
        <f t="shared" si="198"/>
        <v>293.33333333333633</v>
      </c>
      <c r="EO199" s="62">
        <f ca="1">AVERAGE(OFFSET($EN$3,0,0,'Données projet'!$E$15+1,1))-AVERAGE(OFFSET($H$3,0,0,'Données projet'!$E$15+1,1))</f>
        <v>363.37916970915211</v>
      </c>
      <c r="EP199" s="62">
        <f t="shared" si="210"/>
        <v>281.52963027844595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-6.2527760746888816E-13</v>
      </c>
      <c r="FF199" s="18">
        <f>FE199*VLOOKUP('Données projet'!$B$16,Paramètres!$A$1:$I$89,3,0)*VLOOKUP('Données projet'!$B$16,Paramètres!$A$1:$I$89,5,0)</f>
        <v>-2.9262992029543964E-13</v>
      </c>
      <c r="FG199" s="14" t="e">
        <f t="shared" si="182"/>
        <v>#NUM!</v>
      </c>
      <c r="FH199" s="22" t="e">
        <f t="shared" si="183"/>
        <v>#NUM!</v>
      </c>
      <c r="FI199" s="62" t="e">
        <f t="shared" si="199"/>
        <v>#NUM!</v>
      </c>
      <c r="FJ199" s="62">
        <f ca="1">AVERAGE(OFFSET($FI$3,0,0,'Données projet'!$E$16+1,1))-AVERAGE(OFFSET($H$3,0,0,'Données projet'!$E$16+1,1))</f>
        <v>245.47494516762282</v>
      </c>
      <c r="FK199" s="62">
        <f t="shared" si="211"/>
        <v>145.54897745089966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-9.6633812063373625E-13</v>
      </c>
      <c r="GA199" s="18">
        <f>FZ199*VLOOKUP('Données projet'!$B$17,Paramètres!$A$1:$I$89,3,0)*VLOOKUP('Données projet'!$B$17,Paramètres!$A$1:$I$89,5,0)</f>
        <v>-9.3464223027694966E-13</v>
      </c>
      <c r="GB199" s="14" t="e">
        <f t="shared" si="185"/>
        <v>#NUM!</v>
      </c>
      <c r="GC199" s="22" t="e">
        <f t="shared" si="186"/>
        <v>#NUM!</v>
      </c>
      <c r="GD199" s="62" t="e">
        <f t="shared" si="200"/>
        <v>#NUM!</v>
      </c>
      <c r="GE199" s="62">
        <f ca="1">AVERAGE(OFFSET($GD$3,0,0,'Données projet'!$E$17+1,1))-AVERAGE(OFFSET($H$3,0,0,'Données projet'!$E$17+1,1))</f>
        <v>455.50822833641354</v>
      </c>
      <c r="GF199" s="62">
        <f t="shared" si="212"/>
        <v>261.14722581688039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1.7053025658242404E-13</v>
      </c>
      <c r="GV199" s="18">
        <f>GU199*VLOOKUP('Données projet'!$B$18,Paramètres!$A$1:$I$89,3,0)*VLOOKUP('Données projet'!$B$18,Paramètres!$A$1:$I$89,5,0)</f>
        <v>1.1439169611549005E-13</v>
      </c>
      <c r="GW199" s="14">
        <f t="shared" si="188"/>
        <v>1.6918016515029816E-12</v>
      </c>
      <c r="GX199" s="22">
        <f t="shared" si="189"/>
        <v>3.1457867471021712E-12</v>
      </c>
      <c r="GY199" s="62">
        <f t="shared" si="201"/>
        <v>293.33333333333644</v>
      </c>
      <c r="GZ199" s="62">
        <f ca="1">AVERAGE(OFFSET($GY$3,0,0,'Données projet'!$E$18+1,1))-AVERAGE(OFFSET($H$3,0,0,'Données projet'!$E$18+1,1))</f>
        <v>312.06797204903796</v>
      </c>
      <c r="HA199" s="62">
        <f t="shared" si="213"/>
        <v>258.20189001775151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projet'!$B$18,Paramètres!$A$1:$I$89,3,0)*0.475*44/12</f>
        <v>0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190"/>
        <v>0</v>
      </c>
    </row>
    <row r="200" spans="1:218" x14ac:dyDescent="0.25">
      <c r="A200" s="11">
        <f t="shared" si="161"/>
        <v>197</v>
      </c>
      <c r="B200" s="76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9">
        <f t="shared" si="192"/>
        <v>256.66666666666669</v>
      </c>
      <c r="I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2.2737367544323206E-13</v>
      </c>
      <c r="O200" s="14">
        <f>N200*VLOOKUP('Données projet'!$B$9,Paramètres!$A$1:$I$89,3,0)*VLOOKUP('Données projet'!$B$9,Paramètres!$A$1:$I$89,5,0)</f>
        <v>1.2710188457276673E-13</v>
      </c>
      <c r="P200" s="14">
        <f t="shared" si="203"/>
        <v>1.856866851063998E-12</v>
      </c>
      <c r="Q200" s="22">
        <f t="shared" si="162"/>
        <v>3.4554122145673649E-12</v>
      </c>
      <c r="R200" s="62">
        <f t="shared" si="191"/>
        <v>293.33333333333678</v>
      </c>
      <c r="S200" s="62">
        <f ca="1">AVERAGE(OFFSET($R$3,0,0,'Données projet'!$E$9+1,1))-AVERAGE(OFFSET($H$3,0,0,'Données projet'!$E$9+1,1))</f>
        <v>323.98185264074681</v>
      </c>
      <c r="T200" s="62">
        <f t="shared" si="204"/>
        <v>301.22207291854005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0.16338707135325392</v>
      </c>
      <c r="AA200" s="23">
        <f>EXP(-LN(2)/25)*AA199+(1-EXP(-LN(2)/25))/(LN(2)/25)*Calculateur!V200*Calculateur!X200*VLOOKUP('Données projet'!$B$9,Paramètres!$A$1:$I$89,3,0)*0.475*44/12</f>
        <v>8.0432469436778536E-2</v>
      </c>
      <c r="AB200" s="23">
        <f>EXP(-LN(2)/2)*AB199+(1-EXP(-LN(2)/2))/(LN(2)/2)*V200*Y200*VLOOKUP('Données projet'!$B$9,Paramètres!$A$1:$I$89,3,0)*0.475*44/12</f>
        <v>4.4509862282495927E-25</v>
      </c>
      <c r="AC200" s="24">
        <f t="shared" si="163"/>
        <v>0.24381954079003246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-2.8421709430404007E-13</v>
      </c>
      <c r="AJ200" s="14">
        <f>AI200*VLOOKUP('Données projet'!$B$10,Paramètres!$A$1:$I$89,3,0)*VLOOKUP('Données projet'!$B$10,Paramètres!$A$1:$I$89,5,0)</f>
        <v>-1.69961822393816E-13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289.12367833861299</v>
      </c>
      <c r="AO200" s="62">
        <f t="shared" si="205"/>
        <v>229.06617320689003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3.0318808198967493E-25</v>
      </c>
      <c r="AX200" s="23">
        <f t="shared" si="166"/>
        <v>3.0318808198967493E-25</v>
      </c>
      <c r="AY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-9.6633812063373625E-13</v>
      </c>
      <c r="BE200" s="14">
        <f>BD200*VLOOKUP('Données projet'!$B$11,Paramètres!$A$1:$I$89,3,0)*VLOOKUP('Données projet'!$B$11,Paramètres!$A$1:$I$89,5,0)</f>
        <v>-8.7434273154940449E-13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428.8489304403459</v>
      </c>
      <c r="BJ200" s="62">
        <f t="shared" si="206"/>
        <v>247.01165577562966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-1.7053025658242404E-13</v>
      </c>
      <c r="BZ200" s="14">
        <f>BY200*VLOOKUP('Données projet'!$B$12,Paramètres!$A$1:$I$89,3,0)*VLOOKUP('Données projet'!$B$12,Paramètres!$A$1:$I$89,5,0)</f>
        <v>-1.250327841262333E-13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290.85271051443431</v>
      </c>
      <c r="CE200" s="62">
        <f t="shared" si="207"/>
        <v>318.66958823451142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1.1368683772161603E-13</v>
      </c>
      <c r="CU200" s="18">
        <f>CT200*VLOOKUP('Données projet'!$B$13,Paramètres!$A$1:$I$89,3,0)*VLOOKUP('Données projet'!$B$13,Paramètres!$A$1:$I$89,5,0)</f>
        <v>8.8675733422860506E-14</v>
      </c>
      <c r="CV200" s="14">
        <f t="shared" si="173"/>
        <v>1.3509285393066301E-12</v>
      </c>
      <c r="CW200" s="22">
        <f t="shared" si="174"/>
        <v>2.5073107750038623E-12</v>
      </c>
      <c r="CX200" s="62">
        <f t="shared" si="196"/>
        <v>293.33333333333582</v>
      </c>
      <c r="CY200" s="62">
        <f ca="1">AVERAGE(OFFSET($CX$3,0,0,'Données projet'!$E$13+1,1))-AVERAGE(OFFSET($H$3,0,0,'Données projet'!$E$13+1,1))</f>
        <v>292.57482726862594</v>
      </c>
      <c r="CZ200" s="62">
        <f t="shared" si="208"/>
        <v>283.48738729114024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-1.7053025658242404E-13</v>
      </c>
      <c r="DP200" s="18">
        <f>DO200*VLOOKUP('Données projet'!$B$14,Paramètres!$A$1:$I$89,3,0)*VLOOKUP('Données projet'!$B$14,Paramètres!$A$1:$I$89,5,0)</f>
        <v>-1.3567387213697657E-13</v>
      </c>
      <c r="DQ200" s="14" t="e">
        <f t="shared" si="176"/>
        <v>#NUM!</v>
      </c>
      <c r="DR200" s="22" t="e">
        <f t="shared" si="177"/>
        <v>#NUM!</v>
      </c>
      <c r="DS200" s="62" t="e">
        <f t="shared" si="197"/>
        <v>#NUM!</v>
      </c>
      <c r="DT200" s="62">
        <f ca="1">AVERAGE(OFFSET($DS$3,0,0,'Données projet'!$E$14+1,1))-AVERAGE(OFFSET($H$3,0,0,'Données projet'!$E$14+1,1))</f>
        <v>312.53381881960331</v>
      </c>
      <c r="DU200" s="62">
        <f t="shared" si="209"/>
        <v>342.06887933351783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1.1368683772161603E-13</v>
      </c>
      <c r="EK200" s="18">
        <f>EJ200*VLOOKUP('Données projet'!$B$15,Paramètres!$A$1:$I$89,3,0)*VLOOKUP('Données projet'!$B$15,Paramètres!$A$1:$I$89,5,0)</f>
        <v>1.0818439477588981E-13</v>
      </c>
      <c r="EL200" s="14">
        <f t="shared" si="179"/>
        <v>1.6104228458716316E-12</v>
      </c>
      <c r="EM200" s="22">
        <f t="shared" si="180"/>
        <v>2.9932409441277661E-12</v>
      </c>
      <c r="EN200" s="62">
        <f t="shared" si="198"/>
        <v>293.33333333333633</v>
      </c>
      <c r="EO200" s="62">
        <f ca="1">AVERAGE(OFFSET($EN$3,0,0,'Données projet'!$E$15+1,1))-AVERAGE(OFFSET($H$3,0,0,'Données projet'!$E$15+1,1))</f>
        <v>363.37916970915211</v>
      </c>
      <c r="EP200" s="62">
        <f t="shared" si="210"/>
        <v>281.52963027844595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-6.2527760746888816E-13</v>
      </c>
      <c r="FF200" s="18">
        <f>FE200*VLOOKUP('Données projet'!$B$16,Paramètres!$A$1:$I$89,3,0)*VLOOKUP('Données projet'!$B$16,Paramètres!$A$1:$I$89,5,0)</f>
        <v>-2.9262992029543964E-13</v>
      </c>
      <c r="FG200" s="14" t="e">
        <f t="shared" si="182"/>
        <v>#NUM!</v>
      </c>
      <c r="FH200" s="22" t="e">
        <f t="shared" si="183"/>
        <v>#NUM!</v>
      </c>
      <c r="FI200" s="62" t="e">
        <f t="shared" si="199"/>
        <v>#NUM!</v>
      </c>
      <c r="FJ200" s="62">
        <f ca="1">AVERAGE(OFFSET($FI$3,0,0,'Données projet'!$E$16+1,1))-AVERAGE(OFFSET($H$3,0,0,'Données projet'!$E$16+1,1))</f>
        <v>245.47494516762282</v>
      </c>
      <c r="FK200" s="62">
        <f t="shared" si="211"/>
        <v>145.54897745089966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-9.6633812063373625E-13</v>
      </c>
      <c r="GA200" s="18">
        <f>FZ200*VLOOKUP('Données projet'!$B$17,Paramètres!$A$1:$I$89,3,0)*VLOOKUP('Données projet'!$B$17,Paramètres!$A$1:$I$89,5,0)</f>
        <v>-9.3464223027694966E-13</v>
      </c>
      <c r="GB200" s="14" t="e">
        <f t="shared" si="185"/>
        <v>#NUM!</v>
      </c>
      <c r="GC200" s="22" t="e">
        <f t="shared" si="186"/>
        <v>#NUM!</v>
      </c>
      <c r="GD200" s="62" t="e">
        <f t="shared" si="200"/>
        <v>#NUM!</v>
      </c>
      <c r="GE200" s="62">
        <f ca="1">AVERAGE(OFFSET($GD$3,0,0,'Données projet'!$E$17+1,1))-AVERAGE(OFFSET($H$3,0,0,'Données projet'!$E$17+1,1))</f>
        <v>455.50822833641354</v>
      </c>
      <c r="GF200" s="62">
        <f t="shared" si="212"/>
        <v>261.14722581688039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1.7053025658242404E-13</v>
      </c>
      <c r="GV200" s="18">
        <f>GU200*VLOOKUP('Données projet'!$B$18,Paramètres!$A$1:$I$89,3,0)*VLOOKUP('Données projet'!$B$18,Paramètres!$A$1:$I$89,5,0)</f>
        <v>1.1439169611549005E-13</v>
      </c>
      <c r="GW200" s="14">
        <f t="shared" si="188"/>
        <v>1.6918016515029816E-12</v>
      </c>
      <c r="GX200" s="22">
        <f t="shared" si="189"/>
        <v>3.1457867471021712E-12</v>
      </c>
      <c r="GY200" s="62">
        <f t="shared" si="201"/>
        <v>293.33333333333644</v>
      </c>
      <c r="GZ200" s="62">
        <f ca="1">AVERAGE(OFFSET($GY$3,0,0,'Données projet'!$E$18+1,1))-AVERAGE(OFFSET($H$3,0,0,'Données projet'!$E$18+1,1))</f>
        <v>312.06797204903796</v>
      </c>
      <c r="HA200" s="62">
        <f t="shared" si="213"/>
        <v>258.20189001775151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projet'!$B$18,Paramètres!$A$1:$I$89,3,0)*0.475*44/12</f>
        <v>0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190"/>
        <v>0</v>
      </c>
    </row>
    <row r="201" spans="1:218" x14ac:dyDescent="0.25">
      <c r="A201" s="11">
        <f>A200+1</f>
        <v>198</v>
      </c>
      <c r="B201" s="76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9">
        <f t="shared" si="192"/>
        <v>256.66666666666669</v>
      </c>
      <c r="I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2.2737367544323206E-13</v>
      </c>
      <c r="O201" s="14">
        <f>N201*VLOOKUP('Données projet'!$B$9,Paramètres!$A$1:$I$89,3,0)*VLOOKUP('Données projet'!$B$9,Paramètres!$A$1:$I$89,5,0)</f>
        <v>1.2710188457276673E-13</v>
      </c>
      <c r="P201" s="14">
        <f t="shared" si="203"/>
        <v>1.856866851063998E-12</v>
      </c>
      <c r="Q201" s="22">
        <f t="shared" si="162"/>
        <v>3.4554122145673649E-12</v>
      </c>
      <c r="R201" s="62">
        <f t="shared" si="191"/>
        <v>293.33333333333678</v>
      </c>
      <c r="S201" s="62">
        <f ca="1">AVERAGE(OFFSET($R$3,0,0,'Données projet'!$E$9+1,1))-AVERAGE(OFFSET($H$3,0,0,'Données projet'!$E$9+1,1))</f>
        <v>323.98185264074681</v>
      </c>
      <c r="T201" s="62">
        <f t="shared" si="204"/>
        <v>301.22207291854005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0.16018315054028989</v>
      </c>
      <c r="AA201" s="23">
        <f>EXP(-LN(2)/25)*AA200+(1-EXP(-LN(2)/25))/(LN(2)/25)*Calculateur!V201*Calculateur!X201*VLOOKUP('Données projet'!$B$9,Paramètres!$A$1:$I$89,3,0)*0.475*44/12</f>
        <v>7.8233039330270093E-2</v>
      </c>
      <c r="AB201" s="23">
        <f>EXP(-LN(2)/2)*AB200+(1-EXP(-LN(2)/2))/(LN(2)/2)*V201*Y201*VLOOKUP('Données projet'!$B$9,Paramètres!$A$1:$I$89,3,0)*0.475*44/12</f>
        <v>3.1473225449632213E-25</v>
      </c>
      <c r="AC201" s="24">
        <f t="shared" si="163"/>
        <v>0.23841618987055999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-2.8421709430404007E-13</v>
      </c>
      <c r="AJ201" s="14">
        <f>AI201*VLOOKUP('Données projet'!$B$10,Paramètres!$A$1:$I$89,3,0)*VLOOKUP('Données projet'!$B$10,Paramètres!$A$1:$I$89,5,0)</f>
        <v>-1.69961822393816E-13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289.12367833861299</v>
      </c>
      <c r="AO201" s="62">
        <f t="shared" si="205"/>
        <v>229.06617320689003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2.143863487498421E-25</v>
      </c>
      <c r="AX201" s="23">
        <f t="shared" si="166"/>
        <v>2.143863487498421E-25</v>
      </c>
      <c r="AY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-9.6633812063373625E-13</v>
      </c>
      <c r="BE201" s="14">
        <f>BD201*VLOOKUP('Données projet'!$B$11,Paramètres!$A$1:$I$89,3,0)*VLOOKUP('Données projet'!$B$11,Paramètres!$A$1:$I$89,5,0)</f>
        <v>-8.7434273154940449E-13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428.8489304403459</v>
      </c>
      <c r="BJ201" s="62">
        <f t="shared" si="206"/>
        <v>247.01165577562966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-1.7053025658242404E-13</v>
      </c>
      <c r="BZ201" s="14">
        <f>BY201*VLOOKUP('Données projet'!$B$12,Paramètres!$A$1:$I$89,3,0)*VLOOKUP('Données projet'!$B$12,Paramètres!$A$1:$I$89,5,0)</f>
        <v>-1.250327841262333E-13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290.85271051443431</v>
      </c>
      <c r="CE201" s="62">
        <f t="shared" si="207"/>
        <v>318.66958823451142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1.1368683772161603E-13</v>
      </c>
      <c r="CU201" s="18">
        <f>CT201*VLOOKUP('Données projet'!$B$13,Paramètres!$A$1:$I$89,3,0)*VLOOKUP('Données projet'!$B$13,Paramètres!$A$1:$I$89,5,0)</f>
        <v>8.8675733422860506E-14</v>
      </c>
      <c r="CV201" s="14">
        <f t="shared" si="173"/>
        <v>1.3509285393066301E-12</v>
      </c>
      <c r="CW201" s="22">
        <f t="shared" si="174"/>
        <v>2.5073107750038623E-12</v>
      </c>
      <c r="CX201" s="62">
        <f t="shared" si="196"/>
        <v>293.33333333333582</v>
      </c>
      <c r="CY201" s="62">
        <f ca="1">AVERAGE(OFFSET($CX$3,0,0,'Données projet'!$E$13+1,1))-AVERAGE(OFFSET($H$3,0,0,'Données projet'!$E$13+1,1))</f>
        <v>292.57482726862594</v>
      </c>
      <c r="CZ201" s="62">
        <f t="shared" si="208"/>
        <v>283.48738729114024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-1.7053025658242404E-13</v>
      </c>
      <c r="DP201" s="18">
        <f>DO201*VLOOKUP('Données projet'!$B$14,Paramètres!$A$1:$I$89,3,0)*VLOOKUP('Données projet'!$B$14,Paramètres!$A$1:$I$89,5,0)</f>
        <v>-1.3567387213697657E-13</v>
      </c>
      <c r="DQ201" s="14" t="e">
        <f t="shared" si="176"/>
        <v>#NUM!</v>
      </c>
      <c r="DR201" s="22" t="e">
        <f t="shared" si="177"/>
        <v>#NUM!</v>
      </c>
      <c r="DS201" s="62" t="e">
        <f t="shared" si="197"/>
        <v>#NUM!</v>
      </c>
      <c r="DT201" s="62">
        <f ca="1">AVERAGE(OFFSET($DS$3,0,0,'Données projet'!$E$14+1,1))-AVERAGE(OFFSET($H$3,0,0,'Données projet'!$E$14+1,1))</f>
        <v>312.53381881960331</v>
      </c>
      <c r="DU201" s="62">
        <f t="shared" si="209"/>
        <v>342.06887933351783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1.1368683772161603E-13</v>
      </c>
      <c r="EK201" s="18">
        <f>EJ201*VLOOKUP('Données projet'!$B$15,Paramètres!$A$1:$I$89,3,0)*VLOOKUP('Données projet'!$B$15,Paramètres!$A$1:$I$89,5,0)</f>
        <v>1.0818439477588981E-13</v>
      </c>
      <c r="EL201" s="14">
        <f t="shared" si="179"/>
        <v>1.6104228458716316E-12</v>
      </c>
      <c r="EM201" s="22">
        <f t="shared" si="180"/>
        <v>2.9932409441277661E-12</v>
      </c>
      <c r="EN201" s="62">
        <f t="shared" si="198"/>
        <v>293.33333333333633</v>
      </c>
      <c r="EO201" s="62">
        <f ca="1">AVERAGE(OFFSET($EN$3,0,0,'Données projet'!$E$15+1,1))-AVERAGE(OFFSET($H$3,0,0,'Données projet'!$E$15+1,1))</f>
        <v>363.37916970915211</v>
      </c>
      <c r="EP201" s="62">
        <f t="shared" si="210"/>
        <v>281.52963027844595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-6.2527760746888816E-13</v>
      </c>
      <c r="FF201" s="18">
        <f>FE201*VLOOKUP('Données projet'!$B$16,Paramètres!$A$1:$I$89,3,0)*VLOOKUP('Données projet'!$B$16,Paramètres!$A$1:$I$89,5,0)</f>
        <v>-2.9262992029543964E-13</v>
      </c>
      <c r="FG201" s="14" t="e">
        <f t="shared" si="182"/>
        <v>#NUM!</v>
      </c>
      <c r="FH201" s="22" t="e">
        <f t="shared" si="183"/>
        <v>#NUM!</v>
      </c>
      <c r="FI201" s="62" t="e">
        <f t="shared" si="199"/>
        <v>#NUM!</v>
      </c>
      <c r="FJ201" s="62">
        <f ca="1">AVERAGE(OFFSET($FI$3,0,0,'Données projet'!$E$16+1,1))-AVERAGE(OFFSET($H$3,0,0,'Données projet'!$E$16+1,1))</f>
        <v>245.47494516762282</v>
      </c>
      <c r="FK201" s="62">
        <f t="shared" si="211"/>
        <v>145.54897745089966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-9.6633812063373625E-13</v>
      </c>
      <c r="GA201" s="18">
        <f>FZ201*VLOOKUP('Données projet'!$B$17,Paramètres!$A$1:$I$89,3,0)*VLOOKUP('Données projet'!$B$17,Paramètres!$A$1:$I$89,5,0)</f>
        <v>-9.3464223027694966E-13</v>
      </c>
      <c r="GB201" s="14" t="e">
        <f t="shared" si="185"/>
        <v>#NUM!</v>
      </c>
      <c r="GC201" s="22" t="e">
        <f t="shared" si="186"/>
        <v>#NUM!</v>
      </c>
      <c r="GD201" s="62" t="e">
        <f t="shared" si="200"/>
        <v>#NUM!</v>
      </c>
      <c r="GE201" s="62">
        <f ca="1">AVERAGE(OFFSET($GD$3,0,0,'Données projet'!$E$17+1,1))-AVERAGE(OFFSET($H$3,0,0,'Données projet'!$E$17+1,1))</f>
        <v>455.50822833641354</v>
      </c>
      <c r="GF201" s="62">
        <f t="shared" si="212"/>
        <v>261.14722581688039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1.7053025658242404E-13</v>
      </c>
      <c r="GV201" s="18">
        <f>GU201*VLOOKUP('Données projet'!$B$18,Paramètres!$A$1:$I$89,3,0)*VLOOKUP('Données projet'!$B$18,Paramètres!$A$1:$I$89,5,0)</f>
        <v>1.1439169611549005E-13</v>
      </c>
      <c r="GW201" s="14">
        <f t="shared" si="188"/>
        <v>1.6918016515029816E-12</v>
      </c>
      <c r="GX201" s="22">
        <f t="shared" si="189"/>
        <v>3.1457867471021712E-12</v>
      </c>
      <c r="GY201" s="62">
        <f t="shared" si="201"/>
        <v>293.33333333333644</v>
      </c>
      <c r="GZ201" s="62">
        <f ca="1">AVERAGE(OFFSET($GY$3,0,0,'Données projet'!$E$18+1,1))-AVERAGE(OFFSET($H$3,0,0,'Données projet'!$E$18+1,1))</f>
        <v>312.06797204903796</v>
      </c>
      <c r="HA201" s="62">
        <f t="shared" si="213"/>
        <v>258.20189001775151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projet'!$B$18,Paramètres!$A$1:$I$89,3,0)*0.475*44/12</f>
        <v>0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190"/>
        <v>0</v>
      </c>
    </row>
    <row r="202" spans="1:218" x14ac:dyDescent="0.25">
      <c r="A202" s="11">
        <f t="shared" si="161"/>
        <v>199</v>
      </c>
      <c r="B202" s="76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9">
        <f t="shared" si="192"/>
        <v>256.66666666666669</v>
      </c>
      <c r="I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2.2737367544323206E-13</v>
      </c>
      <c r="O202" s="14">
        <f>N202*VLOOKUP('Données projet'!$B$9,Paramètres!$A$1:$I$89,3,0)*VLOOKUP('Données projet'!$B$9,Paramètres!$A$1:$I$89,5,0)</f>
        <v>1.2710188457276673E-13</v>
      </c>
      <c r="P202" s="14">
        <f t="shared" si="203"/>
        <v>1.856866851063998E-12</v>
      </c>
      <c r="Q202" s="22">
        <f t="shared" si="162"/>
        <v>3.4554122145673649E-12</v>
      </c>
      <c r="R202" s="62">
        <f t="shared" si="191"/>
        <v>293.33333333333678</v>
      </c>
      <c r="S202" s="62">
        <f ca="1">AVERAGE(OFFSET($R$3,0,0,'Données projet'!$E$9+1,1))-AVERAGE(OFFSET($H$3,0,0,'Données projet'!$E$9+1,1))</f>
        <v>323.98185264074681</v>
      </c>
      <c r="T202" s="62">
        <f t="shared" si="204"/>
        <v>301.22207291854005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0.15704205666026935</v>
      </c>
      <c r="AA202" s="23">
        <f>EXP(-LN(2)/25)*AA201+(1-EXP(-LN(2)/25))/(LN(2)/25)*Calculateur!V202*Calculateur!X202*VLOOKUP('Données projet'!$B$9,Paramètres!$A$1:$I$89,3,0)*0.475*44/12</f>
        <v>7.6093752755687125E-2</v>
      </c>
      <c r="AB202" s="23">
        <f>EXP(-LN(2)/2)*AB201+(1-EXP(-LN(2)/2))/(LN(2)/2)*V202*Y202*VLOOKUP('Données projet'!$B$9,Paramètres!$A$1:$I$89,3,0)*0.475*44/12</f>
        <v>2.2254931141247964E-25</v>
      </c>
      <c r="AC202" s="24">
        <f t="shared" si="163"/>
        <v>0.23313580941595646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-2.8421709430404007E-13</v>
      </c>
      <c r="AJ202" s="14">
        <f>AI202*VLOOKUP('Données projet'!$B$10,Paramètres!$A$1:$I$89,3,0)*VLOOKUP('Données projet'!$B$10,Paramètres!$A$1:$I$89,5,0)</f>
        <v>-1.69961822393816E-13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289.12367833861299</v>
      </c>
      <c r="AO202" s="62">
        <f t="shared" si="205"/>
        <v>229.06617320689003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1.5159404099483747E-25</v>
      </c>
      <c r="AX202" s="23">
        <f t="shared" si="166"/>
        <v>1.5159404099483747E-25</v>
      </c>
      <c r="AY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-9.6633812063373625E-13</v>
      </c>
      <c r="BE202" s="14">
        <f>BD202*VLOOKUP('Données projet'!$B$11,Paramètres!$A$1:$I$89,3,0)*VLOOKUP('Données projet'!$B$11,Paramètres!$A$1:$I$89,5,0)</f>
        <v>-8.7434273154940449E-13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428.8489304403459</v>
      </c>
      <c r="BJ202" s="62">
        <f t="shared" si="206"/>
        <v>247.01165577562966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-1.7053025658242404E-13</v>
      </c>
      <c r="BZ202" s="14">
        <f>BY202*VLOOKUP('Données projet'!$B$12,Paramètres!$A$1:$I$89,3,0)*VLOOKUP('Données projet'!$B$12,Paramètres!$A$1:$I$89,5,0)</f>
        <v>-1.250327841262333E-13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290.85271051443431</v>
      </c>
      <c r="CE202" s="62">
        <f t="shared" si="207"/>
        <v>318.66958823451142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1.1368683772161603E-13</v>
      </c>
      <c r="CU202" s="18">
        <f>CT202*VLOOKUP('Données projet'!$B$13,Paramètres!$A$1:$I$89,3,0)*VLOOKUP('Données projet'!$B$13,Paramètres!$A$1:$I$89,5,0)</f>
        <v>8.8675733422860506E-14</v>
      </c>
      <c r="CV202" s="14">
        <f t="shared" si="173"/>
        <v>1.3509285393066301E-12</v>
      </c>
      <c r="CW202" s="22">
        <f t="shared" si="174"/>
        <v>2.5073107750038623E-12</v>
      </c>
      <c r="CX202" s="62">
        <f t="shared" si="196"/>
        <v>293.33333333333582</v>
      </c>
      <c r="CY202" s="62">
        <f ca="1">AVERAGE(OFFSET($CX$3,0,0,'Données projet'!$E$13+1,1))-AVERAGE(OFFSET($H$3,0,0,'Données projet'!$E$13+1,1))</f>
        <v>292.57482726862594</v>
      </c>
      <c r="CZ202" s="62">
        <f t="shared" si="208"/>
        <v>283.48738729114024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-1.7053025658242404E-13</v>
      </c>
      <c r="DP202" s="18">
        <f>DO202*VLOOKUP('Données projet'!$B$14,Paramètres!$A$1:$I$89,3,0)*VLOOKUP('Données projet'!$B$14,Paramètres!$A$1:$I$89,5,0)</f>
        <v>-1.3567387213697657E-13</v>
      </c>
      <c r="DQ202" s="14" t="e">
        <f t="shared" si="176"/>
        <v>#NUM!</v>
      </c>
      <c r="DR202" s="22" t="e">
        <f t="shared" si="177"/>
        <v>#NUM!</v>
      </c>
      <c r="DS202" s="62" t="e">
        <f t="shared" si="197"/>
        <v>#NUM!</v>
      </c>
      <c r="DT202" s="62">
        <f ca="1">AVERAGE(OFFSET($DS$3,0,0,'Données projet'!$E$14+1,1))-AVERAGE(OFFSET($H$3,0,0,'Données projet'!$E$14+1,1))</f>
        <v>312.53381881960331</v>
      </c>
      <c r="DU202" s="62">
        <f t="shared" si="209"/>
        <v>342.06887933351783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1.1368683772161603E-13</v>
      </c>
      <c r="EK202" s="18">
        <f>EJ202*VLOOKUP('Données projet'!$B$15,Paramètres!$A$1:$I$89,3,0)*VLOOKUP('Données projet'!$B$15,Paramètres!$A$1:$I$89,5,0)</f>
        <v>1.0818439477588981E-13</v>
      </c>
      <c r="EL202" s="14">
        <f t="shared" si="179"/>
        <v>1.6104228458716316E-12</v>
      </c>
      <c r="EM202" s="22">
        <f t="shared" si="180"/>
        <v>2.9932409441277661E-12</v>
      </c>
      <c r="EN202" s="62">
        <f t="shared" si="198"/>
        <v>293.33333333333633</v>
      </c>
      <c r="EO202" s="62">
        <f ca="1">AVERAGE(OFFSET($EN$3,0,0,'Données projet'!$E$15+1,1))-AVERAGE(OFFSET($H$3,0,0,'Données projet'!$E$15+1,1))</f>
        <v>363.37916970915211</v>
      </c>
      <c r="EP202" s="62">
        <f t="shared" si="210"/>
        <v>281.52963027844595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-6.2527760746888816E-13</v>
      </c>
      <c r="FF202" s="18">
        <f>FE202*VLOOKUP('Données projet'!$B$16,Paramètres!$A$1:$I$89,3,0)*VLOOKUP('Données projet'!$B$16,Paramètres!$A$1:$I$89,5,0)</f>
        <v>-2.9262992029543964E-13</v>
      </c>
      <c r="FG202" s="14" t="e">
        <f t="shared" si="182"/>
        <v>#NUM!</v>
      </c>
      <c r="FH202" s="22" t="e">
        <f t="shared" si="183"/>
        <v>#NUM!</v>
      </c>
      <c r="FI202" s="62" t="e">
        <f t="shared" si="199"/>
        <v>#NUM!</v>
      </c>
      <c r="FJ202" s="62">
        <f ca="1">AVERAGE(OFFSET($FI$3,0,0,'Données projet'!$E$16+1,1))-AVERAGE(OFFSET($H$3,0,0,'Données projet'!$E$16+1,1))</f>
        <v>245.47494516762282</v>
      </c>
      <c r="FK202" s="62">
        <f t="shared" si="211"/>
        <v>145.54897745089966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-9.6633812063373625E-13</v>
      </c>
      <c r="GA202" s="18">
        <f>FZ202*VLOOKUP('Données projet'!$B$17,Paramètres!$A$1:$I$89,3,0)*VLOOKUP('Données projet'!$B$17,Paramètres!$A$1:$I$89,5,0)</f>
        <v>-9.3464223027694966E-13</v>
      </c>
      <c r="GB202" s="14" t="e">
        <f t="shared" si="185"/>
        <v>#NUM!</v>
      </c>
      <c r="GC202" s="22" t="e">
        <f t="shared" si="186"/>
        <v>#NUM!</v>
      </c>
      <c r="GD202" s="62" t="e">
        <f t="shared" si="200"/>
        <v>#NUM!</v>
      </c>
      <c r="GE202" s="62">
        <f ca="1">AVERAGE(OFFSET($GD$3,0,0,'Données projet'!$E$17+1,1))-AVERAGE(OFFSET($H$3,0,0,'Données projet'!$E$17+1,1))</f>
        <v>455.50822833641354</v>
      </c>
      <c r="GF202" s="62">
        <f t="shared" si="212"/>
        <v>261.14722581688039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1.7053025658242404E-13</v>
      </c>
      <c r="GV202" s="18">
        <f>GU202*VLOOKUP('Données projet'!$B$18,Paramètres!$A$1:$I$89,3,0)*VLOOKUP('Données projet'!$B$18,Paramètres!$A$1:$I$89,5,0)</f>
        <v>1.1439169611549005E-13</v>
      </c>
      <c r="GW202" s="14">
        <f t="shared" si="188"/>
        <v>1.6918016515029816E-12</v>
      </c>
      <c r="GX202" s="22">
        <f t="shared" si="189"/>
        <v>3.1457867471021712E-12</v>
      </c>
      <c r="GY202" s="62">
        <f t="shared" si="201"/>
        <v>293.33333333333644</v>
      </c>
      <c r="GZ202" s="62">
        <f ca="1">AVERAGE(OFFSET($GY$3,0,0,'Données projet'!$E$18+1,1))-AVERAGE(OFFSET($H$3,0,0,'Données projet'!$E$18+1,1))</f>
        <v>312.06797204903796</v>
      </c>
      <c r="HA202" s="62">
        <f t="shared" si="213"/>
        <v>258.20189001775151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projet'!$B$18,Paramètres!$A$1:$I$89,3,0)*0.475*44/12</f>
        <v>0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190"/>
        <v>0</v>
      </c>
    </row>
    <row r="203" spans="1:218" ht="15.75" thickBot="1" x14ac:dyDescent="0.3">
      <c r="A203" s="11">
        <f>A202+1</f>
        <v>200</v>
      </c>
      <c r="B203" s="76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9">
        <f t="shared" si="192"/>
        <v>256.66666666666669</v>
      </c>
      <c r="I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2.2737367544323206E-13</v>
      </c>
      <c r="O203" s="14">
        <f>N203*VLOOKUP('Données projet'!$B$9,Paramètres!$A$1:$I$89,3,0)*VLOOKUP('Données projet'!$B$9,Paramètres!$A$1:$I$89,5,0)</f>
        <v>1.2710188457276673E-13</v>
      </c>
      <c r="P203" s="14">
        <f t="shared" si="203"/>
        <v>1.856866851063998E-12</v>
      </c>
      <c r="Q203" s="22">
        <f t="shared" si="162"/>
        <v>3.4554122145673649E-12</v>
      </c>
      <c r="R203" s="62">
        <f t="shared" si="191"/>
        <v>293.33333333333678</v>
      </c>
      <c r="S203" s="62">
        <f ca="1">AVERAGE(OFFSET($R$3,0,0,'Données projet'!$E$9+1,1))-AVERAGE(OFFSET($H$3,0,0,'Données projet'!$E$9+1,1))</f>
        <v>323.98185264074681</v>
      </c>
      <c r="T203" s="62">
        <f t="shared" si="204"/>
        <v>301.22207291854005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0.15396255771535794</v>
      </c>
      <c r="AA203" s="23">
        <f>EXP(-LN(2)/25)*AA202+(1-EXP(-LN(2)/25))/(LN(2)/25)*Calculateur!V203*Calculateur!X203*VLOOKUP('Données projet'!$B$9,Paramètres!$A$1:$I$89,3,0)*0.475*44/12</f>
        <v>7.4012965084986324E-2</v>
      </c>
      <c r="AB203" s="23">
        <f>EXP(-LN(2)/2)*AB202+(1-EXP(-LN(2)/2))/(LN(2)/2)*V203*Y203*VLOOKUP('Données projet'!$B$9,Paramètres!$A$1:$I$89,3,0)*0.475*44/12</f>
        <v>1.5736612724816107E-25</v>
      </c>
      <c r="AC203" s="24">
        <f t="shared" si="163"/>
        <v>0.22797552280034428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-2.8421709430404007E-13</v>
      </c>
      <c r="AJ203" s="14">
        <f>AI203*VLOOKUP('Données projet'!$B$10,Paramètres!$A$1:$I$89,3,0)*VLOOKUP('Données projet'!$B$10,Paramètres!$A$1:$I$89,5,0)</f>
        <v>-1.69961822393816E-13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289.12367833861299</v>
      </c>
      <c r="AO203" s="62">
        <f t="shared" si="205"/>
        <v>229.06617320689003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1.0719317437492105E-25</v>
      </c>
      <c r="AX203" s="23">
        <f t="shared" si="166"/>
        <v>1.0719317437492105E-25</v>
      </c>
      <c r="AY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-9.6633812063373625E-13</v>
      </c>
      <c r="BE203" s="14">
        <f>BD203*VLOOKUP('Données projet'!$B$11,Paramètres!$A$1:$I$89,3,0)*VLOOKUP('Données projet'!$B$11,Paramètres!$A$1:$I$89,5,0)</f>
        <v>-8.7434273154940449E-13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428.8489304403459</v>
      </c>
      <c r="BJ203" s="62">
        <f t="shared" si="206"/>
        <v>247.01165577562966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-1.7053025658242404E-13</v>
      </c>
      <c r="BZ203" s="14">
        <f>BY203*VLOOKUP('Données projet'!$B$12,Paramètres!$A$1:$I$89,3,0)*VLOOKUP('Données projet'!$B$12,Paramètres!$A$1:$I$89,5,0)</f>
        <v>-1.250327841262333E-13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290.85271051443431</v>
      </c>
      <c r="CE203" s="62">
        <f t="shared" si="207"/>
        <v>318.66958823451142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1.1368683772161603E-13</v>
      </c>
      <c r="CU203" s="18">
        <f>CT203*VLOOKUP('Données projet'!$B$13,Paramètres!$A$1:$I$89,3,0)*VLOOKUP('Données projet'!$B$13,Paramètres!$A$1:$I$89,5,0)</f>
        <v>8.8675733422860506E-14</v>
      </c>
      <c r="CV203" s="14">
        <f t="shared" si="173"/>
        <v>1.3509285393066301E-12</v>
      </c>
      <c r="CW203" s="22">
        <f t="shared" si="174"/>
        <v>2.5073107750038623E-12</v>
      </c>
      <c r="CX203" s="62">
        <f t="shared" si="196"/>
        <v>293.33333333333582</v>
      </c>
      <c r="CY203" s="62">
        <f ca="1">AVERAGE(OFFSET($CX$3,0,0,'Données projet'!$E$13+1,1))-AVERAGE(OFFSET($H$3,0,0,'Données projet'!$E$13+1,1))</f>
        <v>292.57482726862594</v>
      </c>
      <c r="CZ203" s="62">
        <f t="shared" si="208"/>
        <v>283.48738729114024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-1.7053025658242404E-13</v>
      </c>
      <c r="DP203" s="18">
        <f>DO203*VLOOKUP('Données projet'!$B$14,Paramètres!$A$1:$I$89,3,0)*VLOOKUP('Données projet'!$B$14,Paramètres!$A$1:$I$89,5,0)</f>
        <v>-1.3567387213697657E-13</v>
      </c>
      <c r="DQ203" s="14" t="e">
        <f t="shared" si="176"/>
        <v>#NUM!</v>
      </c>
      <c r="DR203" s="22" t="e">
        <f t="shared" si="177"/>
        <v>#NUM!</v>
      </c>
      <c r="DS203" s="62" t="e">
        <f t="shared" si="197"/>
        <v>#NUM!</v>
      </c>
      <c r="DT203" s="62">
        <f ca="1">AVERAGE(OFFSET($DS$3,0,0,'Données projet'!$E$14+1,1))-AVERAGE(OFFSET($H$3,0,0,'Données projet'!$E$14+1,1))</f>
        <v>312.53381881960331</v>
      </c>
      <c r="DU203" s="62">
        <f t="shared" si="209"/>
        <v>342.06887933351783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1.1368683772161603E-13</v>
      </c>
      <c r="EK203" s="18">
        <f>EJ203*VLOOKUP('Données projet'!$B$15,Paramètres!$A$1:$I$89,3,0)*VLOOKUP('Données projet'!$B$15,Paramètres!$A$1:$I$89,5,0)</f>
        <v>1.0818439477588981E-13</v>
      </c>
      <c r="EL203" s="14">
        <f t="shared" si="179"/>
        <v>1.6104228458716316E-12</v>
      </c>
      <c r="EM203" s="22">
        <f t="shared" si="180"/>
        <v>2.9932409441277661E-12</v>
      </c>
      <c r="EN203" s="62">
        <f t="shared" si="198"/>
        <v>293.33333333333633</v>
      </c>
      <c r="EO203" s="62">
        <f ca="1">AVERAGE(OFFSET($EN$3,0,0,'Données projet'!$E$15+1,1))-AVERAGE(OFFSET($H$3,0,0,'Données projet'!$E$15+1,1))</f>
        <v>363.37916970915211</v>
      </c>
      <c r="EP203" s="62">
        <f t="shared" si="210"/>
        <v>281.52963027844595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-6.2527760746888816E-13</v>
      </c>
      <c r="FF203" s="18">
        <f>FE203*VLOOKUP('Données projet'!$B$16,Paramètres!$A$1:$I$89,3,0)*VLOOKUP('Données projet'!$B$16,Paramètres!$A$1:$I$89,5,0)</f>
        <v>-2.9262992029543964E-13</v>
      </c>
      <c r="FG203" s="14" t="e">
        <f t="shared" si="182"/>
        <v>#NUM!</v>
      </c>
      <c r="FH203" s="22" t="e">
        <f t="shared" si="183"/>
        <v>#NUM!</v>
      </c>
      <c r="FI203" s="62" t="e">
        <f t="shared" si="199"/>
        <v>#NUM!</v>
      </c>
      <c r="FJ203" s="62">
        <f ca="1">AVERAGE(OFFSET($FI$3,0,0,'Données projet'!$E$16+1,1))-AVERAGE(OFFSET($H$3,0,0,'Données projet'!$E$16+1,1))</f>
        <v>245.47494516762282</v>
      </c>
      <c r="FK203" s="62">
        <f t="shared" si="211"/>
        <v>145.54897745089966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-9.6633812063373625E-13</v>
      </c>
      <c r="GA203" s="18">
        <f>FZ203*VLOOKUP('Données projet'!$B$17,Paramètres!$A$1:$I$89,3,0)*VLOOKUP('Données projet'!$B$17,Paramètres!$A$1:$I$89,5,0)</f>
        <v>-9.3464223027694966E-13</v>
      </c>
      <c r="GB203" s="14" t="e">
        <f t="shared" si="185"/>
        <v>#NUM!</v>
      </c>
      <c r="GC203" s="22" t="e">
        <f t="shared" si="186"/>
        <v>#NUM!</v>
      </c>
      <c r="GD203" s="62" t="e">
        <f t="shared" si="200"/>
        <v>#NUM!</v>
      </c>
      <c r="GE203" s="62">
        <f ca="1">AVERAGE(OFFSET($GD$3,0,0,'Données projet'!$E$17+1,1))-AVERAGE(OFFSET($H$3,0,0,'Données projet'!$E$17+1,1))</f>
        <v>455.50822833641354</v>
      </c>
      <c r="GF203" s="62">
        <f t="shared" si="212"/>
        <v>261.14722581688039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1.7053025658242404E-13</v>
      </c>
      <c r="GV203" s="18">
        <f>GU203*VLOOKUP('Données projet'!$B$18,Paramètres!$A$1:$I$89,3,0)*VLOOKUP('Données projet'!$B$18,Paramètres!$A$1:$I$89,5,0)</f>
        <v>1.1439169611549005E-13</v>
      </c>
      <c r="GW203" s="14">
        <f t="shared" si="188"/>
        <v>1.6918016515029816E-12</v>
      </c>
      <c r="GX203" s="22">
        <f t="shared" si="189"/>
        <v>3.1457867471021712E-12</v>
      </c>
      <c r="GY203" s="62">
        <f t="shared" si="201"/>
        <v>293.33333333333644</v>
      </c>
      <c r="GZ203" s="62">
        <f ca="1">AVERAGE(OFFSET($GY$3,0,0,'Données projet'!$E$18+1,1))-AVERAGE(OFFSET($H$3,0,0,'Données projet'!$E$18+1,1))</f>
        <v>312.06797204903796</v>
      </c>
      <c r="HA203" s="62">
        <f t="shared" si="213"/>
        <v>258.20189001775151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projet'!$B$18,Paramètres!$A$1:$I$89,3,0)*0.475*44/12</f>
        <v>0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190"/>
        <v>0</v>
      </c>
    </row>
    <row r="204" spans="1:218" ht="15.75" thickBot="1" x14ac:dyDescent="0.3">
      <c r="B204" s="82"/>
      <c r="C204" s="80"/>
      <c r="D204" s="81"/>
      <c r="E204" s="81"/>
      <c r="F204" s="81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0"/>
      <c r="I204" s="80"/>
      <c r="J204" s="80"/>
      <c r="K204" s="89" t="s">
        <v>293</v>
      </c>
      <c r="L204" s="83"/>
      <c r="M204" s="83"/>
      <c r="N204" s="83"/>
      <c r="O204" s="80"/>
      <c r="P204" s="80"/>
      <c r="Q204" s="81"/>
      <c r="R204" s="84"/>
      <c r="S204" s="84"/>
      <c r="T204" s="84"/>
      <c r="U204" s="83"/>
      <c r="V204" s="83"/>
      <c r="W204" s="85"/>
      <c r="X204" s="85"/>
      <c r="Y204" s="85"/>
      <c r="Z204" s="80"/>
      <c r="AA204" s="80"/>
      <c r="AB204" s="80"/>
      <c r="AC204" s="80"/>
      <c r="AD204" s="80"/>
      <c r="AE204" s="80"/>
      <c r="AF204" s="86" t="s">
        <v>293</v>
      </c>
      <c r="BA204" s="86" t="s">
        <v>293</v>
      </c>
      <c r="BV204" s="86" t="s">
        <v>293</v>
      </c>
      <c r="CQ204" s="86" t="s">
        <v>293</v>
      </c>
      <c r="DL204" s="86" t="s">
        <v>293</v>
      </c>
      <c r="EG204" s="86" t="s">
        <v>293</v>
      </c>
      <c r="FB204" s="86" t="s">
        <v>293</v>
      </c>
      <c r="FW204" s="86" t="s">
        <v>293</v>
      </c>
      <c r="GR204" s="86" t="s">
        <v>293</v>
      </c>
    </row>
    <row r="205" spans="1:218" ht="15.75" thickBot="1" x14ac:dyDescent="0.3">
      <c r="B205" s="82"/>
      <c r="C205" s="80"/>
      <c r="D205" s="81"/>
      <c r="E205" s="81"/>
      <c r="F205" s="81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0"/>
      <c r="I205" s="80"/>
      <c r="J205" s="80"/>
      <c r="K205" s="87">
        <f>EXP(LN('Données projet'!B36)/'Données projet'!A36)</f>
        <v>1.3009230512021859</v>
      </c>
      <c r="L205" s="83"/>
      <c r="M205" s="83"/>
      <c r="N205" s="83"/>
      <c r="O205" s="80"/>
      <c r="P205" s="80"/>
      <c r="Q205" s="81"/>
      <c r="R205" s="84"/>
      <c r="S205" s="84"/>
      <c r="T205" s="84"/>
      <c r="U205" s="83"/>
      <c r="V205" s="83"/>
      <c r="W205" s="85"/>
      <c r="X205" s="85"/>
      <c r="Y205" s="85"/>
      <c r="Z205" s="80"/>
      <c r="AA205" s="80"/>
      <c r="AB205" s="80"/>
      <c r="AC205" s="80"/>
      <c r="AD205" s="80"/>
      <c r="AE205" s="80"/>
      <c r="AF205" s="88">
        <f>EXP(LN('Données projet'!B62)/'Données projet'!A62)</f>
        <v>1.2691631451226497</v>
      </c>
      <c r="BA205" s="87">
        <f>EXP(LN('Données projet'!B88)/'Données projet'!A88)</f>
        <v>1.2054868146447177</v>
      </c>
      <c r="BV205" s="87">
        <f>EXP(LN('Données projet'!B114)/'Données projet'!A114)</f>
        <v>1.2721747796233518</v>
      </c>
      <c r="CQ205" s="87">
        <f>EXP(LN('Données projet'!B140)/'Données projet'!A140)</f>
        <v>1.2788040393997409</v>
      </c>
      <c r="DL205" s="87">
        <f>EXP(LN('Données projet'!B166)/'Données projet'!A166)</f>
        <v>1.2721747796233518</v>
      </c>
      <c r="EG205" s="87">
        <f>EXP(LN('Données projet'!B192)/'Données projet'!A192)</f>
        <v>1.2711106295585217</v>
      </c>
      <c r="FB205" s="87">
        <f>EXP(LN('Données projet'!B218)/'Données projet'!A218)</f>
        <v>1.1671681906248585</v>
      </c>
      <c r="FW205" s="87">
        <f>EXP(LN('Données projet'!B244)/'Données projet'!A244)</f>
        <v>1.2054868146447177</v>
      </c>
      <c r="GR205" s="87">
        <f>EXP(LN('Données projet'!B270)/'Données projet'!A270)</f>
        <v>1.2979700365523266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workbookViewId="0">
      <selection activeCell="C27" sqref="C27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19" t="s">
        <v>0</v>
      </c>
      <c r="B1" s="120" t="s">
        <v>106</v>
      </c>
      <c r="C1" s="121" t="s">
        <v>144</v>
      </c>
      <c r="D1" s="120" t="s">
        <v>100</v>
      </c>
      <c r="E1" s="121" t="s">
        <v>145</v>
      </c>
      <c r="F1" s="121" t="s">
        <v>100</v>
      </c>
      <c r="G1" s="121" t="s">
        <v>146</v>
      </c>
      <c r="H1" s="121" t="s">
        <v>100</v>
      </c>
      <c r="I1" s="122" t="s">
        <v>147</v>
      </c>
      <c r="J1" s="99"/>
      <c r="K1" s="99"/>
      <c r="L1" s="99"/>
      <c r="M1" s="99"/>
      <c r="N1" s="99"/>
    </row>
    <row r="2" spans="1:16" x14ac:dyDescent="0.25">
      <c r="A2" s="123" t="s">
        <v>1</v>
      </c>
      <c r="B2" s="124" t="s">
        <v>53</v>
      </c>
      <c r="C2" s="125">
        <v>0.62</v>
      </c>
      <c r="D2" s="125" t="s">
        <v>161</v>
      </c>
      <c r="E2" s="125">
        <v>1.56</v>
      </c>
      <c r="F2" s="125" t="s">
        <v>274</v>
      </c>
      <c r="G2" s="126">
        <v>0.43</v>
      </c>
      <c r="H2" s="127" t="s">
        <v>278</v>
      </c>
      <c r="I2" s="128">
        <v>0.25</v>
      </c>
      <c r="J2" s="99"/>
      <c r="K2" s="99"/>
      <c r="L2" s="99"/>
      <c r="M2" s="99"/>
      <c r="N2" s="99"/>
      <c r="O2" s="317" t="s">
        <v>238</v>
      </c>
      <c r="P2" s="129">
        <v>0</v>
      </c>
    </row>
    <row r="3" spans="1:16" ht="15.75" thickBot="1" x14ac:dyDescent="0.3">
      <c r="A3" s="130" t="s">
        <v>2</v>
      </c>
      <c r="B3" s="131" t="s">
        <v>54</v>
      </c>
      <c r="C3" s="132">
        <v>0.64</v>
      </c>
      <c r="D3" s="132" t="s">
        <v>161</v>
      </c>
      <c r="E3" s="132">
        <v>1.56</v>
      </c>
      <c r="F3" s="133" t="s">
        <v>274</v>
      </c>
      <c r="G3" s="134">
        <v>0.43</v>
      </c>
      <c r="H3" s="132" t="s">
        <v>278</v>
      </c>
      <c r="I3" s="135">
        <v>0.25</v>
      </c>
      <c r="J3" s="99"/>
      <c r="K3" s="99"/>
      <c r="L3" s="99"/>
      <c r="M3" s="99"/>
      <c r="N3" s="99"/>
      <c r="O3" s="318"/>
      <c r="P3" s="136">
        <v>0.2</v>
      </c>
    </row>
    <row r="4" spans="1:16" ht="15.75" thickBot="1" x14ac:dyDescent="0.3">
      <c r="A4" s="130" t="s">
        <v>98</v>
      </c>
      <c r="B4" s="131" t="s">
        <v>99</v>
      </c>
      <c r="C4" s="132">
        <v>0.42</v>
      </c>
      <c r="D4" s="132" t="s">
        <v>161</v>
      </c>
      <c r="E4" s="132">
        <v>1.56</v>
      </c>
      <c r="F4" s="133" t="s">
        <v>274</v>
      </c>
      <c r="G4" s="134">
        <v>0.43</v>
      </c>
      <c r="H4" s="132" t="s">
        <v>278</v>
      </c>
      <c r="I4" s="135">
        <v>0.25</v>
      </c>
      <c r="J4" s="99"/>
      <c r="K4" s="99"/>
      <c r="L4" s="99"/>
      <c r="M4" s="99"/>
      <c r="N4" s="99"/>
    </row>
    <row r="5" spans="1:16" x14ac:dyDescent="0.25">
      <c r="A5" s="130" t="s">
        <v>4</v>
      </c>
      <c r="B5" s="131" t="s">
        <v>55</v>
      </c>
      <c r="C5" s="132">
        <v>0.42</v>
      </c>
      <c r="D5" s="132" t="s">
        <v>161</v>
      </c>
      <c r="E5" s="132">
        <v>1.56</v>
      </c>
      <c r="F5" s="133" t="s">
        <v>274</v>
      </c>
      <c r="G5" s="134">
        <v>0.43</v>
      </c>
      <c r="H5" s="132" t="s">
        <v>278</v>
      </c>
      <c r="I5" s="135">
        <v>0.25</v>
      </c>
      <c r="J5" s="99"/>
      <c r="K5" s="99"/>
      <c r="L5" s="99"/>
      <c r="M5" s="99"/>
      <c r="N5" s="99"/>
      <c r="O5" s="317" t="s">
        <v>237</v>
      </c>
      <c r="P5" s="129">
        <v>0</v>
      </c>
    </row>
    <row r="6" spans="1:16" x14ac:dyDescent="0.25">
      <c r="A6" s="130" t="s">
        <v>3</v>
      </c>
      <c r="B6" s="131" t="s">
        <v>97</v>
      </c>
      <c r="C6" s="132">
        <v>0.42</v>
      </c>
      <c r="D6" s="132" t="s">
        <v>161</v>
      </c>
      <c r="E6" s="132">
        <v>1.56</v>
      </c>
      <c r="F6" s="133" t="s">
        <v>274</v>
      </c>
      <c r="G6" s="134">
        <v>0.43</v>
      </c>
      <c r="H6" s="132" t="s">
        <v>278</v>
      </c>
      <c r="I6" s="135">
        <v>0.25</v>
      </c>
      <c r="J6" s="99"/>
      <c r="K6" s="99"/>
      <c r="L6" s="99"/>
      <c r="M6" s="99"/>
      <c r="N6" s="99"/>
      <c r="O6" s="319"/>
      <c r="P6" s="137">
        <v>0.05</v>
      </c>
    </row>
    <row r="7" spans="1:16" x14ac:dyDescent="0.25">
      <c r="A7" s="130" t="s">
        <v>5</v>
      </c>
      <c r="B7" s="131" t="s">
        <v>56</v>
      </c>
      <c r="C7" s="132">
        <v>0.52</v>
      </c>
      <c r="D7" s="132" t="s">
        <v>161</v>
      </c>
      <c r="E7" s="132">
        <v>1.56</v>
      </c>
      <c r="F7" s="133" t="s">
        <v>274</v>
      </c>
      <c r="G7" s="134">
        <v>0.43</v>
      </c>
      <c r="H7" s="132" t="s">
        <v>278</v>
      </c>
      <c r="I7" s="135">
        <v>0.25</v>
      </c>
      <c r="J7" s="99"/>
      <c r="K7" s="99"/>
      <c r="L7" s="99"/>
      <c r="M7" s="99"/>
      <c r="N7" s="99"/>
      <c r="O7" s="319"/>
      <c r="P7" s="137">
        <v>0.1</v>
      </c>
    </row>
    <row r="8" spans="1:16" ht="15.75" thickBot="1" x14ac:dyDescent="0.3">
      <c r="A8" s="130" t="s">
        <v>164</v>
      </c>
      <c r="B8" s="131" t="s">
        <v>57</v>
      </c>
      <c r="C8" s="132">
        <v>0.36</v>
      </c>
      <c r="D8" s="132" t="s">
        <v>161</v>
      </c>
      <c r="E8" s="132">
        <v>1.3</v>
      </c>
      <c r="F8" s="133" t="s">
        <v>274</v>
      </c>
      <c r="G8" s="134">
        <v>0.55000000000000004</v>
      </c>
      <c r="H8" s="132" t="s">
        <v>153</v>
      </c>
      <c r="I8" s="135">
        <v>0.43</v>
      </c>
      <c r="J8" s="99"/>
      <c r="K8" s="99"/>
      <c r="L8" s="99"/>
      <c r="M8" s="99"/>
      <c r="N8" s="99"/>
      <c r="O8" s="318"/>
      <c r="P8" s="136">
        <v>0.15</v>
      </c>
    </row>
    <row r="9" spans="1:16" ht="15.75" thickBot="1" x14ac:dyDescent="0.3">
      <c r="A9" s="130" t="s">
        <v>6</v>
      </c>
      <c r="B9" s="131" t="s">
        <v>58</v>
      </c>
      <c r="C9" s="132">
        <v>0.61</v>
      </c>
      <c r="D9" s="132" t="s">
        <v>161</v>
      </c>
      <c r="E9" s="132">
        <v>1.56</v>
      </c>
      <c r="F9" s="133" t="s">
        <v>274</v>
      </c>
      <c r="G9" s="134">
        <v>0.43</v>
      </c>
      <c r="H9" s="132" t="s">
        <v>278</v>
      </c>
      <c r="I9" s="135">
        <v>0.25</v>
      </c>
      <c r="J9" s="99"/>
      <c r="K9" s="99"/>
      <c r="L9" s="99"/>
      <c r="M9" s="99"/>
      <c r="N9" s="99"/>
    </row>
    <row r="10" spans="1:16" x14ac:dyDescent="0.25">
      <c r="A10" s="130" t="s">
        <v>7</v>
      </c>
      <c r="B10" s="131" t="s">
        <v>59</v>
      </c>
      <c r="C10" s="132">
        <v>0.66</v>
      </c>
      <c r="D10" s="132" t="s">
        <v>161</v>
      </c>
      <c r="E10" s="132">
        <v>1.56</v>
      </c>
      <c r="F10" s="133" t="s">
        <v>274</v>
      </c>
      <c r="G10" s="134">
        <v>0.43</v>
      </c>
      <c r="H10" s="132" t="s">
        <v>278</v>
      </c>
      <c r="I10" s="135">
        <v>0.25</v>
      </c>
      <c r="J10" s="99"/>
      <c r="K10" s="99"/>
      <c r="L10" s="99"/>
      <c r="M10" s="99"/>
      <c r="N10" s="99"/>
      <c r="O10" s="317" t="s">
        <v>236</v>
      </c>
      <c r="P10" s="129">
        <v>0</v>
      </c>
    </row>
    <row r="11" spans="1:16" ht="15.75" thickBot="1" x14ac:dyDescent="0.3">
      <c r="A11" s="130" t="s">
        <v>8</v>
      </c>
      <c r="B11" s="131" t="s">
        <v>60</v>
      </c>
      <c r="C11" s="132">
        <v>0.47</v>
      </c>
      <c r="D11" s="132" t="s">
        <v>161</v>
      </c>
      <c r="E11" s="132">
        <v>1.56</v>
      </c>
      <c r="F11" s="133" t="s">
        <v>274</v>
      </c>
      <c r="G11" s="134">
        <v>0.43</v>
      </c>
      <c r="H11" s="132" t="s">
        <v>278</v>
      </c>
      <c r="I11" s="135">
        <v>0.25</v>
      </c>
      <c r="J11" s="99"/>
      <c r="K11" s="99"/>
      <c r="L11" s="99"/>
      <c r="M11" s="99"/>
      <c r="N11" s="99"/>
      <c r="O11" s="318"/>
      <c r="P11" s="136">
        <v>0.1</v>
      </c>
    </row>
    <row r="12" spans="1:16" x14ac:dyDescent="0.25">
      <c r="A12" s="130" t="s">
        <v>9</v>
      </c>
      <c r="B12" s="131" t="s">
        <v>61</v>
      </c>
      <c r="C12" s="132">
        <v>0.67</v>
      </c>
      <c r="D12" s="132" t="s">
        <v>161</v>
      </c>
      <c r="E12" s="132">
        <v>1.56</v>
      </c>
      <c r="F12" s="133" t="s">
        <v>274</v>
      </c>
      <c r="G12" s="134">
        <v>0.43</v>
      </c>
      <c r="H12" s="132" t="s">
        <v>152</v>
      </c>
      <c r="I12" s="135">
        <v>0.25</v>
      </c>
      <c r="J12" s="99"/>
      <c r="K12" s="99"/>
      <c r="L12" s="99"/>
      <c r="M12" s="99"/>
      <c r="N12" s="99"/>
    </row>
    <row r="13" spans="1:16" x14ac:dyDescent="0.25">
      <c r="A13" s="130" t="s">
        <v>10</v>
      </c>
      <c r="B13" s="131" t="s">
        <v>62</v>
      </c>
      <c r="C13" s="132">
        <v>0.7</v>
      </c>
      <c r="D13" s="132" t="s">
        <v>161</v>
      </c>
      <c r="E13" s="132">
        <v>1.56</v>
      </c>
      <c r="F13" s="133" t="s">
        <v>274</v>
      </c>
      <c r="G13" s="134">
        <v>0.43</v>
      </c>
      <c r="H13" s="132" t="s">
        <v>152</v>
      </c>
      <c r="I13" s="135">
        <v>0.25</v>
      </c>
      <c r="J13" s="99"/>
      <c r="K13" s="99"/>
      <c r="L13" s="99"/>
      <c r="M13" s="99"/>
      <c r="N13" s="99"/>
    </row>
    <row r="14" spans="1:16" x14ac:dyDescent="0.25">
      <c r="A14" s="130" t="s">
        <v>11</v>
      </c>
      <c r="B14" s="131" t="s">
        <v>63</v>
      </c>
      <c r="C14" s="132">
        <v>0.54</v>
      </c>
      <c r="D14" s="132" t="s">
        <v>161</v>
      </c>
      <c r="E14" s="132">
        <v>1.56</v>
      </c>
      <c r="F14" s="133" t="s">
        <v>274</v>
      </c>
      <c r="G14" s="134">
        <v>0.43</v>
      </c>
      <c r="H14" s="132" t="s">
        <v>152</v>
      </c>
      <c r="I14" s="135">
        <v>0.25</v>
      </c>
      <c r="J14" s="99"/>
      <c r="K14" s="99"/>
      <c r="L14" s="99"/>
      <c r="M14" s="99"/>
      <c r="N14" s="99"/>
    </row>
    <row r="15" spans="1:16" x14ac:dyDescent="0.25">
      <c r="A15" s="130" t="s">
        <v>12</v>
      </c>
      <c r="B15" s="131" t="s">
        <v>64</v>
      </c>
      <c r="C15" s="132">
        <v>0.65</v>
      </c>
      <c r="D15" s="132" t="s">
        <v>161</v>
      </c>
      <c r="E15" s="132">
        <v>1.56</v>
      </c>
      <c r="F15" s="133" t="s">
        <v>274</v>
      </c>
      <c r="G15" s="134">
        <v>0.43</v>
      </c>
      <c r="H15" s="132" t="s">
        <v>152</v>
      </c>
      <c r="I15" s="135">
        <v>0.25</v>
      </c>
      <c r="J15" s="99"/>
      <c r="K15" s="99"/>
      <c r="L15" s="99"/>
      <c r="M15" s="99"/>
      <c r="N15" s="99"/>
    </row>
    <row r="16" spans="1:16" x14ac:dyDescent="0.25">
      <c r="A16" s="130" t="s">
        <v>13</v>
      </c>
      <c r="B16" s="131" t="s">
        <v>65</v>
      </c>
      <c r="C16" s="132">
        <v>0.56000000000000005</v>
      </c>
      <c r="D16" s="132" t="s">
        <v>161</v>
      </c>
      <c r="E16" s="132">
        <v>1.56</v>
      </c>
      <c r="F16" s="133" t="s">
        <v>274</v>
      </c>
      <c r="G16" s="134">
        <v>0.43</v>
      </c>
      <c r="H16" s="132" t="s">
        <v>152</v>
      </c>
      <c r="I16" s="135">
        <v>0.25</v>
      </c>
      <c r="J16" s="99"/>
      <c r="K16" s="99"/>
      <c r="L16" s="99"/>
      <c r="M16" s="99"/>
      <c r="N16" s="99"/>
    </row>
    <row r="17" spans="1:14" x14ac:dyDescent="0.25">
      <c r="A17" s="130" t="s">
        <v>14</v>
      </c>
      <c r="B17" s="131" t="s">
        <v>66</v>
      </c>
      <c r="C17" s="132">
        <v>0.57999999999999996</v>
      </c>
      <c r="D17" s="132" t="s">
        <v>161</v>
      </c>
      <c r="E17" s="132">
        <v>1.56</v>
      </c>
      <c r="F17" s="133" t="s">
        <v>274</v>
      </c>
      <c r="G17" s="134">
        <v>0.43</v>
      </c>
      <c r="H17" s="132" t="s">
        <v>152</v>
      </c>
      <c r="I17" s="135">
        <v>0.25</v>
      </c>
      <c r="J17" s="99"/>
      <c r="K17" s="99"/>
      <c r="L17" s="99"/>
      <c r="M17" s="99"/>
      <c r="N17" s="99"/>
    </row>
    <row r="18" spans="1:14" x14ac:dyDescent="0.25">
      <c r="A18" s="130" t="s">
        <v>15</v>
      </c>
      <c r="B18" s="131" t="s">
        <v>67</v>
      </c>
      <c r="C18" s="132">
        <v>0.64</v>
      </c>
      <c r="D18" s="132" t="s">
        <v>161</v>
      </c>
      <c r="E18" s="132">
        <v>1.56</v>
      </c>
      <c r="F18" s="133" t="s">
        <v>274</v>
      </c>
      <c r="G18" s="134">
        <v>0.43</v>
      </c>
      <c r="H18" s="132" t="s">
        <v>152</v>
      </c>
      <c r="I18" s="135">
        <v>0.25</v>
      </c>
      <c r="J18" s="99"/>
      <c r="K18" s="99"/>
      <c r="L18" s="99"/>
      <c r="M18" s="99"/>
      <c r="N18" s="99"/>
    </row>
    <row r="19" spans="1:14" x14ac:dyDescent="0.25">
      <c r="A19" s="130" t="s">
        <v>16</v>
      </c>
      <c r="B19" s="131" t="s">
        <v>68</v>
      </c>
      <c r="C19" s="132">
        <v>0.73</v>
      </c>
      <c r="D19" s="132" t="s">
        <v>161</v>
      </c>
      <c r="E19" s="132">
        <v>1.56</v>
      </c>
      <c r="F19" s="133" t="s">
        <v>274</v>
      </c>
      <c r="G19" s="134">
        <v>0.43</v>
      </c>
      <c r="H19" s="132" t="s">
        <v>152</v>
      </c>
      <c r="I19" s="135">
        <v>0.25</v>
      </c>
      <c r="J19" s="99"/>
      <c r="K19" s="99"/>
      <c r="L19" s="99"/>
      <c r="M19" s="99"/>
      <c r="N19" s="99"/>
    </row>
    <row r="20" spans="1:14" x14ac:dyDescent="0.25">
      <c r="A20" s="130" t="s">
        <v>52</v>
      </c>
      <c r="B20" s="131" t="s">
        <v>69</v>
      </c>
      <c r="C20" s="132">
        <v>0.69</v>
      </c>
      <c r="D20" s="132" t="s">
        <v>131</v>
      </c>
      <c r="E20" s="132">
        <v>1.56</v>
      </c>
      <c r="F20" s="133" t="s">
        <v>274</v>
      </c>
      <c r="G20" s="134">
        <v>0.43</v>
      </c>
      <c r="H20" s="132" t="s">
        <v>282</v>
      </c>
      <c r="I20" s="135">
        <v>0.25</v>
      </c>
      <c r="J20" s="99"/>
      <c r="K20" s="99"/>
      <c r="L20" s="99"/>
      <c r="M20" s="99"/>
      <c r="N20" s="99"/>
    </row>
    <row r="21" spans="1:14" x14ac:dyDescent="0.25">
      <c r="A21" s="130" t="s">
        <v>154</v>
      </c>
      <c r="B21" s="131" t="s">
        <v>155</v>
      </c>
      <c r="C21" s="132">
        <v>0.36</v>
      </c>
      <c r="D21" s="132" t="s">
        <v>161</v>
      </c>
      <c r="E21" s="132">
        <v>1.3</v>
      </c>
      <c r="F21" s="133" t="s">
        <v>274</v>
      </c>
      <c r="G21" s="134">
        <v>0.55000000000000004</v>
      </c>
      <c r="H21" s="132" t="s">
        <v>153</v>
      </c>
      <c r="I21" s="135">
        <v>0.43</v>
      </c>
      <c r="J21" s="99"/>
      <c r="K21" s="99"/>
      <c r="L21" s="99"/>
      <c r="M21" s="99"/>
      <c r="N21" s="99"/>
    </row>
    <row r="22" spans="1:14" x14ac:dyDescent="0.25">
      <c r="A22" s="130" t="s">
        <v>17</v>
      </c>
      <c r="B22" s="131" t="s">
        <v>70</v>
      </c>
      <c r="C22" s="132">
        <v>0.4</v>
      </c>
      <c r="D22" s="132" t="s">
        <v>161</v>
      </c>
      <c r="E22" s="132">
        <v>1.3</v>
      </c>
      <c r="F22" s="133" t="s">
        <v>274</v>
      </c>
      <c r="G22" s="134">
        <v>0.55000000000000004</v>
      </c>
      <c r="H22" s="132" t="s">
        <v>153</v>
      </c>
      <c r="I22" s="135">
        <v>0.43</v>
      </c>
      <c r="J22" s="99"/>
      <c r="K22" s="99"/>
      <c r="L22" s="99"/>
      <c r="M22" s="99"/>
      <c r="N22" s="99"/>
    </row>
    <row r="23" spans="1:14" x14ac:dyDescent="0.25">
      <c r="A23" s="130" t="s">
        <v>18</v>
      </c>
      <c r="B23" s="131" t="s">
        <v>71</v>
      </c>
      <c r="C23" s="132">
        <v>0.43</v>
      </c>
      <c r="D23" s="132" t="s">
        <v>161</v>
      </c>
      <c r="E23" s="132">
        <v>1.3</v>
      </c>
      <c r="F23" s="133" t="s">
        <v>274</v>
      </c>
      <c r="G23" s="134">
        <v>0.55000000000000004</v>
      </c>
      <c r="H23" s="132" t="s">
        <v>153</v>
      </c>
      <c r="I23" s="135">
        <v>0.43</v>
      </c>
      <c r="J23" s="99"/>
      <c r="K23" s="99"/>
      <c r="L23" s="99"/>
      <c r="M23" s="99"/>
      <c r="N23" s="99"/>
    </row>
    <row r="24" spans="1:14" x14ac:dyDescent="0.25">
      <c r="A24" s="130" t="s">
        <v>19</v>
      </c>
      <c r="B24" s="131" t="s">
        <v>72</v>
      </c>
      <c r="C24" s="132">
        <v>0.37</v>
      </c>
      <c r="D24" s="132" t="s">
        <v>161</v>
      </c>
      <c r="E24" s="132">
        <v>1.3</v>
      </c>
      <c r="F24" s="133" t="s">
        <v>274</v>
      </c>
      <c r="G24" s="134">
        <v>0.55000000000000004</v>
      </c>
      <c r="H24" s="132" t="s">
        <v>152</v>
      </c>
      <c r="I24" s="135">
        <v>0.43</v>
      </c>
      <c r="J24" s="99"/>
      <c r="K24" s="99"/>
      <c r="L24" s="99"/>
      <c r="M24" s="99"/>
      <c r="N24" s="99"/>
    </row>
    <row r="25" spans="1:14" x14ac:dyDescent="0.25">
      <c r="A25" s="130" t="s">
        <v>20</v>
      </c>
      <c r="B25" s="131" t="s">
        <v>73</v>
      </c>
      <c r="C25" s="132">
        <v>0.36</v>
      </c>
      <c r="D25" s="132" t="s">
        <v>161</v>
      </c>
      <c r="E25" s="132">
        <v>1.3</v>
      </c>
      <c r="F25" s="133" t="s">
        <v>274</v>
      </c>
      <c r="G25" s="134">
        <v>0.55000000000000004</v>
      </c>
      <c r="H25" s="132" t="s">
        <v>152</v>
      </c>
      <c r="I25" s="135">
        <v>0.43</v>
      </c>
      <c r="J25" s="99"/>
      <c r="K25" s="99"/>
      <c r="L25" s="99"/>
      <c r="M25" s="99"/>
      <c r="N25" s="99"/>
    </row>
    <row r="26" spans="1:14" x14ac:dyDescent="0.25">
      <c r="A26" s="130" t="s">
        <v>21</v>
      </c>
      <c r="B26" s="131" t="s">
        <v>74</v>
      </c>
      <c r="C26" s="132">
        <v>0.56000000000000005</v>
      </c>
      <c r="D26" s="132" t="s">
        <v>161</v>
      </c>
      <c r="E26" s="132">
        <v>1.56</v>
      </c>
      <c r="F26" s="133" t="s">
        <v>274</v>
      </c>
      <c r="G26" s="134">
        <v>0.53</v>
      </c>
      <c r="H26" s="132" t="s">
        <v>275</v>
      </c>
      <c r="I26" s="135">
        <v>0.25</v>
      </c>
      <c r="J26" s="99"/>
      <c r="K26" s="99"/>
      <c r="L26" s="99"/>
      <c r="M26" s="99"/>
      <c r="N26" s="99"/>
    </row>
    <row r="27" spans="1:14" x14ac:dyDescent="0.25">
      <c r="A27" s="130" t="s">
        <v>22</v>
      </c>
      <c r="B27" s="131" t="s">
        <v>75</v>
      </c>
      <c r="C27" s="132">
        <v>0.51</v>
      </c>
      <c r="D27" s="132" t="s">
        <v>161</v>
      </c>
      <c r="E27" s="132">
        <v>1.56</v>
      </c>
      <c r="F27" s="133" t="s">
        <v>274</v>
      </c>
      <c r="G27" s="134">
        <v>0.53</v>
      </c>
      <c r="H27" s="132" t="s">
        <v>275</v>
      </c>
      <c r="I27" s="135">
        <v>0.25</v>
      </c>
      <c r="J27" s="99"/>
      <c r="K27" s="99"/>
      <c r="L27" s="99"/>
      <c r="M27" s="99"/>
      <c r="N27" s="99"/>
    </row>
    <row r="28" spans="1:14" x14ac:dyDescent="0.25">
      <c r="A28" s="130" t="s">
        <v>23</v>
      </c>
      <c r="B28" s="131" t="s">
        <v>76</v>
      </c>
      <c r="C28" s="132">
        <v>0.51</v>
      </c>
      <c r="D28" s="132" t="s">
        <v>161</v>
      </c>
      <c r="E28" s="132">
        <v>1.56</v>
      </c>
      <c r="F28" s="133" t="s">
        <v>274</v>
      </c>
      <c r="G28" s="134">
        <v>0.53</v>
      </c>
      <c r="H28" s="132" t="s">
        <v>275</v>
      </c>
      <c r="I28" s="135">
        <v>0.25</v>
      </c>
      <c r="J28" s="99"/>
      <c r="K28" s="99"/>
      <c r="L28" s="99"/>
      <c r="M28" s="99"/>
      <c r="N28" s="99"/>
    </row>
    <row r="29" spans="1:14" x14ac:dyDescent="0.25">
      <c r="A29" s="130" t="s">
        <v>24</v>
      </c>
      <c r="B29" s="131" t="s">
        <v>24</v>
      </c>
      <c r="C29" s="132">
        <v>0.56000000000000005</v>
      </c>
      <c r="D29" s="132" t="s">
        <v>161</v>
      </c>
      <c r="E29" s="132">
        <v>1.56</v>
      </c>
      <c r="F29" s="133" t="s">
        <v>274</v>
      </c>
      <c r="G29" s="134">
        <v>0.53</v>
      </c>
      <c r="H29" s="132" t="s">
        <v>275</v>
      </c>
      <c r="I29" s="135">
        <v>0.25</v>
      </c>
      <c r="J29" s="99"/>
      <c r="K29" s="99"/>
      <c r="L29" s="99"/>
      <c r="M29" s="99"/>
      <c r="N29" s="99"/>
    </row>
    <row r="30" spans="1:14" x14ac:dyDescent="0.25">
      <c r="A30" s="130" t="s">
        <v>25</v>
      </c>
      <c r="B30" s="131" t="s">
        <v>77</v>
      </c>
      <c r="C30" s="132">
        <v>0.55000000000000004</v>
      </c>
      <c r="D30" s="132" t="s">
        <v>161</v>
      </c>
      <c r="E30" s="132">
        <v>1.56</v>
      </c>
      <c r="F30" s="133" t="s">
        <v>274</v>
      </c>
      <c r="G30" s="134">
        <v>0.53</v>
      </c>
      <c r="H30" s="132" t="s">
        <v>152</v>
      </c>
      <c r="I30" s="135">
        <v>0.25</v>
      </c>
      <c r="J30" s="99"/>
      <c r="K30" s="99"/>
      <c r="L30" s="99"/>
      <c r="M30" s="99"/>
      <c r="N30" s="99"/>
    </row>
    <row r="31" spans="1:14" x14ac:dyDescent="0.25">
      <c r="A31" s="130" t="s">
        <v>26</v>
      </c>
      <c r="B31" s="131" t="s">
        <v>78</v>
      </c>
      <c r="C31" s="132">
        <v>0.56000000000000005</v>
      </c>
      <c r="D31" s="132" t="s">
        <v>161</v>
      </c>
      <c r="E31" s="132">
        <v>1.56</v>
      </c>
      <c r="F31" s="133" t="s">
        <v>274</v>
      </c>
      <c r="G31" s="134">
        <v>0.43</v>
      </c>
      <c r="H31" s="132" t="s">
        <v>278</v>
      </c>
      <c r="I31" s="135">
        <v>0.25</v>
      </c>
      <c r="J31" s="99"/>
      <c r="K31" s="99"/>
      <c r="L31" s="99"/>
      <c r="M31" s="99"/>
      <c r="N31" s="99"/>
    </row>
    <row r="32" spans="1:14" x14ac:dyDescent="0.25">
      <c r="A32" s="130" t="s">
        <v>27</v>
      </c>
      <c r="B32" s="131" t="s">
        <v>79</v>
      </c>
      <c r="C32" s="132">
        <v>0.48</v>
      </c>
      <c r="D32" s="132" t="s">
        <v>161</v>
      </c>
      <c r="E32" s="132">
        <v>1.3</v>
      </c>
      <c r="F32" s="133" t="s">
        <v>274</v>
      </c>
      <c r="G32" s="134">
        <v>0.6</v>
      </c>
      <c r="H32" s="132" t="s">
        <v>281</v>
      </c>
      <c r="I32" s="135">
        <v>0.43</v>
      </c>
      <c r="J32" s="99"/>
      <c r="K32" s="99"/>
      <c r="L32" s="99"/>
      <c r="M32" s="99"/>
      <c r="N32" s="99"/>
    </row>
    <row r="33" spans="1:14" x14ac:dyDescent="0.25">
      <c r="A33" s="130" t="s">
        <v>28</v>
      </c>
      <c r="B33" s="131" t="s">
        <v>80</v>
      </c>
      <c r="C33" s="132">
        <v>0.42</v>
      </c>
      <c r="D33" s="132" t="s">
        <v>161</v>
      </c>
      <c r="E33" s="132">
        <v>1.3</v>
      </c>
      <c r="F33" s="133" t="s">
        <v>274</v>
      </c>
      <c r="G33" s="134">
        <v>0.6</v>
      </c>
      <c r="H33" s="132" t="s">
        <v>281</v>
      </c>
      <c r="I33" s="135">
        <v>0.43</v>
      </c>
      <c r="J33" s="99"/>
      <c r="K33" s="99"/>
      <c r="L33" s="99"/>
      <c r="M33" s="99"/>
      <c r="N33" s="99"/>
    </row>
    <row r="34" spans="1:14" x14ac:dyDescent="0.25">
      <c r="A34" s="130" t="s">
        <v>81</v>
      </c>
      <c r="B34" s="131" t="s">
        <v>163</v>
      </c>
      <c r="C34" s="132">
        <v>0.42</v>
      </c>
      <c r="D34" s="132" t="s">
        <v>103</v>
      </c>
      <c r="E34" s="132">
        <v>1.3</v>
      </c>
      <c r="F34" s="133" t="s">
        <v>274</v>
      </c>
      <c r="G34" s="134">
        <v>0.6</v>
      </c>
      <c r="H34" s="131" t="s">
        <v>280</v>
      </c>
      <c r="I34" s="135">
        <v>0.43</v>
      </c>
      <c r="J34" s="99"/>
      <c r="K34" s="99"/>
      <c r="L34" s="99"/>
      <c r="M34" s="99"/>
      <c r="N34" s="99"/>
    </row>
    <row r="35" spans="1:14" x14ac:dyDescent="0.25">
      <c r="A35" s="130" t="s">
        <v>29</v>
      </c>
      <c r="B35" s="131" t="s">
        <v>82</v>
      </c>
      <c r="C35" s="132">
        <v>0.5</v>
      </c>
      <c r="D35" s="132" t="s">
        <v>161</v>
      </c>
      <c r="E35" s="132">
        <v>1.56</v>
      </c>
      <c r="F35" s="133" t="s">
        <v>274</v>
      </c>
      <c r="G35" s="134">
        <v>0.43</v>
      </c>
      <c r="H35" s="132" t="s">
        <v>278</v>
      </c>
      <c r="I35" s="135">
        <v>0.25</v>
      </c>
      <c r="J35" s="99"/>
      <c r="K35" s="99"/>
      <c r="L35" s="99"/>
      <c r="M35" s="99"/>
      <c r="N35" s="99"/>
    </row>
    <row r="36" spans="1:14" x14ac:dyDescent="0.25">
      <c r="A36" s="130" t="s">
        <v>102</v>
      </c>
      <c r="B36" s="131" t="s">
        <v>101</v>
      </c>
      <c r="C36" s="132">
        <v>0.55000000000000004</v>
      </c>
      <c r="D36" s="132" t="s">
        <v>161</v>
      </c>
      <c r="E36" s="132">
        <v>1.56</v>
      </c>
      <c r="F36" s="133" t="s">
        <v>274</v>
      </c>
      <c r="G36" s="134">
        <v>0.53</v>
      </c>
      <c r="H36" s="132" t="s">
        <v>275</v>
      </c>
      <c r="I36" s="135">
        <v>0.25</v>
      </c>
      <c r="J36" s="99"/>
      <c r="K36" s="99"/>
      <c r="L36" s="99"/>
      <c r="M36" s="99"/>
      <c r="N36" s="99"/>
    </row>
    <row r="37" spans="1:14" x14ac:dyDescent="0.25">
      <c r="A37" s="130" t="s">
        <v>30</v>
      </c>
      <c r="B37" s="131" t="s">
        <v>104</v>
      </c>
      <c r="C37" s="132">
        <v>0.52</v>
      </c>
      <c r="D37" s="132" t="s">
        <v>161</v>
      </c>
      <c r="E37" s="132">
        <v>1.56</v>
      </c>
      <c r="F37" s="133" t="s">
        <v>274</v>
      </c>
      <c r="G37" s="134">
        <v>0.53</v>
      </c>
      <c r="H37" s="132" t="s">
        <v>275</v>
      </c>
      <c r="I37" s="135">
        <v>0.25</v>
      </c>
      <c r="J37" s="99"/>
      <c r="K37" s="99"/>
      <c r="L37" s="99"/>
      <c r="M37" s="99"/>
      <c r="N37" s="99"/>
    </row>
    <row r="38" spans="1:14" x14ac:dyDescent="0.25">
      <c r="A38" s="130" t="s">
        <v>31</v>
      </c>
      <c r="B38" s="131" t="s">
        <v>105</v>
      </c>
      <c r="C38" s="132">
        <v>0.52</v>
      </c>
      <c r="D38" s="132" t="s">
        <v>161</v>
      </c>
      <c r="E38" s="132">
        <v>1.56</v>
      </c>
      <c r="F38" s="133" t="s">
        <v>274</v>
      </c>
      <c r="G38" s="134">
        <v>0.43</v>
      </c>
      <c r="H38" s="132" t="s">
        <v>278</v>
      </c>
      <c r="I38" s="135">
        <v>0.25</v>
      </c>
      <c r="J38" s="99"/>
      <c r="K38" s="99"/>
      <c r="L38" s="99"/>
      <c r="M38" s="99"/>
      <c r="N38" s="99"/>
    </row>
    <row r="39" spans="1:14" x14ac:dyDescent="0.25">
      <c r="A39" s="130" t="s">
        <v>107</v>
      </c>
      <c r="B39" s="131" t="s">
        <v>132</v>
      </c>
      <c r="C39" s="132">
        <v>0.313</v>
      </c>
      <c r="D39" s="132" t="s">
        <v>130</v>
      </c>
      <c r="E39" s="132">
        <v>1.56</v>
      </c>
      <c r="F39" s="133" t="s">
        <v>274</v>
      </c>
      <c r="G39" s="134">
        <v>0.6</v>
      </c>
      <c r="H39" s="132" t="s">
        <v>283</v>
      </c>
      <c r="I39" s="135">
        <v>1.03</v>
      </c>
      <c r="J39" s="99"/>
      <c r="K39" s="99"/>
      <c r="L39" s="99"/>
      <c r="M39" s="99"/>
      <c r="N39" s="99"/>
    </row>
    <row r="40" spans="1:14" x14ac:dyDescent="0.25">
      <c r="A40" s="130" t="s">
        <v>108</v>
      </c>
      <c r="B40" s="131" t="s">
        <v>132</v>
      </c>
      <c r="C40" s="132">
        <v>0.35199999999999998</v>
      </c>
      <c r="D40" s="132" t="s">
        <v>130</v>
      </c>
      <c r="E40" s="132">
        <v>1.56</v>
      </c>
      <c r="F40" s="133" t="s">
        <v>274</v>
      </c>
      <c r="G40" s="134">
        <v>0.6</v>
      </c>
      <c r="H40" s="132" t="s">
        <v>283</v>
      </c>
      <c r="I40" s="135">
        <v>1.03</v>
      </c>
      <c r="J40" s="99"/>
      <c r="K40" s="99"/>
      <c r="L40" s="99"/>
      <c r="M40" s="99"/>
      <c r="N40" s="99"/>
    </row>
    <row r="41" spans="1:14" x14ac:dyDescent="0.25">
      <c r="A41" s="130" t="s">
        <v>121</v>
      </c>
      <c r="B41" s="131" t="s">
        <v>132</v>
      </c>
      <c r="C41" s="132">
        <v>0.32200000000000001</v>
      </c>
      <c r="D41" s="132" t="s">
        <v>130</v>
      </c>
      <c r="E41" s="132">
        <v>1.56</v>
      </c>
      <c r="F41" s="133" t="s">
        <v>274</v>
      </c>
      <c r="G41" s="134">
        <v>0.6</v>
      </c>
      <c r="H41" s="132" t="s">
        <v>283</v>
      </c>
      <c r="I41" s="135">
        <v>1.03</v>
      </c>
      <c r="J41" s="99"/>
      <c r="K41" s="99"/>
      <c r="L41" s="99"/>
      <c r="M41" s="99"/>
      <c r="N41" s="99"/>
    </row>
    <row r="42" spans="1:14" x14ac:dyDescent="0.25">
      <c r="A42" s="130" t="s">
        <v>122</v>
      </c>
      <c r="B42" s="131" t="s">
        <v>132</v>
      </c>
      <c r="C42" s="132">
        <v>0.311</v>
      </c>
      <c r="D42" s="132" t="s">
        <v>130</v>
      </c>
      <c r="E42" s="132">
        <v>1.56</v>
      </c>
      <c r="F42" s="133" t="s">
        <v>274</v>
      </c>
      <c r="G42" s="134">
        <v>0.6</v>
      </c>
      <c r="H42" s="132" t="s">
        <v>283</v>
      </c>
      <c r="I42" s="135">
        <v>1.03</v>
      </c>
      <c r="J42" s="99"/>
      <c r="K42" s="99"/>
      <c r="L42" s="99"/>
      <c r="M42" s="99"/>
      <c r="N42" s="99"/>
    </row>
    <row r="43" spans="1:14" x14ac:dyDescent="0.25">
      <c r="A43" s="130" t="s">
        <v>109</v>
      </c>
      <c r="B43" s="131" t="s">
        <v>132</v>
      </c>
      <c r="C43" s="132">
        <v>0.33900000000000002</v>
      </c>
      <c r="D43" s="132" t="s">
        <v>130</v>
      </c>
      <c r="E43" s="132">
        <v>1.56</v>
      </c>
      <c r="F43" s="133" t="s">
        <v>274</v>
      </c>
      <c r="G43" s="134">
        <v>0.6</v>
      </c>
      <c r="H43" s="132" t="s">
        <v>283</v>
      </c>
      <c r="I43" s="135">
        <v>1.03</v>
      </c>
      <c r="J43" s="99"/>
      <c r="K43" s="99"/>
      <c r="L43" s="99"/>
      <c r="M43" s="99"/>
      <c r="N43" s="99"/>
    </row>
    <row r="44" spans="1:14" x14ac:dyDescent="0.25">
      <c r="A44" s="130" t="s">
        <v>123</v>
      </c>
      <c r="B44" s="131" t="s">
        <v>132</v>
      </c>
      <c r="C44" s="132">
        <v>0.33600000000000002</v>
      </c>
      <c r="D44" s="132" t="s">
        <v>130</v>
      </c>
      <c r="E44" s="132">
        <v>1.56</v>
      </c>
      <c r="F44" s="133" t="s">
        <v>274</v>
      </c>
      <c r="G44" s="134">
        <v>0.6</v>
      </c>
      <c r="H44" s="132" t="s">
        <v>283</v>
      </c>
      <c r="I44" s="135">
        <v>1.03</v>
      </c>
      <c r="J44" s="99"/>
      <c r="K44" s="99"/>
      <c r="L44" s="99"/>
      <c r="M44" s="99"/>
      <c r="N44" s="99"/>
    </row>
    <row r="45" spans="1:14" x14ac:dyDescent="0.25">
      <c r="A45" s="130" t="s">
        <v>110</v>
      </c>
      <c r="B45" s="131" t="s">
        <v>132</v>
      </c>
      <c r="C45" s="132">
        <v>0.32900000000000001</v>
      </c>
      <c r="D45" s="132" t="s">
        <v>130</v>
      </c>
      <c r="E45" s="132">
        <v>1.56</v>
      </c>
      <c r="F45" s="133" t="s">
        <v>274</v>
      </c>
      <c r="G45" s="134">
        <v>0.6</v>
      </c>
      <c r="H45" s="132" t="s">
        <v>283</v>
      </c>
      <c r="I45" s="135">
        <v>1.03</v>
      </c>
      <c r="J45" s="99"/>
      <c r="K45" s="99"/>
      <c r="L45" s="99"/>
      <c r="M45" s="99"/>
      <c r="N45" s="99"/>
    </row>
    <row r="46" spans="1:14" x14ac:dyDescent="0.25">
      <c r="A46" s="130" t="s">
        <v>124</v>
      </c>
      <c r="B46" s="131" t="s">
        <v>132</v>
      </c>
      <c r="C46" s="132">
        <v>0.34300000000000003</v>
      </c>
      <c r="D46" s="132" t="s">
        <v>130</v>
      </c>
      <c r="E46" s="132">
        <v>1.56</v>
      </c>
      <c r="F46" s="133" t="s">
        <v>274</v>
      </c>
      <c r="G46" s="134">
        <v>0.6</v>
      </c>
      <c r="H46" s="132" t="s">
        <v>283</v>
      </c>
      <c r="I46" s="135">
        <v>1.03</v>
      </c>
      <c r="J46" s="99"/>
      <c r="K46" s="99"/>
      <c r="L46" s="99"/>
      <c r="M46" s="99"/>
      <c r="N46" s="99"/>
    </row>
    <row r="47" spans="1:14" x14ac:dyDescent="0.25">
      <c r="A47" s="130" t="s">
        <v>125</v>
      </c>
      <c r="B47" s="131" t="s">
        <v>132</v>
      </c>
      <c r="C47" s="132">
        <v>0.32500000000000001</v>
      </c>
      <c r="D47" s="132" t="s">
        <v>130</v>
      </c>
      <c r="E47" s="132">
        <v>1.56</v>
      </c>
      <c r="F47" s="133" t="s">
        <v>274</v>
      </c>
      <c r="G47" s="134">
        <v>0.6</v>
      </c>
      <c r="H47" s="132" t="s">
        <v>283</v>
      </c>
      <c r="I47" s="135">
        <v>1.03</v>
      </c>
      <c r="J47" s="99"/>
      <c r="K47" s="99"/>
      <c r="L47" s="99"/>
      <c r="M47" s="99"/>
      <c r="N47" s="99"/>
    </row>
    <row r="48" spans="1:14" x14ac:dyDescent="0.25">
      <c r="A48" s="130" t="s">
        <v>126</v>
      </c>
      <c r="B48" s="131" t="s">
        <v>132</v>
      </c>
      <c r="C48" s="132">
        <v>0.32</v>
      </c>
      <c r="D48" s="132" t="s">
        <v>130</v>
      </c>
      <c r="E48" s="132">
        <v>1.56</v>
      </c>
      <c r="F48" s="133" t="s">
        <v>274</v>
      </c>
      <c r="G48" s="134">
        <v>0.6</v>
      </c>
      <c r="H48" s="132" t="s">
        <v>283</v>
      </c>
      <c r="I48" s="135">
        <v>1.03</v>
      </c>
      <c r="J48" s="99"/>
      <c r="K48" s="99"/>
      <c r="L48" s="99"/>
      <c r="M48" s="99"/>
      <c r="N48" s="99"/>
    </row>
    <row r="49" spans="1:14" x14ac:dyDescent="0.25">
      <c r="A49" s="130" t="s">
        <v>111</v>
      </c>
      <c r="B49" s="131" t="s">
        <v>132</v>
      </c>
      <c r="C49" s="132">
        <v>0.28199999999999997</v>
      </c>
      <c r="D49" s="132" t="s">
        <v>130</v>
      </c>
      <c r="E49" s="132">
        <v>1.56</v>
      </c>
      <c r="F49" s="133" t="s">
        <v>274</v>
      </c>
      <c r="G49" s="134">
        <v>0.6</v>
      </c>
      <c r="H49" s="132" t="s">
        <v>283</v>
      </c>
      <c r="I49" s="135">
        <v>1.03</v>
      </c>
      <c r="J49" s="99"/>
      <c r="K49" s="99"/>
      <c r="L49" s="99"/>
      <c r="M49" s="99"/>
      <c r="N49" s="99"/>
    </row>
    <row r="50" spans="1:14" x14ac:dyDescent="0.25">
      <c r="A50" s="130" t="s">
        <v>127</v>
      </c>
      <c r="B50" s="131" t="s">
        <v>132</v>
      </c>
      <c r="C50" s="132">
        <v>0.32800000000000001</v>
      </c>
      <c r="D50" s="132" t="s">
        <v>130</v>
      </c>
      <c r="E50" s="132">
        <v>1.56</v>
      </c>
      <c r="F50" s="133" t="s">
        <v>274</v>
      </c>
      <c r="G50" s="134">
        <v>0.6</v>
      </c>
      <c r="H50" s="132" t="s">
        <v>283</v>
      </c>
      <c r="I50" s="135">
        <v>1.03</v>
      </c>
      <c r="J50" s="99"/>
      <c r="K50" s="99"/>
      <c r="L50" s="99"/>
      <c r="M50" s="99"/>
      <c r="N50" s="99"/>
    </row>
    <row r="51" spans="1:14" x14ac:dyDescent="0.25">
      <c r="A51" s="130" t="s">
        <v>112</v>
      </c>
      <c r="B51" s="131" t="s">
        <v>132</v>
      </c>
      <c r="C51" s="132">
        <v>0.32600000000000001</v>
      </c>
      <c r="D51" s="132" t="s">
        <v>130</v>
      </c>
      <c r="E51" s="132">
        <v>1.56</v>
      </c>
      <c r="F51" s="133" t="s">
        <v>274</v>
      </c>
      <c r="G51" s="134">
        <v>0.6</v>
      </c>
      <c r="H51" s="132" t="s">
        <v>283</v>
      </c>
      <c r="I51" s="135">
        <v>1.03</v>
      </c>
      <c r="J51" s="99"/>
      <c r="K51" s="99"/>
      <c r="L51" s="99"/>
      <c r="M51" s="99"/>
      <c r="N51" s="99"/>
    </row>
    <row r="52" spans="1:14" x14ac:dyDescent="0.25">
      <c r="A52" s="130" t="s">
        <v>113</v>
      </c>
      <c r="B52" s="131" t="s">
        <v>132</v>
      </c>
      <c r="C52" s="132">
        <v>0.35899999999999999</v>
      </c>
      <c r="D52" s="132" t="s">
        <v>130</v>
      </c>
      <c r="E52" s="132">
        <v>1.56</v>
      </c>
      <c r="F52" s="133" t="s">
        <v>274</v>
      </c>
      <c r="G52" s="134">
        <v>0.6</v>
      </c>
      <c r="H52" s="132" t="s">
        <v>283</v>
      </c>
      <c r="I52" s="135">
        <v>1.03</v>
      </c>
      <c r="J52" s="99"/>
      <c r="K52" s="99"/>
      <c r="L52" s="99"/>
      <c r="M52" s="99"/>
      <c r="N52" s="99"/>
    </row>
    <row r="53" spans="1:14" x14ac:dyDescent="0.25">
      <c r="A53" s="130" t="s">
        <v>114</v>
      </c>
      <c r="B53" s="131" t="s">
        <v>132</v>
      </c>
      <c r="C53" s="132">
        <v>0.34599999999999997</v>
      </c>
      <c r="D53" s="132" t="s">
        <v>130</v>
      </c>
      <c r="E53" s="132">
        <v>1.56</v>
      </c>
      <c r="F53" s="133" t="s">
        <v>274</v>
      </c>
      <c r="G53" s="134">
        <v>0.6</v>
      </c>
      <c r="H53" s="132" t="s">
        <v>283</v>
      </c>
      <c r="I53" s="135">
        <v>1.03</v>
      </c>
      <c r="J53" s="99"/>
      <c r="K53" s="99"/>
      <c r="L53" s="99"/>
      <c r="M53" s="99"/>
      <c r="N53" s="99"/>
    </row>
    <row r="54" spans="1:14" x14ac:dyDescent="0.25">
      <c r="A54" s="130" t="s">
        <v>115</v>
      </c>
      <c r="B54" s="131" t="s">
        <v>132</v>
      </c>
      <c r="C54" s="132">
        <v>0.32600000000000001</v>
      </c>
      <c r="D54" s="132" t="s">
        <v>130</v>
      </c>
      <c r="E54" s="132">
        <v>1.56</v>
      </c>
      <c r="F54" s="133" t="s">
        <v>274</v>
      </c>
      <c r="G54" s="134">
        <v>0.6</v>
      </c>
      <c r="H54" s="132" t="s">
        <v>283</v>
      </c>
      <c r="I54" s="135">
        <v>1.03</v>
      </c>
      <c r="J54" s="99"/>
      <c r="K54" s="99"/>
      <c r="L54" s="99"/>
      <c r="M54" s="99"/>
      <c r="N54" s="99"/>
    </row>
    <row r="55" spans="1:14" x14ac:dyDescent="0.25">
      <c r="A55" s="130" t="s">
        <v>116</v>
      </c>
      <c r="B55" s="131" t="s">
        <v>132</v>
      </c>
      <c r="C55" s="132">
        <v>0.30499999999999999</v>
      </c>
      <c r="D55" s="132" t="s">
        <v>130</v>
      </c>
      <c r="E55" s="132">
        <v>1.56</v>
      </c>
      <c r="F55" s="133" t="s">
        <v>274</v>
      </c>
      <c r="G55" s="134">
        <v>0.6</v>
      </c>
      <c r="H55" s="132" t="s">
        <v>283</v>
      </c>
      <c r="I55" s="135">
        <v>1.03</v>
      </c>
      <c r="J55" s="99"/>
      <c r="K55" s="99"/>
      <c r="L55" s="99"/>
      <c r="M55" s="99"/>
      <c r="N55" s="99"/>
    </row>
    <row r="56" spans="1:14" x14ac:dyDescent="0.25">
      <c r="A56" s="130" t="s">
        <v>128</v>
      </c>
      <c r="B56" s="131" t="s">
        <v>132</v>
      </c>
      <c r="C56" s="132">
        <v>0.32300000000000001</v>
      </c>
      <c r="D56" s="132" t="s">
        <v>130</v>
      </c>
      <c r="E56" s="132">
        <v>1.56</v>
      </c>
      <c r="F56" s="133" t="s">
        <v>274</v>
      </c>
      <c r="G56" s="134">
        <v>0.6</v>
      </c>
      <c r="H56" s="132" t="s">
        <v>283</v>
      </c>
      <c r="I56" s="135">
        <v>1.03</v>
      </c>
      <c r="J56" s="99"/>
      <c r="K56" s="99"/>
      <c r="L56" s="99"/>
      <c r="M56" s="99"/>
      <c r="N56" s="99"/>
    </row>
    <row r="57" spans="1:14" x14ac:dyDescent="0.25">
      <c r="A57" s="130" t="s">
        <v>129</v>
      </c>
      <c r="B57" s="131" t="s">
        <v>132</v>
      </c>
      <c r="C57" s="132">
        <v>0.36699999999999999</v>
      </c>
      <c r="D57" s="132" t="s">
        <v>130</v>
      </c>
      <c r="E57" s="132">
        <v>1.56</v>
      </c>
      <c r="F57" s="133" t="s">
        <v>274</v>
      </c>
      <c r="G57" s="134">
        <v>0.6</v>
      </c>
      <c r="H57" s="132" t="s">
        <v>283</v>
      </c>
      <c r="I57" s="135">
        <v>1.03</v>
      </c>
      <c r="J57" s="99"/>
      <c r="K57" s="99"/>
      <c r="L57" s="99"/>
      <c r="M57" s="99"/>
      <c r="N57" s="99"/>
    </row>
    <row r="58" spans="1:14" x14ac:dyDescent="0.25">
      <c r="A58" s="130" t="s">
        <v>117</v>
      </c>
      <c r="B58" s="131" t="s">
        <v>132</v>
      </c>
      <c r="C58" s="132">
        <v>0.36</v>
      </c>
      <c r="D58" s="132" t="s">
        <v>130</v>
      </c>
      <c r="E58" s="132">
        <v>1.56</v>
      </c>
      <c r="F58" s="133" t="s">
        <v>274</v>
      </c>
      <c r="G58" s="134">
        <v>0.6</v>
      </c>
      <c r="H58" s="132" t="s">
        <v>283</v>
      </c>
      <c r="I58" s="135">
        <v>1.03</v>
      </c>
      <c r="J58" s="99"/>
      <c r="K58" s="99"/>
      <c r="L58" s="99"/>
      <c r="M58" s="99"/>
      <c r="N58" s="99"/>
    </row>
    <row r="59" spans="1:14" x14ac:dyDescent="0.25">
      <c r="A59" s="130" t="s">
        <v>118</v>
      </c>
      <c r="B59" s="131" t="s">
        <v>132</v>
      </c>
      <c r="C59" s="132">
        <v>0.36799999999999999</v>
      </c>
      <c r="D59" s="132" t="s">
        <v>130</v>
      </c>
      <c r="E59" s="132">
        <v>1.56</v>
      </c>
      <c r="F59" s="133" t="s">
        <v>274</v>
      </c>
      <c r="G59" s="134">
        <v>0.6</v>
      </c>
      <c r="H59" s="132" t="s">
        <v>283</v>
      </c>
      <c r="I59" s="135">
        <v>1.03</v>
      </c>
      <c r="J59" s="99"/>
      <c r="K59" s="99"/>
      <c r="L59" s="99"/>
      <c r="M59" s="99"/>
      <c r="N59" s="99"/>
    </row>
    <row r="60" spans="1:14" x14ac:dyDescent="0.25">
      <c r="A60" s="130" t="s">
        <v>119</v>
      </c>
      <c r="B60" s="131" t="s">
        <v>132</v>
      </c>
      <c r="C60" s="132">
        <v>0.30599999999999999</v>
      </c>
      <c r="D60" s="132" t="s">
        <v>130</v>
      </c>
      <c r="E60" s="132">
        <v>1.56</v>
      </c>
      <c r="F60" s="133" t="s">
        <v>274</v>
      </c>
      <c r="G60" s="134">
        <v>0.6</v>
      </c>
      <c r="H60" s="132" t="s">
        <v>283</v>
      </c>
      <c r="I60" s="135">
        <v>1.03</v>
      </c>
      <c r="J60" s="99"/>
      <c r="K60" s="99"/>
      <c r="L60" s="99"/>
      <c r="M60" s="99"/>
      <c r="N60" s="99"/>
    </row>
    <row r="61" spans="1:14" x14ac:dyDescent="0.25">
      <c r="A61" s="130" t="s">
        <v>120</v>
      </c>
      <c r="B61" s="131" t="s">
        <v>132</v>
      </c>
      <c r="C61" s="132">
        <v>0.313</v>
      </c>
      <c r="D61" s="132" t="s">
        <v>130</v>
      </c>
      <c r="E61" s="132">
        <v>1.56</v>
      </c>
      <c r="F61" s="133" t="s">
        <v>274</v>
      </c>
      <c r="G61" s="134">
        <v>0.6</v>
      </c>
      <c r="H61" s="132" t="s">
        <v>283</v>
      </c>
      <c r="I61" s="135">
        <v>1.03</v>
      </c>
      <c r="J61" s="99"/>
      <c r="K61" s="99"/>
      <c r="L61" s="99"/>
      <c r="M61" s="99"/>
      <c r="N61" s="99"/>
    </row>
    <row r="62" spans="1:14" x14ac:dyDescent="0.25">
      <c r="A62" s="130" t="s">
        <v>32</v>
      </c>
      <c r="B62" s="131" t="s">
        <v>133</v>
      </c>
      <c r="C62" s="132">
        <v>0.37</v>
      </c>
      <c r="D62" s="132" t="s">
        <v>161</v>
      </c>
      <c r="E62" s="132">
        <v>1.56</v>
      </c>
      <c r="F62" s="133" t="s">
        <v>274</v>
      </c>
      <c r="G62" s="134">
        <v>0.6</v>
      </c>
      <c r="H62" s="132" t="s">
        <v>283</v>
      </c>
      <c r="I62" s="135">
        <v>1.03</v>
      </c>
      <c r="J62" s="99"/>
      <c r="K62" s="99"/>
      <c r="L62" s="99"/>
      <c r="M62" s="99"/>
      <c r="N62" s="99"/>
    </row>
    <row r="63" spans="1:14" x14ac:dyDescent="0.25">
      <c r="A63" s="130" t="s">
        <v>90</v>
      </c>
      <c r="B63" s="131" t="s">
        <v>83</v>
      </c>
      <c r="C63" s="132">
        <v>0.45</v>
      </c>
      <c r="D63" s="132" t="s">
        <v>161</v>
      </c>
      <c r="E63" s="132">
        <v>1.3</v>
      </c>
      <c r="F63" s="133" t="s">
        <v>274</v>
      </c>
      <c r="G63" s="134">
        <v>0.45</v>
      </c>
      <c r="H63" s="132" t="s">
        <v>276</v>
      </c>
      <c r="I63" s="135">
        <v>0.43</v>
      </c>
      <c r="J63" s="99"/>
      <c r="K63" s="99"/>
      <c r="L63" s="99"/>
      <c r="M63" s="99"/>
      <c r="N63" s="99"/>
    </row>
    <row r="64" spans="1:14" x14ac:dyDescent="0.25">
      <c r="A64" s="130" t="s">
        <v>33</v>
      </c>
      <c r="B64" s="131" t="s">
        <v>134</v>
      </c>
      <c r="C64" s="132">
        <v>0.39</v>
      </c>
      <c r="D64" s="132" t="s">
        <v>161</v>
      </c>
      <c r="E64" s="132">
        <v>1.3</v>
      </c>
      <c r="F64" s="133" t="s">
        <v>274</v>
      </c>
      <c r="G64" s="134">
        <v>0.45</v>
      </c>
      <c r="H64" s="132" t="s">
        <v>276</v>
      </c>
      <c r="I64" s="135">
        <v>0.43</v>
      </c>
      <c r="J64" s="99"/>
      <c r="K64" s="99"/>
      <c r="L64" s="99"/>
      <c r="M64" s="99"/>
      <c r="N64" s="99"/>
    </row>
    <row r="65" spans="1:14" x14ac:dyDescent="0.25">
      <c r="A65" s="130" t="s">
        <v>34</v>
      </c>
      <c r="B65" s="131" t="s">
        <v>135</v>
      </c>
      <c r="C65" s="132">
        <v>0.44</v>
      </c>
      <c r="D65" s="132" t="s">
        <v>161</v>
      </c>
      <c r="E65" s="132">
        <v>1.3</v>
      </c>
      <c r="F65" s="133" t="s">
        <v>274</v>
      </c>
      <c r="G65" s="134">
        <v>0.45</v>
      </c>
      <c r="H65" s="132" t="s">
        <v>276</v>
      </c>
      <c r="I65" s="135">
        <v>0.43</v>
      </c>
      <c r="J65" s="99"/>
      <c r="K65" s="99"/>
      <c r="L65" s="99"/>
      <c r="M65" s="99"/>
      <c r="N65" s="99"/>
    </row>
    <row r="66" spans="1:14" x14ac:dyDescent="0.25">
      <c r="A66" s="130" t="s">
        <v>35</v>
      </c>
      <c r="B66" s="131" t="s">
        <v>84</v>
      </c>
      <c r="C66" s="132">
        <v>0.46</v>
      </c>
      <c r="D66" s="132" t="s">
        <v>161</v>
      </c>
      <c r="E66" s="132">
        <v>1.3</v>
      </c>
      <c r="F66" s="133" t="s">
        <v>274</v>
      </c>
      <c r="G66" s="134">
        <v>0.45</v>
      </c>
      <c r="H66" s="132" t="s">
        <v>276</v>
      </c>
      <c r="I66" s="135">
        <v>0.43</v>
      </c>
      <c r="J66" s="99"/>
      <c r="K66" s="99"/>
      <c r="L66" s="99"/>
      <c r="M66" s="99"/>
      <c r="N66" s="99"/>
    </row>
    <row r="67" spans="1:14" x14ac:dyDescent="0.25">
      <c r="A67" s="130" t="s">
        <v>36</v>
      </c>
      <c r="B67" s="131" t="s">
        <v>85</v>
      </c>
      <c r="C67" s="132">
        <v>0.46</v>
      </c>
      <c r="D67" s="132" t="s">
        <v>161</v>
      </c>
      <c r="E67" s="132">
        <v>1.3</v>
      </c>
      <c r="F67" s="133" t="s">
        <v>274</v>
      </c>
      <c r="G67" s="134">
        <v>0.45</v>
      </c>
      <c r="H67" s="132" t="s">
        <v>152</v>
      </c>
      <c r="I67" s="135">
        <v>0.59</v>
      </c>
      <c r="J67" s="99"/>
      <c r="K67" s="99"/>
      <c r="L67" s="99"/>
      <c r="M67" s="99"/>
      <c r="N67" s="99"/>
    </row>
    <row r="68" spans="1:14" x14ac:dyDescent="0.25">
      <c r="A68" s="130" t="s">
        <v>37</v>
      </c>
      <c r="B68" s="131" t="s">
        <v>136</v>
      </c>
      <c r="C68" s="132">
        <v>0.44</v>
      </c>
      <c r="D68" s="132" t="s">
        <v>161</v>
      </c>
      <c r="E68" s="132">
        <v>1.3</v>
      </c>
      <c r="F68" s="133" t="s">
        <v>274</v>
      </c>
      <c r="G68" s="134">
        <v>0.45</v>
      </c>
      <c r="H68" s="132" t="s">
        <v>276</v>
      </c>
      <c r="I68" s="135">
        <v>0.43</v>
      </c>
      <c r="J68" s="99"/>
      <c r="K68" s="99"/>
      <c r="L68" s="99"/>
      <c r="M68" s="99"/>
      <c r="N68" s="99"/>
    </row>
    <row r="69" spans="1:14" x14ac:dyDescent="0.25">
      <c r="A69" s="130" t="s">
        <v>38</v>
      </c>
      <c r="B69" s="131" t="s">
        <v>86</v>
      </c>
      <c r="C69" s="132">
        <v>0.46</v>
      </c>
      <c r="D69" s="132" t="s">
        <v>161</v>
      </c>
      <c r="E69" s="132">
        <v>1.3</v>
      </c>
      <c r="F69" s="133" t="s">
        <v>274</v>
      </c>
      <c r="G69" s="134">
        <v>0.45</v>
      </c>
      <c r="H69" s="132" t="s">
        <v>276</v>
      </c>
      <c r="I69" s="135">
        <v>0.43</v>
      </c>
      <c r="J69" s="99"/>
      <c r="K69" s="99"/>
      <c r="L69" s="99"/>
      <c r="M69" s="99"/>
      <c r="N69" s="99"/>
    </row>
    <row r="70" spans="1:14" x14ac:dyDescent="0.25">
      <c r="A70" s="130" t="s">
        <v>39</v>
      </c>
      <c r="B70" s="131" t="s">
        <v>137</v>
      </c>
      <c r="C70" s="132">
        <v>0.48</v>
      </c>
      <c r="D70" s="132" t="s">
        <v>161</v>
      </c>
      <c r="E70" s="132">
        <v>2.4</v>
      </c>
      <c r="F70" s="132" t="s">
        <v>284</v>
      </c>
      <c r="G70" s="134">
        <v>0.45</v>
      </c>
      <c r="H70" s="132" t="s">
        <v>276</v>
      </c>
      <c r="I70" s="135">
        <v>0.43</v>
      </c>
      <c r="J70" s="99"/>
      <c r="K70" s="99"/>
      <c r="L70" s="99"/>
      <c r="M70" s="99"/>
      <c r="N70" s="99"/>
    </row>
    <row r="71" spans="1:14" x14ac:dyDescent="0.25">
      <c r="A71" s="130" t="s">
        <v>40</v>
      </c>
      <c r="B71" s="131" t="s">
        <v>87</v>
      </c>
      <c r="C71" s="132">
        <v>0.46</v>
      </c>
      <c r="D71" s="132" t="s">
        <v>150</v>
      </c>
      <c r="E71" s="132">
        <v>1.3</v>
      </c>
      <c r="F71" s="133" t="s">
        <v>274</v>
      </c>
      <c r="G71" s="134">
        <v>0.45</v>
      </c>
      <c r="H71" s="132" t="s">
        <v>276</v>
      </c>
      <c r="I71" s="135">
        <v>0.43</v>
      </c>
      <c r="J71" s="99"/>
      <c r="K71" s="99"/>
      <c r="L71" s="99"/>
      <c r="M71" s="99"/>
      <c r="N71" s="99"/>
    </row>
    <row r="72" spans="1:14" x14ac:dyDescent="0.25">
      <c r="A72" s="130" t="s">
        <v>41</v>
      </c>
      <c r="B72" s="131" t="s">
        <v>88</v>
      </c>
      <c r="C72" s="132">
        <v>0.44</v>
      </c>
      <c r="D72" s="132" t="s">
        <v>161</v>
      </c>
      <c r="E72" s="132">
        <v>1.3</v>
      </c>
      <c r="F72" s="133" t="s">
        <v>274</v>
      </c>
      <c r="G72" s="134">
        <v>0.45</v>
      </c>
      <c r="H72" s="132" t="s">
        <v>276</v>
      </c>
      <c r="I72" s="135">
        <v>0.43</v>
      </c>
      <c r="J72" s="99"/>
      <c r="K72" s="99"/>
      <c r="L72" s="99"/>
      <c r="M72" s="99"/>
      <c r="N72" s="99"/>
    </row>
    <row r="73" spans="1:14" x14ac:dyDescent="0.25">
      <c r="A73" s="130" t="s">
        <v>138</v>
      </c>
      <c r="B73" s="131" t="s">
        <v>140</v>
      </c>
      <c r="C73" s="132">
        <v>0.46</v>
      </c>
      <c r="D73" s="132" t="s">
        <v>151</v>
      </c>
      <c r="E73" s="132">
        <v>1.3</v>
      </c>
      <c r="F73" s="133" t="s">
        <v>274</v>
      </c>
      <c r="G73" s="134">
        <v>0.45</v>
      </c>
      <c r="H73" s="132" t="s">
        <v>276</v>
      </c>
      <c r="I73" s="135">
        <v>0.43</v>
      </c>
      <c r="J73" s="99"/>
      <c r="K73" s="99"/>
      <c r="L73" s="99"/>
      <c r="M73" s="99"/>
      <c r="N73" s="99"/>
    </row>
    <row r="74" spans="1:14" x14ac:dyDescent="0.25">
      <c r="A74" s="130" t="s">
        <v>42</v>
      </c>
      <c r="B74" s="131" t="s">
        <v>139</v>
      </c>
      <c r="C74" s="132">
        <v>0.34</v>
      </c>
      <c r="D74" s="132" t="s">
        <v>161</v>
      </c>
      <c r="E74" s="132">
        <v>1.3</v>
      </c>
      <c r="F74" s="133" t="s">
        <v>274</v>
      </c>
      <c r="G74" s="134">
        <v>0.45</v>
      </c>
      <c r="H74" s="132" t="s">
        <v>276</v>
      </c>
      <c r="I74" s="135">
        <v>0.43</v>
      </c>
      <c r="J74" s="99"/>
      <c r="K74" s="99"/>
      <c r="L74" s="99"/>
      <c r="M74" s="99"/>
      <c r="N74" s="99"/>
    </row>
    <row r="75" spans="1:14" x14ac:dyDescent="0.25">
      <c r="A75" s="130" t="s">
        <v>43</v>
      </c>
      <c r="B75" s="131" t="s">
        <v>162</v>
      </c>
      <c r="C75" s="132">
        <v>0.5</v>
      </c>
      <c r="D75" s="132" t="s">
        <v>161</v>
      </c>
      <c r="E75" s="132">
        <v>1.56</v>
      </c>
      <c r="F75" s="133" t="s">
        <v>274</v>
      </c>
      <c r="G75" s="134">
        <v>0.53</v>
      </c>
      <c r="H75" s="132" t="s">
        <v>275</v>
      </c>
      <c r="I75" s="135">
        <v>0.25</v>
      </c>
      <c r="J75" s="99"/>
      <c r="K75" s="99"/>
      <c r="L75" s="99"/>
      <c r="M75" s="99"/>
      <c r="N75" s="99"/>
    </row>
    <row r="76" spans="1:14" x14ac:dyDescent="0.25">
      <c r="A76" s="130" t="s">
        <v>44</v>
      </c>
      <c r="B76" s="131" t="s">
        <v>89</v>
      </c>
      <c r="C76" s="132">
        <v>0.57999999999999996</v>
      </c>
      <c r="D76" s="132" t="s">
        <v>161</v>
      </c>
      <c r="E76" s="132">
        <v>1.56</v>
      </c>
      <c r="F76" s="133" t="s">
        <v>274</v>
      </c>
      <c r="G76" s="134">
        <v>0.3</v>
      </c>
      <c r="H76" s="132" t="s">
        <v>277</v>
      </c>
      <c r="I76" s="135">
        <v>0.25</v>
      </c>
      <c r="J76" s="99"/>
      <c r="K76" s="99"/>
      <c r="L76" s="99"/>
      <c r="M76" s="99"/>
      <c r="N76" s="99"/>
    </row>
    <row r="77" spans="1:14" x14ac:dyDescent="0.25">
      <c r="A77" s="130" t="s">
        <v>47</v>
      </c>
      <c r="B77" s="131" t="s">
        <v>141</v>
      </c>
      <c r="C77" s="132">
        <v>0.37</v>
      </c>
      <c r="D77" s="132" t="s">
        <v>161</v>
      </c>
      <c r="E77" s="132">
        <v>1.3</v>
      </c>
      <c r="F77" s="133" t="s">
        <v>274</v>
      </c>
      <c r="G77" s="134">
        <v>0.55000000000000004</v>
      </c>
      <c r="H77" s="132" t="s">
        <v>152</v>
      </c>
      <c r="I77" s="135">
        <v>0.43</v>
      </c>
      <c r="J77" s="99"/>
      <c r="K77" s="99"/>
      <c r="L77" s="99"/>
      <c r="M77" s="99"/>
      <c r="N77" s="99"/>
    </row>
    <row r="78" spans="1:14" x14ac:dyDescent="0.25">
      <c r="A78" s="130" t="s">
        <v>45</v>
      </c>
      <c r="B78" s="131" t="s">
        <v>96</v>
      </c>
      <c r="C78" s="132">
        <v>0.37</v>
      </c>
      <c r="D78" s="132" t="s">
        <v>161</v>
      </c>
      <c r="E78" s="132">
        <v>1.3</v>
      </c>
      <c r="F78" s="133" t="s">
        <v>274</v>
      </c>
      <c r="G78" s="134">
        <v>0.55000000000000004</v>
      </c>
      <c r="H78" s="132" t="s">
        <v>152</v>
      </c>
      <c r="I78" s="135">
        <v>0.43</v>
      </c>
      <c r="J78" s="99"/>
      <c r="K78" s="99"/>
      <c r="L78" s="99"/>
      <c r="M78" s="99"/>
      <c r="N78" s="99"/>
    </row>
    <row r="79" spans="1:14" x14ac:dyDescent="0.25">
      <c r="A79" s="130" t="s">
        <v>46</v>
      </c>
      <c r="B79" s="131" t="s">
        <v>95</v>
      </c>
      <c r="C79" s="132">
        <v>0.38</v>
      </c>
      <c r="D79" s="132" t="s">
        <v>161</v>
      </c>
      <c r="E79" s="132">
        <v>1.3</v>
      </c>
      <c r="F79" s="133" t="s">
        <v>274</v>
      </c>
      <c r="G79" s="134">
        <v>0.55000000000000004</v>
      </c>
      <c r="H79" s="132" t="s">
        <v>153</v>
      </c>
      <c r="I79" s="135">
        <v>0.43</v>
      </c>
      <c r="J79" s="99"/>
      <c r="K79" s="99"/>
      <c r="L79" s="99"/>
      <c r="M79" s="99"/>
      <c r="N79" s="99"/>
    </row>
    <row r="80" spans="1:14" x14ac:dyDescent="0.25">
      <c r="A80" s="130" t="s">
        <v>48</v>
      </c>
      <c r="B80" s="131" t="s">
        <v>94</v>
      </c>
      <c r="C80" s="132">
        <v>0.36</v>
      </c>
      <c r="D80" s="132" t="s">
        <v>161</v>
      </c>
      <c r="E80" s="132">
        <v>1.3</v>
      </c>
      <c r="F80" s="133" t="s">
        <v>274</v>
      </c>
      <c r="G80" s="134">
        <v>0.55000000000000004</v>
      </c>
      <c r="H80" s="132" t="s">
        <v>153</v>
      </c>
      <c r="I80" s="135">
        <v>0.43</v>
      </c>
      <c r="J80" s="99"/>
      <c r="K80" s="99"/>
      <c r="L80" s="99"/>
      <c r="M80" s="99"/>
      <c r="N80" s="99"/>
    </row>
    <row r="81" spans="1:14" x14ac:dyDescent="0.25">
      <c r="A81" s="130" t="s">
        <v>49</v>
      </c>
      <c r="B81" s="131" t="s">
        <v>142</v>
      </c>
      <c r="C81" s="132">
        <v>0.37</v>
      </c>
      <c r="D81" s="132" t="s">
        <v>161</v>
      </c>
      <c r="E81" s="132">
        <v>1.56</v>
      </c>
      <c r="F81" s="133" t="s">
        <v>274</v>
      </c>
      <c r="G81" s="134">
        <v>0.43</v>
      </c>
      <c r="H81" s="132" t="s">
        <v>278</v>
      </c>
      <c r="I81" s="135">
        <v>0.25</v>
      </c>
      <c r="J81" s="99"/>
      <c r="K81" s="99"/>
      <c r="L81" s="99"/>
      <c r="M81" s="99"/>
      <c r="N81" s="99"/>
    </row>
    <row r="82" spans="1:14" x14ac:dyDescent="0.25">
      <c r="A82" s="130" t="s">
        <v>158</v>
      </c>
      <c r="B82" s="131" t="s">
        <v>159</v>
      </c>
      <c r="C82" s="132">
        <v>0.35</v>
      </c>
      <c r="D82" s="132" t="s">
        <v>160</v>
      </c>
      <c r="E82" s="132">
        <v>1.3</v>
      </c>
      <c r="F82" s="133" t="s">
        <v>274</v>
      </c>
      <c r="G82" s="134">
        <v>0.55000000000000004</v>
      </c>
      <c r="H82" s="132" t="s">
        <v>153</v>
      </c>
      <c r="I82" s="135">
        <v>0.43</v>
      </c>
      <c r="J82" s="99"/>
      <c r="K82" s="99"/>
      <c r="L82" s="99"/>
      <c r="M82" s="99"/>
      <c r="N82" s="99"/>
    </row>
    <row r="83" spans="1:14" x14ac:dyDescent="0.25">
      <c r="A83" s="130" t="s">
        <v>156</v>
      </c>
      <c r="B83" s="131" t="s">
        <v>157</v>
      </c>
      <c r="C83" s="132">
        <v>0.34</v>
      </c>
      <c r="D83" s="132" t="s">
        <v>161</v>
      </c>
      <c r="E83" s="132">
        <v>1.3</v>
      </c>
      <c r="F83" s="133" t="s">
        <v>274</v>
      </c>
      <c r="G83" s="134">
        <v>0.55000000000000004</v>
      </c>
      <c r="H83" s="132" t="s">
        <v>153</v>
      </c>
      <c r="I83" s="135">
        <v>0.43</v>
      </c>
      <c r="J83" s="99"/>
      <c r="K83" s="99"/>
      <c r="L83" s="99"/>
      <c r="M83" s="99"/>
      <c r="N83" s="99"/>
    </row>
    <row r="84" spans="1:14" x14ac:dyDescent="0.25">
      <c r="A84" s="130" t="s">
        <v>92</v>
      </c>
      <c r="B84" s="131" t="s">
        <v>93</v>
      </c>
      <c r="C84" s="132">
        <v>0.31</v>
      </c>
      <c r="D84" s="132" t="s">
        <v>161</v>
      </c>
      <c r="E84" s="132">
        <v>1.3</v>
      </c>
      <c r="F84" s="133" t="s">
        <v>274</v>
      </c>
      <c r="G84" s="134">
        <v>0.55000000000000004</v>
      </c>
      <c r="H84" s="132" t="s">
        <v>153</v>
      </c>
      <c r="I84" s="135">
        <v>0.43</v>
      </c>
      <c r="J84" s="99"/>
      <c r="K84" s="99"/>
      <c r="L84" s="99"/>
      <c r="M84" s="99"/>
      <c r="N84" s="99"/>
    </row>
    <row r="85" spans="1:14" x14ac:dyDescent="0.25">
      <c r="A85" s="130" t="s">
        <v>50</v>
      </c>
      <c r="B85" s="131" t="s">
        <v>143</v>
      </c>
      <c r="C85" s="132">
        <v>0.43</v>
      </c>
      <c r="D85" s="132" t="s">
        <v>161</v>
      </c>
      <c r="E85" s="132">
        <v>1.56</v>
      </c>
      <c r="F85" s="133" t="s">
        <v>274</v>
      </c>
      <c r="G85" s="134">
        <v>0.53</v>
      </c>
      <c r="H85" s="132" t="s">
        <v>275</v>
      </c>
      <c r="I85" s="135">
        <v>0.25</v>
      </c>
      <c r="J85" s="99"/>
      <c r="K85" s="99"/>
      <c r="L85" s="99"/>
      <c r="M85" s="99"/>
      <c r="N85" s="99"/>
    </row>
    <row r="86" spans="1:14" x14ac:dyDescent="0.25">
      <c r="A86" s="130" t="s">
        <v>51</v>
      </c>
      <c r="B86" s="131" t="s">
        <v>91</v>
      </c>
      <c r="C86" s="132">
        <v>0.38</v>
      </c>
      <c r="D86" s="132" t="s">
        <v>161</v>
      </c>
      <c r="E86" s="132">
        <v>1.56</v>
      </c>
      <c r="F86" s="133" t="s">
        <v>274</v>
      </c>
      <c r="G86" s="134">
        <v>0.6</v>
      </c>
      <c r="H86" s="132" t="s">
        <v>279</v>
      </c>
      <c r="I86" s="135">
        <v>0.25</v>
      </c>
      <c r="J86" s="99"/>
      <c r="K86" s="99"/>
      <c r="L86" s="99"/>
      <c r="M86" s="99"/>
      <c r="N86" s="99"/>
    </row>
    <row r="87" spans="1:14" x14ac:dyDescent="0.25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99"/>
      <c r="K87" s="99"/>
      <c r="L87" s="99"/>
      <c r="M87" s="99"/>
      <c r="N87" s="99"/>
    </row>
    <row r="88" spans="1:14" x14ac:dyDescent="0.25">
      <c r="A88" s="130" t="s">
        <v>148</v>
      </c>
      <c r="B88" s="138"/>
      <c r="C88" s="132">
        <v>0.42</v>
      </c>
      <c r="D88" s="132" t="s">
        <v>161</v>
      </c>
      <c r="E88" s="132">
        <v>1.3</v>
      </c>
      <c r="F88" s="133" t="s">
        <v>274</v>
      </c>
      <c r="G88" s="139"/>
      <c r="H88" s="138"/>
      <c r="I88" s="140"/>
    </row>
    <row r="89" spans="1:14" ht="15.75" thickBot="1" x14ac:dyDescent="0.3">
      <c r="A89" s="141" t="s">
        <v>149</v>
      </c>
      <c r="B89" s="142"/>
      <c r="C89" s="143">
        <v>0.56999999999999995</v>
      </c>
      <c r="D89" s="144" t="s">
        <v>161</v>
      </c>
      <c r="E89" s="143">
        <v>1.56</v>
      </c>
      <c r="F89" s="143" t="s">
        <v>274</v>
      </c>
      <c r="G89" s="142"/>
      <c r="H89" s="142"/>
      <c r="I89" s="145"/>
    </row>
    <row r="93" spans="1:14" x14ac:dyDescent="0.25">
      <c r="A93" s="130" t="s">
        <v>208</v>
      </c>
    </row>
    <row r="94" spans="1:14" x14ac:dyDescent="0.25">
      <c r="A94" s="130" t="s">
        <v>209</v>
      </c>
    </row>
    <row r="95" spans="1:14" x14ac:dyDescent="0.25">
      <c r="A95" s="13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topLeftCell="G1" zoomScaleNormal="100" workbookViewId="0">
      <selection activeCell="M16" sqref="M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0"/>
      <c r="J1" s="70"/>
      <c r="K1" s="70"/>
      <c r="L1" s="70"/>
      <c r="M1" s="70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6" t="s">
        <v>207</v>
      </c>
      <c r="B5" s="147" t="s">
        <v>250</v>
      </c>
      <c r="C5" s="148" t="str">
        <f>Calculateur!S2</f>
        <v>ΔStock moyen de long terme (tCO₂/ha)</v>
      </c>
      <c r="D5" s="148" t="str">
        <f>Calculateur!T2</f>
        <v>Δstock CO₂ 30 ans (tCO₂/ha)</v>
      </c>
      <c r="E5" s="148" t="s">
        <v>228</v>
      </c>
      <c r="F5" s="148" t="s">
        <v>239</v>
      </c>
      <c r="G5" s="148" t="s">
        <v>240</v>
      </c>
      <c r="H5" s="149" t="s">
        <v>241</v>
      </c>
      <c r="I5" s="150" t="s">
        <v>242</v>
      </c>
      <c r="J5" s="151" t="s">
        <v>243</v>
      </c>
      <c r="K5" s="152" t="s">
        <v>244</v>
      </c>
      <c r="L5" s="89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3" t="str">
        <f>IF('Données projet'!$B$9="","",'Données projet'!$B$9)</f>
        <v>Douglas</v>
      </c>
      <c r="B6" s="154">
        <f>'Données projet'!D9</f>
        <v>1.872269</v>
      </c>
      <c r="C6" s="155">
        <f ca="1">IF(OR('Données projet'!B9="",'Données projet'!C9="",'Données projet'!C9=0%),0,Calculateur!S3)</f>
        <v>323.98185264074681</v>
      </c>
      <c r="D6" s="155">
        <f>IF(OR('Données projet'!B9="",'Données projet'!C9="",'Données projet'!C9=0%),0,Calculateur!T3)</f>
        <v>301.22207291854005</v>
      </c>
      <c r="E6" s="155">
        <f ca="1">MIN(C6,D6)</f>
        <v>301.22207291854005</v>
      </c>
      <c r="F6" s="155">
        <f ca="1">E6*B6</f>
        <v>563.96874924112205</v>
      </c>
      <c r="G6" s="155">
        <f ca="1">F6*(100%-'Données projet'!$C$24)*(100%-'Données projet'!$C$25)*(100%-'Données projet'!$C$26)*(100%-'Données projet'!$C$27)</f>
        <v>456.8146868853089</v>
      </c>
      <c r="H6" s="156">
        <f>IF(OR('Données projet'!B9="",'Données projet'!C9="",'Données projet'!C9=0%),0,AVERAGE(Calculateur!$AC$3:$AC$33)*B6)</f>
        <v>8.8319760232397027</v>
      </c>
      <c r="I6" s="157">
        <f>H6*(100%-'Données projet'!$C$24)*(100%-'Données projet'!$C$25)*(100%-'Données projet'!$C$26)*(100%-'Données projet'!$C$27)</f>
        <v>7.1539005788241594</v>
      </c>
      <c r="J6" s="158">
        <f>IF(OR('Données projet'!B9="",'Données projet'!C9="",'Données projet'!C9=0%),0,SUM(Calculateur!$V$3:$V$33)*VLOOKUP('Données projet'!$B$9,Paramètres!$A$1:$I$89,9,0)*B6)</f>
        <v>95.067050847461516</v>
      </c>
      <c r="K6" s="159">
        <f>J6*(100%-'Données projet'!$C$24)*(100%-'Données projet'!$C$25)*(100%-'Données projet'!$C$26)*(100%-'Données projet'!$C$27)</f>
        <v>77.004311186443843</v>
      </c>
      <c r="L6" s="160">
        <f ca="1">G6+I6+K6</f>
        <v>540.97289865057689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1" t="str">
        <f>IF('Données projet'!$B$10="","",'Données projet'!$B$10)</f>
        <v>Pin laricio</v>
      </c>
      <c r="B7" s="162">
        <f>'Données projet'!D10</f>
        <v>0.88177400000000006</v>
      </c>
      <c r="C7" s="155">
        <f ca="1">IF(OR('Données projet'!B10="",'Données projet'!C10="",'Données projet'!C10=0%),0,Calculateur!AN3)</f>
        <v>289.12367833861299</v>
      </c>
      <c r="D7" s="155">
        <f>IF(OR('Données projet'!B10="",'Données projet'!C10="",'Données projet'!C10=0%),0,Calculateur!AO3)</f>
        <v>229.06617320689003</v>
      </c>
      <c r="E7" s="155">
        <f t="shared" ref="E7:E15" ca="1" si="0">MIN(C7,D7)</f>
        <v>229.06617320689003</v>
      </c>
      <c r="F7" s="155">
        <f t="shared" ref="F7:F15" ca="1" si="1">E7*B7</f>
        <v>201.98459581333225</v>
      </c>
      <c r="G7" s="155">
        <f ca="1">F7*(100%-'Données projet'!$C$24)*(100%-'Données projet'!$C$25)*(100%-'Données projet'!$C$26)*(100%-'Données projet'!$C$27)</f>
        <v>163.60752260879912</v>
      </c>
      <c r="H7" s="163">
        <f>IF(OR('Données projet'!B10="",'Données projet'!C10="",'Données projet'!C10=0%),0,AVERAGE(Calculateur!$AX$3:$AX$33)*B7)</f>
        <v>0.85429782143525745</v>
      </c>
      <c r="I7" s="157">
        <f>H7*(100%-'Données projet'!$C$24)*(100%-'Données projet'!$C$25)*(100%-'Données projet'!$C$26)*(100%-'Données projet'!$C$27)</f>
        <v>0.69198123536255862</v>
      </c>
      <c r="J7" s="158">
        <f>IF(OR('Données projet'!B10="",'Données projet'!C10="",'Données projet'!C10=0%),0,SUM(Calculateur!$AQ$3:$AQ$33)*VLOOKUP('Données projet'!$B$10,Paramètres!$A$1:$I$89,9,0)*B7)</f>
        <v>33.135913830923073</v>
      </c>
      <c r="K7" s="159">
        <f>J7*(100%-'Données projet'!$C$24)*(100%-'Données projet'!$C$25)*(100%-'Données projet'!$C$26)*(100%-'Données projet'!$C$27)</f>
        <v>26.840090203047691</v>
      </c>
      <c r="L7" s="160">
        <f t="shared" ref="L7:L15" ca="1" si="2">G7+I7+K7</f>
        <v>191.13959404720936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1" t="str">
        <f>IF('Données projet'!$B$11="","",'Données projet'!$B$11)</f>
        <v>Chêne sessile</v>
      </c>
      <c r="B8" s="162">
        <f>'Données projet'!D11</f>
        <v>1.2479570000000002</v>
      </c>
      <c r="C8" s="155">
        <f ca="1">IF(OR('Données projet'!B11="",'Données projet'!C11="",'Données projet'!C11=0%),0,Calculateur!BI3)</f>
        <v>428.8489304403459</v>
      </c>
      <c r="D8" s="155">
        <f>IF(OR('Données projet'!B11="",'Données projet'!C11="",'Données projet'!C11=0%),0,Calculateur!BJ3)</f>
        <v>247.01165577562966</v>
      </c>
      <c r="E8" s="155">
        <f t="shared" ca="1" si="0"/>
        <v>247.01165577562966</v>
      </c>
      <c r="F8" s="155">
        <f t="shared" ca="1" si="1"/>
        <v>308.25992490678755</v>
      </c>
      <c r="G8" s="155">
        <f ca="1">F8*(100%-'Données projet'!$C$24)*(100%-'Données projet'!$C$25)*(100%-'Données projet'!$C$26)*(100%-'Données projet'!$C$27)</f>
        <v>249.69053917449793</v>
      </c>
      <c r="H8" s="163">
        <f>IF(OR('Données projet'!B11="",'Données projet'!C11="",'Données projet'!C11=0%),0,AVERAGE(Calculateur!$BS$3:$BS$33)*B8)</f>
        <v>0</v>
      </c>
      <c r="I8" s="157">
        <f>H8*(100%-'Données projet'!$C$24)*(100%-'Données projet'!$C$25)*(100%-'Données projet'!$C$26)*(100%-'Données projet'!$C$27)</f>
        <v>0</v>
      </c>
      <c r="J8" s="158">
        <f>IF(OR('Données projet'!B11="",'Données projet'!C11="",'Données projet'!C11=0%),0,SUM(Calculateur!$BL$3:$BL$33)*VLOOKUP('Données projet'!$B$11,Paramètres!$A$1:$I$89,9,0)*B8)</f>
        <v>9.047688250000002</v>
      </c>
      <c r="K8" s="159">
        <f>J8*(100%-'Données projet'!$C$24)*(100%-'Données projet'!$C$25)*(100%-'Données projet'!$C$26)*(100%-'Données projet'!$C$27)</f>
        <v>7.3286274825000026</v>
      </c>
      <c r="L8" s="160">
        <f t="shared" ca="1" si="2"/>
        <v>257.01916665699792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1" t="str">
        <f>IF('Données projet'!$B$12="","",'Données projet'!$B$12)</f>
        <v>Châtaignier</v>
      </c>
      <c r="B9" s="162">
        <f>'Données projet'!D12</f>
        <v>0.46823399999999998</v>
      </c>
      <c r="C9" s="155">
        <f ca="1">IF(OR('Données projet'!B12="",'Données projet'!C12="",'Données projet'!C12=0%),0,Calculateur!CD3)</f>
        <v>290.85271051443431</v>
      </c>
      <c r="D9" s="155">
        <f>IF(OR('Données projet'!B12="",'Données projet'!C12="",'Données projet'!C12=0%),0,Calculateur!CE3)</f>
        <v>318.66958823451142</v>
      </c>
      <c r="E9" s="155">
        <f t="shared" ca="1" si="0"/>
        <v>290.85271051443431</v>
      </c>
      <c r="F9" s="155">
        <f t="shared" ca="1" si="1"/>
        <v>136.18712805501562</v>
      </c>
      <c r="G9" s="155">
        <f ca="1">F9*(100%-'Données projet'!$C$24)*(100%-'Données projet'!$C$25)*(100%-'Données projet'!$C$26)*(100%-'Données projet'!$C$27)</f>
        <v>110.31157372456266</v>
      </c>
      <c r="H9" s="163">
        <f>IF(OR('Données projet'!B12="",'Données projet'!C12="",'Données projet'!C12=0%),0,AVERAGE(Calculateur!$CN$3:$CN$33)*B9)</f>
        <v>0</v>
      </c>
      <c r="I9" s="157">
        <f>H9*(100%-'Données projet'!$C$24)*(100%-'Données projet'!$C$25)*(100%-'Données projet'!$C$26)*(100%-'Données projet'!$C$27)</f>
        <v>0</v>
      </c>
      <c r="J9" s="158">
        <f>IF(OR('Données projet'!B12="",'Données projet'!C12="",'Données projet'!C12=0%),0,SUM(Calculateur!$CG$3:$CG$33)*VLOOKUP('Données projet'!$B$12,Paramètres!$A$1:$I$89,9,0)*B9)</f>
        <v>11.588791499999999</v>
      </c>
      <c r="K9" s="159">
        <f>J9*(100%-'Données projet'!$C$24)*(100%-'Données projet'!$C$25)*(100%-'Données projet'!$C$26)*(100%-'Données projet'!$C$27)</f>
        <v>9.3869211149999998</v>
      </c>
      <c r="L9" s="160">
        <f t="shared" ca="1" si="2"/>
        <v>119.69849483956267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1" t="str">
        <f>IF('Données projet'!$B$13="","",'Données projet'!$B$13)</f>
        <v>Merisier</v>
      </c>
      <c r="B10" s="162">
        <f>'Données projet'!D13</f>
        <v>0.46823399999999998</v>
      </c>
      <c r="C10" s="155">
        <f ca="1">IF(OR('Données projet'!B13="",'Données projet'!C13="",'Données projet'!C13=0%),0,Calculateur!CY3)</f>
        <v>292.57482726862594</v>
      </c>
      <c r="D10" s="155">
        <f>IF(OR('Données projet'!B13="",'Données projet'!C13="",'Données projet'!C13=0%),0,Calculateur!CZ3)</f>
        <v>283.48738729114024</v>
      </c>
      <c r="E10" s="155">
        <f t="shared" ca="1" si="0"/>
        <v>283.48738729114024</v>
      </c>
      <c r="F10" s="155">
        <f t="shared" ca="1" si="1"/>
        <v>132.73843330087976</v>
      </c>
      <c r="G10" s="155">
        <f ca="1">F10*(100%-'Données projet'!$C$24)*(100%-'Données projet'!$C$25)*(100%-'Données projet'!$C$26)*(100%-'Données projet'!$C$27)</f>
        <v>107.51813097371262</v>
      </c>
      <c r="H10" s="163">
        <f>IF(OR('Données projet'!B13="",'Données projet'!C13="",'Données projet'!C13=0%),0,AVERAGE(Calculateur!$DI$3:$DI$33)*B10)</f>
        <v>0</v>
      </c>
      <c r="I10" s="157">
        <f>H10*(100%-'Données projet'!$C$24)*(100%-'Données projet'!$C$25)*(100%-'Données projet'!$C$26)*(100%-'Données projet'!$C$27)</f>
        <v>0</v>
      </c>
      <c r="J10" s="158">
        <f>IF(OR('Données projet'!B13="",'Données projet'!C13="",'Données projet'!C13=0%),0,SUM(Calculateur!$DB$3:$DB$33)*VLOOKUP('Données projet'!$B$13,Paramètres!$A$1:$I$89,9,0)*B10)</f>
        <v>6.4382174999999995</v>
      </c>
      <c r="K10" s="159">
        <f>J10*(100%-'Données projet'!$C$24)*(100%-'Données projet'!$C$25)*(100%-'Données projet'!$C$26)*(100%-'Données projet'!$C$27)</f>
        <v>5.2149561750000002</v>
      </c>
      <c r="L10" s="160">
        <f t="shared" ca="1" si="2"/>
        <v>112.73308714871261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1" t="str">
        <f>IF('Données projet'!$B$14="","",'Données projet'!$B$14)</f>
        <v>Erable plane</v>
      </c>
      <c r="B11" s="162">
        <f>'Données projet'!D14</f>
        <v>0.60630299999999993</v>
      </c>
      <c r="C11" s="155">
        <f ca="1">IF(OR('Données projet'!B14="",'Données projet'!C14="",'Données projet'!C14=0%),0,Calculateur!DT3)</f>
        <v>312.53381881960331</v>
      </c>
      <c r="D11" s="155">
        <f>IF(OR('Données projet'!B14="",'Données projet'!C14="",'Données projet'!C14=0%),0,Calculateur!DU3)</f>
        <v>342.06887933351783</v>
      </c>
      <c r="E11" s="155">
        <f t="shared" ca="1" si="0"/>
        <v>312.53381881960331</v>
      </c>
      <c r="F11" s="155">
        <f t="shared" ca="1" si="1"/>
        <v>189.49019195178192</v>
      </c>
      <c r="G11" s="155">
        <f ca="1">F11*(100%-'Données projet'!$C$24)*(100%-'Données projet'!$C$25)*(100%-'Données projet'!$C$26)*(100%-'Données projet'!$C$27)</f>
        <v>153.48705548094338</v>
      </c>
      <c r="H11" s="163">
        <f>IF(OR('Données projet'!B14="",'Données projet'!C14="",'Données projet'!C14=0%),0,AVERAGE(Calculateur!$ED$3:$ED$33)*B11)</f>
        <v>0</v>
      </c>
      <c r="I11" s="157">
        <f>H11*(100%-'Données projet'!$C$24)*(100%-'Données projet'!$C$25)*(100%-'Données projet'!$C$26)*(100%-'Données projet'!$C$27)</f>
        <v>0</v>
      </c>
      <c r="J11" s="158">
        <f>IF(OR('Données projet'!B14="",'Données projet'!C14="",'Données projet'!C14=0%),0,SUM(Calculateur!$DW$3:$DW$33)*VLOOKUP('Données projet'!$B$14,Paramètres!$A$1:$I$89,9,0)*B11)</f>
        <v>15.005999249999999</v>
      </c>
      <c r="K11" s="159">
        <f>J11*(100%-'Données projet'!$C$24)*(100%-'Données projet'!$C$25)*(100%-'Données projet'!$C$26)*(100%-'Données projet'!$C$27)</f>
        <v>12.154859392499999</v>
      </c>
      <c r="L11" s="160">
        <f t="shared" ca="1" si="2"/>
        <v>165.64191487344337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1" t="str">
        <f>IF('Données projet'!$B$15="","",'Données projet'!$B$15)</f>
        <v>Charme</v>
      </c>
      <c r="B12" s="162">
        <f>'Données projet'!D15</f>
        <v>0.31215599999999999</v>
      </c>
      <c r="C12" s="155">
        <f ca="1">IF(OR('Données projet'!B15="",'Données projet'!C15="",'Données projet'!C15=0%),0,Calculateur!EO3)</f>
        <v>363.37916970915211</v>
      </c>
      <c r="D12" s="155">
        <f>IF(OR('Données projet'!B15="",'Données projet'!C15="",'Données projet'!C15=0%),0,Calculateur!EP3)</f>
        <v>281.52963027844595</v>
      </c>
      <c r="E12" s="155">
        <f t="shared" ca="1" si="0"/>
        <v>281.52963027844595</v>
      </c>
      <c r="F12" s="155">
        <f t="shared" ca="1" si="1"/>
        <v>87.881163269198566</v>
      </c>
      <c r="G12" s="155">
        <f ca="1">F12*(100%-'Données projet'!$C$24)*(100%-'Données projet'!$C$25)*(100%-'Données projet'!$C$26)*(100%-'Données projet'!$C$27)</f>
        <v>71.183742248050848</v>
      </c>
      <c r="H12" s="163">
        <f>IF(OR('Données projet'!B15="",'Données projet'!C15="",'Données projet'!C15=0%),0,AVERAGE(Calculateur!$EY$3:$EY$33)*B12)</f>
        <v>0</v>
      </c>
      <c r="I12" s="157">
        <f>H12*(100%-'Données projet'!$C$24)*(100%-'Données projet'!$C$25)*(100%-'Données projet'!$C$26)*(100%-'Données projet'!$C$27)</f>
        <v>0</v>
      </c>
      <c r="J12" s="158">
        <f>IF(OR('Données projet'!B15="",'Données projet'!C15="",'Données projet'!C15=0%),0,SUM(Calculateur!$ER$3:$ER$33)*VLOOKUP('Données projet'!$B$15,Paramètres!$A$1:$I$89,9,0)*B12)</f>
        <v>3.30165</v>
      </c>
      <c r="K12" s="159">
        <f>J12*(100%-'Données projet'!$C$24)*(100%-'Données projet'!$C$25)*(100%-'Données projet'!$C$26)*(100%-'Données projet'!$C$27)</f>
        <v>2.6743364999999999</v>
      </c>
      <c r="L12" s="160">
        <f t="shared" ca="1" si="2"/>
        <v>73.858078748050843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1" t="str">
        <f>IF('Données projet'!$B$16="","",'Données projet'!$B$16)</f>
        <v>Cèdre de l'Atlas</v>
      </c>
      <c r="B13" s="162">
        <f>'Données projet'!D16</f>
        <v>0.29414699999999999</v>
      </c>
      <c r="C13" s="155">
        <f ca="1">IF(OR('Données projet'!B16="",'Données projet'!C16="",'Données projet'!C16=0%),0,Calculateur!FJ3)</f>
        <v>245.47494516762282</v>
      </c>
      <c r="D13" s="155">
        <f>IF(OR('Données projet'!B16="",'Données projet'!C16="",'Données projet'!C16=0%),0,Calculateur!FK3)</f>
        <v>145.54897745089966</v>
      </c>
      <c r="E13" s="155">
        <f t="shared" ca="1" si="0"/>
        <v>145.54897745089966</v>
      </c>
      <c r="F13" s="155">
        <f t="shared" ca="1" si="1"/>
        <v>42.812795070249777</v>
      </c>
      <c r="G13" s="155">
        <f ca="1">F13*(100%-'Données projet'!$C$24)*(100%-'Données projet'!$C$25)*(100%-'Données projet'!$C$26)*(100%-'Données projet'!$C$27)</f>
        <v>34.678364006902321</v>
      </c>
      <c r="H13" s="163">
        <f>IF(OR('Données projet'!B16="",'Données projet'!C16="",'Données projet'!C16=0%),0,AVERAGE(Calculateur!$FT$3:$FT$33)*B13)</f>
        <v>0</v>
      </c>
      <c r="I13" s="157">
        <f>H13*(100%-'Données projet'!$C$24)*(100%-'Données projet'!$C$25)*(100%-'Données projet'!$C$26)*(100%-'Données projet'!$C$27)</f>
        <v>0</v>
      </c>
      <c r="J13" s="158">
        <f>IF(OR('Données projet'!C16="",'Données projet'!C16=0%),0,SUM(Calculateur!$FM$3:$FM$33)*VLOOKUP('Données projet'!$B$16,Paramètres!$A$1:$I$89,9,0)*B13)</f>
        <v>0</v>
      </c>
      <c r="K13" s="159">
        <f>J13*(100%-'Données projet'!$C$24)*(100%-'Données projet'!$C$25)*(100%-'Données projet'!$C$26)*(100%-'Données projet'!$C$27)</f>
        <v>0</v>
      </c>
      <c r="L13" s="160">
        <f t="shared" ca="1" si="2"/>
        <v>34.678364006902321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1" t="str">
        <f>IF('Données projet'!$B$17="","",'Données projet'!$B$17)</f>
        <v>Alisier torminal</v>
      </c>
      <c r="B14" s="162">
        <f>'Données projet'!D17</f>
        <v>0.31215599999999999</v>
      </c>
      <c r="C14" s="155">
        <f ca="1">IF(OR('Données projet'!B17="",'Données projet'!C17="",'Données projet'!C17=0%),0,Calculateur!GE3)</f>
        <v>455.50822833641354</v>
      </c>
      <c r="D14" s="155">
        <f>IF(OR('Données projet'!B17="",'Données projet'!C17="",'Données projet'!C17=0%),0,Calculateur!GF3)</f>
        <v>261.14722581688039</v>
      </c>
      <c r="E14" s="155">
        <f t="shared" ca="1" si="0"/>
        <v>261.14722581688039</v>
      </c>
      <c r="F14" s="155">
        <f t="shared" ca="1" si="1"/>
        <v>81.51867342209411</v>
      </c>
      <c r="G14" s="155">
        <f ca="1">F14*(100%-'Données projet'!$C$24)*(100%-'Données projet'!$C$25)*(100%-'Données projet'!$C$26)*(100%-'Données projet'!$C$27)</f>
        <v>66.030125471896227</v>
      </c>
      <c r="H14" s="163">
        <f>IF(OR('Données projet'!B17="",'Données projet'!C17="",'Données projet'!C17=0%),0,AVERAGE(Calculateur!$GO$3:$GO$33)*B14)</f>
        <v>0</v>
      </c>
      <c r="I14" s="157">
        <f>H14*(100%-'Données projet'!$C$24)*(100%-'Données projet'!$C$25)*(100%-'Données projet'!$C$26)*(100%-'Données projet'!$C$27)</f>
        <v>0</v>
      </c>
      <c r="J14" s="158">
        <f>IF(OR('Données projet'!B17="",'Données projet'!C17="",'Données projet'!C17=0%),0,SUM(Calculateur!$GH$3:$GH$33)*VLOOKUP('Données projet'!$B$17,Paramètres!$A$1:$I$89,9,0)*B14)</f>
        <v>2.263131</v>
      </c>
      <c r="K14" s="159">
        <f>J14*(100%-'Données projet'!$C$24)*(100%-'Données projet'!$C$25)*(100%-'Données projet'!$C$26)*(100%-'Données projet'!$C$27)</f>
        <v>1.8331361100000001</v>
      </c>
      <c r="L14" s="160">
        <f t="shared" ca="1" si="2"/>
        <v>67.863261581896225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4" t="str">
        <f>IF('Données projet'!B18="","",'Données projet'!B18)</f>
        <v>Tilleul</v>
      </c>
      <c r="B15" s="165">
        <f>'Données projet'!D18</f>
        <v>0.10405199999999999</v>
      </c>
      <c r="C15" s="166">
        <f ca="1">IF(OR('Données projet'!B18="",'Données projet'!C18="",'Données projet'!C18=0%),0,Calculateur!GZ3)</f>
        <v>312.06797204903796</v>
      </c>
      <c r="D15" s="166">
        <f>IF(OR('Données projet'!B18="",'Données projet'!C18="",'Données projet'!C18=0%),0,Calculateur!HA3)</f>
        <v>258.20189001775151</v>
      </c>
      <c r="E15" s="166">
        <f t="shared" ca="1" si="0"/>
        <v>258.20189001775151</v>
      </c>
      <c r="F15" s="167">
        <f t="shared" ca="1" si="1"/>
        <v>26.866423060127079</v>
      </c>
      <c r="G15" s="167">
        <f ca="1">F15*(100%-'Données projet'!$C$24)*(100%-'Données projet'!$C$25)*(100%-'Données projet'!$C$26)*(100%-'Données projet'!$C$27)</f>
        <v>21.761802678702935</v>
      </c>
      <c r="H15" s="168">
        <f>IF(OR('Données projet'!B18="",'Données projet'!C18="",'Données projet'!C18=0%),0,AVERAGE(Calculateur!$HJ$3:$HJ$33)*B15)</f>
        <v>0</v>
      </c>
      <c r="I15" s="169">
        <f>H15*(100%-'Données projet'!$C$24)*(100%-'Données projet'!$C$25)*(100%-'Données projet'!$C$26)*(100%-'Données projet'!$C$27)</f>
        <v>0</v>
      </c>
      <c r="J15" s="170">
        <f>IF(OR('Données projet'!B18="",'Données projet'!C18="",'Données projet'!C18=0%),0,SUM(Calculateur!$HC$3:$HC$33)*VLOOKUP('Données projet'!$B$18,Paramètres!$A$1:$I$89,9,0)*B15)</f>
        <v>1.4840749999999998</v>
      </c>
      <c r="K15" s="171">
        <f>J15*(100%-'Données projet'!$C$24)*(100%-'Données projet'!$C$25)*(100%-'Données projet'!$C$26)*(100%-'Données projet'!$C$27)</f>
        <v>1.2021007499999998</v>
      </c>
      <c r="L15" s="172">
        <f t="shared" ca="1" si="2"/>
        <v>22.963903428702935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5"/>
      <c r="B16" s="232"/>
      <c r="C16" s="233"/>
      <c r="D16" s="25"/>
      <c r="E16" s="25"/>
      <c r="F16" s="173">
        <f t="shared" ref="F16:L16" ca="1" si="3">SUM(F6:F15)</f>
        <v>1771.7080780905887</v>
      </c>
      <c r="G16" s="174">
        <f t="shared" ca="1" si="3"/>
        <v>1435.0835432533768</v>
      </c>
      <c r="H16" s="175">
        <f t="shared" si="3"/>
        <v>9.686273844674961</v>
      </c>
      <c r="I16" s="175">
        <f t="shared" si="3"/>
        <v>7.8458818141867184</v>
      </c>
      <c r="J16" s="176">
        <f t="shared" si="3"/>
        <v>177.33251717838456</v>
      </c>
      <c r="K16" s="176">
        <f t="shared" si="3"/>
        <v>143.63933891449153</v>
      </c>
      <c r="L16" s="177">
        <f t="shared" ca="1" si="3"/>
        <v>1586.5687639820553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5"/>
      <c r="B17" s="232"/>
      <c r="C17" s="233"/>
      <c r="D17" s="230"/>
      <c r="E17" s="230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5"/>
      <c r="B18" s="232"/>
      <c r="C18" s="233"/>
      <c r="D18" s="230"/>
      <c r="E18" s="230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8" t="str">
        <f>A6</f>
        <v>Douglas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8" t="str">
        <f>A7</f>
        <v>Pin laricio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8" t="str">
        <f>A8</f>
        <v>Chêne sessile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8" t="str">
        <f>A9</f>
        <v>Châtaignier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8" t="str">
        <f>A10</f>
        <v>Merisier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8" t="str">
        <f>A11</f>
        <v>Erable plane</v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8" t="str">
        <f>A12</f>
        <v>Charme</v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8" t="str">
        <f>A13</f>
        <v>Cèdre de l'Atlas</v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8" t="str">
        <f>A14</f>
        <v>Alisier torminal</v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8" t="str">
        <f>A15</f>
        <v>Tilleul</v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0"/>
      <c r="J203" s="70"/>
      <c r="K203" s="70"/>
      <c r="L203" s="70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0"/>
      <c r="J204" s="70"/>
      <c r="K204" s="70"/>
      <c r="L204" s="70"/>
      <c r="M204" s="70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0"/>
      <c r="J205" s="70"/>
      <c r="K205" s="70"/>
      <c r="L205" s="70"/>
      <c r="M205" s="70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0"/>
      <c r="J206" s="70"/>
      <c r="K206" s="70"/>
      <c r="L206" s="70"/>
      <c r="M206" s="70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0"/>
      <c r="J207" s="70"/>
      <c r="K207" s="70"/>
      <c r="L207" s="70"/>
      <c r="M207" s="70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0"/>
      <c r="J208" s="70"/>
      <c r="K208" s="70"/>
      <c r="L208" s="70"/>
      <c r="M208" s="70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0"/>
      <c r="J209" s="70"/>
      <c r="K209" s="70"/>
      <c r="L209" s="70"/>
      <c r="M209" s="70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0"/>
      <c r="J210" s="70"/>
      <c r="K210" s="70"/>
      <c r="L210" s="70"/>
      <c r="M210" s="70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0"/>
      <c r="J211" s="70"/>
      <c r="K211" s="70"/>
      <c r="L211" s="70"/>
      <c r="M211" s="70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0"/>
      <c r="J212" s="70"/>
      <c r="K212" s="70"/>
      <c r="L212" s="70"/>
      <c r="M212" s="70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0"/>
      <c r="J213" s="70"/>
      <c r="K213" s="70"/>
      <c r="L213" s="70"/>
      <c r="M213" s="70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0"/>
      <c r="J214" s="70"/>
      <c r="K214" s="70"/>
      <c r="L214" s="70"/>
      <c r="M214" s="70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0"/>
      <c r="J215" s="70"/>
      <c r="K215" s="70"/>
      <c r="L215" s="70"/>
      <c r="M215" s="70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0"/>
      <c r="J216" s="70"/>
      <c r="K216" s="70"/>
      <c r="L216" s="70"/>
      <c r="M216" s="70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0"/>
      <c r="J217" s="70"/>
      <c r="K217" s="70"/>
      <c r="L217" s="70"/>
      <c r="M217" s="70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0"/>
      <c r="J218" s="70"/>
      <c r="K218" s="70"/>
      <c r="L218" s="70"/>
      <c r="M218" s="70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0"/>
      <c r="J219" s="70"/>
      <c r="K219" s="70"/>
      <c r="L219" s="70"/>
      <c r="M219" s="70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0"/>
      <c r="J220" s="70"/>
      <c r="K220" s="70"/>
      <c r="L220" s="70"/>
      <c r="M220" s="70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0"/>
      <c r="J221" s="70"/>
      <c r="K221" s="70"/>
      <c r="L221" s="70"/>
      <c r="M221" s="70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0"/>
      <c r="J222" s="70"/>
      <c r="K222" s="70"/>
      <c r="L222" s="70"/>
      <c r="M222" s="70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0"/>
      <c r="J223" s="70"/>
      <c r="K223" s="70"/>
      <c r="L223" s="70"/>
      <c r="M223" s="70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0"/>
      <c r="J224" s="70"/>
      <c r="K224" s="70"/>
      <c r="L224" s="70"/>
      <c r="M224" s="70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0"/>
      <c r="J225" s="70"/>
      <c r="K225" s="70"/>
      <c r="L225" s="70"/>
      <c r="M225" s="70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0"/>
      <c r="J226" s="70"/>
      <c r="K226" s="70"/>
      <c r="L226" s="70"/>
      <c r="M226" s="70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0"/>
      <c r="J227" s="70"/>
      <c r="K227" s="70"/>
      <c r="L227" s="70"/>
      <c r="M227" s="70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0"/>
      <c r="J228" s="70"/>
      <c r="K228" s="70"/>
      <c r="L228" s="70"/>
      <c r="M228" s="70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0"/>
      <c r="J229" s="70"/>
      <c r="K229" s="70"/>
      <c r="L229" s="70"/>
      <c r="M229" s="70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0"/>
      <c r="J230" s="70"/>
      <c r="K230" s="70"/>
      <c r="L230" s="70"/>
      <c r="M230" s="70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0"/>
      <c r="J231" s="70"/>
      <c r="K231" s="70"/>
      <c r="L231" s="70"/>
      <c r="M231" s="70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0"/>
      <c r="J232" s="70"/>
      <c r="K232" s="70"/>
      <c r="L232" s="70"/>
      <c r="M232" s="70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0"/>
      <c r="J233" s="70"/>
      <c r="K233" s="70"/>
      <c r="L233" s="70"/>
      <c r="M233" s="70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0"/>
      <c r="J234" s="70"/>
      <c r="K234" s="70"/>
      <c r="L234" s="70"/>
      <c r="M234" s="70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0"/>
      <c r="J235" s="70"/>
      <c r="K235" s="70"/>
      <c r="L235" s="70"/>
      <c r="M235" s="70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0"/>
      <c r="J236" s="70"/>
      <c r="K236" s="70"/>
      <c r="L236" s="70"/>
      <c r="M236" s="70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0"/>
      <c r="J237" s="70"/>
      <c r="K237" s="70"/>
      <c r="L237" s="70"/>
      <c r="M237" s="70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0"/>
      <c r="J238" s="70"/>
      <c r="K238" s="70"/>
      <c r="L238" s="70"/>
      <c r="M238" s="70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0"/>
      <c r="J239" s="70"/>
      <c r="K239" s="70"/>
      <c r="L239" s="70"/>
      <c r="M239" s="70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0"/>
      <c r="J240" s="70"/>
      <c r="K240" s="70"/>
      <c r="L240" s="70"/>
      <c r="M240" s="70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0"/>
      <c r="J241" s="70"/>
      <c r="K241" s="70"/>
      <c r="L241" s="70"/>
      <c r="M241" s="70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0"/>
      <c r="J242" s="70"/>
      <c r="K242" s="70"/>
      <c r="L242" s="70"/>
      <c r="M242" s="70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0"/>
      <c r="J243" s="70"/>
      <c r="K243" s="70"/>
      <c r="L243" s="70"/>
      <c r="M243" s="70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0"/>
      <c r="J244" s="70"/>
      <c r="K244" s="70"/>
      <c r="L244" s="70"/>
      <c r="M244" s="70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0"/>
      <c r="J245" s="70"/>
      <c r="K245" s="70"/>
      <c r="L245" s="70"/>
      <c r="M245" s="70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0"/>
      <c r="J246" s="70"/>
      <c r="K246" s="70"/>
      <c r="L246" s="70"/>
      <c r="M246" s="70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0"/>
      <c r="J247" s="70"/>
      <c r="K247" s="70"/>
      <c r="L247" s="70"/>
      <c r="M247" s="70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0"/>
      <c r="J248" s="70"/>
      <c r="K248" s="70"/>
      <c r="L248" s="70"/>
      <c r="M248" s="70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0"/>
      <c r="J249" s="70"/>
      <c r="K249" s="70"/>
      <c r="L249" s="70"/>
      <c r="M249" s="70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0"/>
      <c r="J250" s="70"/>
      <c r="K250" s="70"/>
      <c r="L250" s="70"/>
      <c r="M250" s="70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0"/>
      <c r="J251" s="70"/>
      <c r="K251" s="70"/>
      <c r="L251" s="70"/>
      <c r="M251" s="70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0"/>
      <c r="J252" s="70"/>
      <c r="K252" s="70"/>
      <c r="L252" s="70"/>
      <c r="M252" s="70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0"/>
      <c r="J253" s="70"/>
      <c r="K253" s="70"/>
      <c r="L253" s="70"/>
      <c r="M253" s="70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0"/>
      <c r="J254" s="70"/>
      <c r="K254" s="70"/>
      <c r="L254" s="70"/>
      <c r="M254" s="70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0"/>
      <c r="J255" s="70"/>
      <c r="K255" s="70"/>
      <c r="L255" s="70"/>
      <c r="M255" s="70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0"/>
      <c r="J256" s="70"/>
      <c r="K256" s="70"/>
      <c r="L256" s="70"/>
      <c r="M256" s="70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0"/>
      <c r="J257" s="70"/>
      <c r="K257" s="70"/>
      <c r="L257" s="70"/>
      <c r="M257" s="70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0"/>
      <c r="J258" s="70"/>
      <c r="K258" s="70"/>
      <c r="L258" s="70"/>
      <c r="M258" s="70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0"/>
      <c r="J259" s="70"/>
      <c r="K259" s="70"/>
      <c r="L259" s="70"/>
      <c r="M259" s="70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0"/>
      <c r="J260" s="70"/>
      <c r="K260" s="70"/>
      <c r="L260" s="70"/>
      <c r="M260" s="70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0"/>
      <c r="J261" s="70"/>
      <c r="K261" s="70"/>
      <c r="L261" s="70"/>
      <c r="M261" s="70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0"/>
      <c r="J262" s="70"/>
      <c r="K262" s="70"/>
      <c r="L262" s="70"/>
      <c r="M262" s="70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0"/>
      <c r="J263" s="70"/>
      <c r="K263" s="70"/>
      <c r="L263" s="70"/>
      <c r="M263" s="70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0"/>
      <c r="J264" s="70"/>
      <c r="K264" s="70"/>
      <c r="L264" s="70"/>
      <c r="M264" s="70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0"/>
      <c r="J265" s="70"/>
      <c r="K265" s="70"/>
      <c r="L265" s="70"/>
      <c r="M265" s="70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0"/>
      <c r="J266" s="70"/>
      <c r="K266" s="70"/>
      <c r="L266" s="70"/>
      <c r="M266" s="70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0"/>
      <c r="J267" s="70"/>
      <c r="K267" s="70"/>
      <c r="L267" s="70"/>
      <c r="M267" s="70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0"/>
      <c r="J268" s="70"/>
      <c r="K268" s="70"/>
      <c r="L268" s="70"/>
      <c r="M268" s="70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0"/>
      <c r="J269" s="70"/>
      <c r="K269" s="70"/>
      <c r="L269" s="70"/>
      <c r="M269" s="70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0"/>
      <c r="J270" s="70"/>
      <c r="K270" s="70"/>
      <c r="L270" s="70"/>
      <c r="M270" s="70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0"/>
      <c r="J271" s="70"/>
      <c r="K271" s="70"/>
      <c r="L271" s="70"/>
      <c r="M271" s="70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0"/>
      <c r="J272" s="70"/>
      <c r="K272" s="70"/>
      <c r="L272" s="70"/>
      <c r="M272" s="70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0"/>
      <c r="J273" s="70"/>
      <c r="K273" s="70"/>
      <c r="L273" s="70"/>
      <c r="M273" s="70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0"/>
      <c r="J274" s="70"/>
      <c r="K274" s="70"/>
      <c r="L274" s="70"/>
      <c r="M274" s="70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0"/>
      <c r="J275" s="70"/>
      <c r="K275" s="70"/>
      <c r="L275" s="70"/>
      <c r="M275" s="70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0"/>
      <c r="J276" s="70"/>
      <c r="K276" s="70"/>
      <c r="L276" s="70"/>
      <c r="M276" s="70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0"/>
      <c r="J277" s="70"/>
      <c r="K277" s="70"/>
      <c r="L277" s="70"/>
      <c r="M277" s="70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0"/>
      <c r="J278" s="70"/>
      <c r="K278" s="70"/>
      <c r="L278" s="70"/>
      <c r="M278" s="70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0"/>
      <c r="J279" s="70"/>
      <c r="K279" s="70"/>
      <c r="L279" s="70"/>
      <c r="M279" s="7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0"/>
      <c r="J280" s="70"/>
      <c r="K280" s="70"/>
      <c r="L280" s="70"/>
      <c r="M280" s="7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0"/>
      <c r="J281" s="70"/>
      <c r="K281" s="70"/>
      <c r="L281" s="70"/>
      <c r="M281" s="7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0"/>
      <c r="J282" s="70"/>
      <c r="K282" s="70"/>
      <c r="L282" s="70"/>
      <c r="M282" s="70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0"/>
      <c r="J283" s="70"/>
      <c r="K283" s="70"/>
      <c r="L283" s="70"/>
      <c r="M283" s="7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0"/>
      <c r="J284" s="70"/>
      <c r="K284" s="70"/>
      <c r="L284" s="70"/>
      <c r="M284" s="70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0"/>
      <c r="J285" s="70"/>
      <c r="K285" s="70"/>
      <c r="L285" s="70"/>
      <c r="M285" s="70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0"/>
      <c r="J286" s="70"/>
      <c r="K286" s="70"/>
      <c r="L286" s="70"/>
      <c r="M286" s="70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0"/>
      <c r="J287" s="70"/>
      <c r="K287" s="70"/>
      <c r="L287" s="70"/>
      <c r="M287" s="70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0"/>
      <c r="J288" s="70"/>
      <c r="K288" s="70"/>
      <c r="L288" s="70"/>
      <c r="M288" s="70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0"/>
      <c r="J289" s="70"/>
      <c r="K289" s="70"/>
      <c r="L289" s="70"/>
      <c r="M289" s="70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0"/>
      <c r="J290" s="70"/>
      <c r="K290" s="70"/>
      <c r="L290" s="70"/>
      <c r="M290" s="70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0"/>
      <c r="J291" s="70"/>
      <c r="K291" s="70"/>
      <c r="L291" s="70"/>
      <c r="M291" s="70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0"/>
      <c r="J292" s="70"/>
      <c r="K292" s="70"/>
      <c r="L292" s="70"/>
      <c r="M292" s="70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0"/>
      <c r="J293" s="70"/>
      <c r="K293" s="70"/>
      <c r="L293" s="70"/>
      <c r="M293" s="70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0"/>
      <c r="J294" s="70"/>
      <c r="K294" s="70"/>
      <c r="L294" s="70"/>
      <c r="M294" s="70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0"/>
      <c r="J295" s="70"/>
      <c r="K295" s="70"/>
      <c r="L295" s="70"/>
      <c r="M295" s="70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0"/>
      <c r="J296" s="70"/>
      <c r="K296" s="70"/>
      <c r="L296" s="70"/>
      <c r="M296" s="70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0"/>
      <c r="J297" s="70"/>
      <c r="K297" s="70"/>
      <c r="L297" s="70"/>
      <c r="M297" s="7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0"/>
      <c r="J298" s="70"/>
      <c r="K298" s="70"/>
      <c r="L298" s="70"/>
      <c r="M298" s="7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0"/>
      <c r="J299" s="70"/>
      <c r="K299" s="70"/>
      <c r="L299" s="70"/>
      <c r="M299" s="7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0"/>
      <c r="J300" s="70"/>
      <c r="K300" s="70"/>
      <c r="L300" s="70"/>
      <c r="M300" s="7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0"/>
      <c r="J301" s="70"/>
      <c r="K301" s="70"/>
      <c r="L301" s="70"/>
      <c r="M301" s="70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0"/>
      <c r="J302" s="70"/>
      <c r="K302" s="70"/>
      <c r="L302" s="70"/>
      <c r="M302" s="70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0"/>
      <c r="J303" s="70"/>
      <c r="K303" s="70"/>
      <c r="L303" s="70"/>
      <c r="M303" s="70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0"/>
      <c r="J304" s="70"/>
      <c r="K304" s="70"/>
      <c r="L304" s="70"/>
      <c r="M304" s="70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0"/>
      <c r="J305" s="70"/>
      <c r="K305" s="70"/>
      <c r="L305" s="70"/>
      <c r="M305" s="70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0"/>
      <c r="J306" s="70"/>
      <c r="K306" s="70"/>
      <c r="L306" s="70"/>
      <c r="M306" s="70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0"/>
      <c r="J307" s="70"/>
      <c r="K307" s="70"/>
      <c r="L307" s="70"/>
      <c r="M307" s="70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0"/>
      <c r="J308" s="70"/>
      <c r="K308" s="70"/>
      <c r="L308" s="70"/>
      <c r="M308" s="70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0"/>
      <c r="J309" s="70"/>
      <c r="K309" s="70"/>
      <c r="L309" s="70"/>
      <c r="M309" s="70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0"/>
      <c r="J310" s="70"/>
      <c r="K310" s="70"/>
      <c r="L310" s="70"/>
      <c r="M310" s="70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0"/>
      <c r="J311" s="70"/>
      <c r="K311" s="70"/>
      <c r="L311" s="70"/>
      <c r="M311" s="70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0"/>
      <c r="J312" s="70"/>
      <c r="K312" s="70"/>
      <c r="L312" s="70"/>
      <c r="M312" s="70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0"/>
      <c r="J313" s="70"/>
      <c r="K313" s="70"/>
      <c r="L313" s="70"/>
      <c r="M313" s="7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0"/>
      <c r="J314" s="70"/>
      <c r="K314" s="70"/>
      <c r="L314" s="70"/>
      <c r="M314" s="7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0"/>
      <c r="J315" s="70"/>
      <c r="K315" s="70"/>
      <c r="L315" s="70"/>
      <c r="M315" s="7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0"/>
      <c r="J316" s="70"/>
      <c r="K316" s="70"/>
      <c r="L316" s="70"/>
      <c r="M316" s="70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0"/>
      <c r="J317" s="70"/>
      <c r="K317" s="70"/>
      <c r="L317" s="70"/>
      <c r="M317" s="7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0"/>
      <c r="J318" s="70"/>
      <c r="K318" s="70"/>
      <c r="L318" s="70"/>
      <c r="M318" s="70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0"/>
      <c r="J319" s="70"/>
      <c r="K319" s="70"/>
      <c r="L319" s="70"/>
      <c r="M319" s="70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0"/>
      <c r="J320" s="70"/>
      <c r="K320" s="70"/>
      <c r="L320" s="70"/>
      <c r="M320" s="70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0"/>
      <c r="J321" s="70"/>
      <c r="K321" s="70"/>
      <c r="L321" s="70"/>
      <c r="M321" s="70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0"/>
      <c r="J322" s="70"/>
      <c r="K322" s="70"/>
      <c r="L322" s="70"/>
      <c r="M322" s="70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0"/>
      <c r="J323" s="70"/>
      <c r="K323" s="70"/>
      <c r="L323" s="70"/>
      <c r="M323" s="70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0"/>
      <c r="J324" s="70"/>
      <c r="K324" s="70"/>
      <c r="L324" s="70"/>
      <c r="M324" s="70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0"/>
      <c r="J325" s="70"/>
      <c r="K325" s="70"/>
      <c r="L325" s="70"/>
      <c r="M325" s="70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0"/>
      <c r="J326" s="70"/>
      <c r="K326" s="70"/>
      <c r="L326" s="70"/>
      <c r="M326" s="70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0"/>
      <c r="J327" s="70"/>
      <c r="K327" s="70"/>
      <c r="L327" s="70"/>
      <c r="M327" s="70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0"/>
      <c r="J328" s="70"/>
      <c r="K328" s="70"/>
      <c r="L328" s="70"/>
      <c r="M328" s="7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0"/>
      <c r="J329" s="70"/>
      <c r="K329" s="70"/>
      <c r="L329" s="70"/>
      <c r="M329" s="7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0"/>
      <c r="J330" s="70"/>
      <c r="K330" s="70"/>
      <c r="L330" s="70"/>
      <c r="M330" s="7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0"/>
      <c r="J331" s="70"/>
      <c r="K331" s="70"/>
      <c r="L331" s="70"/>
      <c r="M331" s="7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0"/>
      <c r="J332" s="70"/>
      <c r="K332" s="70"/>
      <c r="L332" s="70"/>
      <c r="M332" s="7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0"/>
      <c r="J333" s="70"/>
      <c r="K333" s="70"/>
      <c r="L333" s="70"/>
      <c r="M333" s="7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0"/>
      <c r="J334" s="70"/>
      <c r="K334" s="70"/>
      <c r="L334" s="70"/>
      <c r="M334" s="70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0"/>
      <c r="J335" s="70"/>
      <c r="K335" s="70"/>
      <c r="L335" s="70"/>
      <c r="M335" s="70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0"/>
      <c r="J336" s="70"/>
      <c r="K336" s="70"/>
      <c r="L336" s="70"/>
      <c r="M336" s="70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0"/>
      <c r="J337" s="70"/>
      <c r="K337" s="70"/>
      <c r="L337" s="70"/>
      <c r="M337" s="70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0"/>
      <c r="J338" s="70"/>
      <c r="K338" s="70"/>
      <c r="L338" s="70"/>
      <c r="M338" s="70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0"/>
      <c r="J339" s="70"/>
      <c r="K339" s="70"/>
      <c r="L339" s="70"/>
      <c r="M339" s="70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0"/>
      <c r="J340" s="70"/>
      <c r="K340" s="70"/>
      <c r="L340" s="70"/>
      <c r="M340" s="70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0"/>
      <c r="J341" s="70"/>
      <c r="K341" s="70"/>
      <c r="L341" s="70"/>
      <c r="M341" s="70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0"/>
      <c r="J342" s="70"/>
      <c r="K342" s="70"/>
      <c r="L342" s="70"/>
      <c r="M342" s="70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0"/>
      <c r="J343" s="70"/>
      <c r="K343" s="70"/>
      <c r="L343" s="70"/>
      <c r="M343" s="70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0"/>
      <c r="J344" s="70"/>
      <c r="K344" s="70"/>
      <c r="L344" s="70"/>
      <c r="M344" s="70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0"/>
      <c r="J345" s="70"/>
      <c r="K345" s="70"/>
      <c r="L345" s="70"/>
      <c r="M345" s="70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0"/>
      <c r="J346" s="70"/>
      <c r="K346" s="70"/>
      <c r="L346" s="70"/>
      <c r="M346" s="7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0"/>
      <c r="J347" s="70"/>
      <c r="K347" s="70"/>
      <c r="L347" s="70"/>
      <c r="M347" s="7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0"/>
      <c r="J348" s="70"/>
      <c r="K348" s="70"/>
      <c r="L348" s="70"/>
      <c r="M348" s="70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0"/>
      <c r="J349" s="70"/>
      <c r="K349" s="70"/>
      <c r="L349" s="70"/>
      <c r="M349" s="7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0"/>
      <c r="J350" s="70"/>
      <c r="K350" s="70"/>
      <c r="L350" s="70"/>
      <c r="M350" s="7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0"/>
      <c r="J351" s="70"/>
      <c r="K351" s="70"/>
      <c r="L351" s="70"/>
      <c r="M351" s="7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0"/>
      <c r="J352" s="70"/>
      <c r="K352" s="70"/>
      <c r="L352" s="70"/>
      <c r="M352" s="7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0"/>
      <c r="J353" s="70"/>
      <c r="K353" s="70"/>
      <c r="L353" s="70"/>
      <c r="M353" s="7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0"/>
      <c r="J354" s="70"/>
      <c r="K354" s="70"/>
      <c r="L354" s="70"/>
      <c r="M354" s="7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0"/>
      <c r="J355" s="70"/>
      <c r="K355" s="70"/>
      <c r="L355" s="70"/>
      <c r="M355" s="7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0"/>
      <c r="J356" s="70"/>
      <c r="K356" s="70"/>
      <c r="L356" s="70"/>
      <c r="M356" s="7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M1" zoomScale="85" zoomScaleNormal="85" workbookViewId="0">
      <selection activeCell="R11" sqref="R1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0"/>
      <c r="G1" s="70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1" customFormat="1" x14ac:dyDescent="0.25">
      <c r="A3" s="98"/>
      <c r="B3" s="98"/>
      <c r="C3" s="98"/>
      <c r="D3" s="98"/>
      <c r="E3" s="98"/>
      <c r="F3" s="179"/>
      <c r="G3" s="179"/>
      <c r="H3" s="18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</row>
    <row r="4" spans="1:42" s="201" customFormat="1" x14ac:dyDescent="0.25">
      <c r="A4" s="98"/>
      <c r="B4" s="98"/>
      <c r="C4" s="98"/>
      <c r="D4" s="98"/>
      <c r="E4" s="98"/>
      <c r="G4" s="179"/>
      <c r="H4" s="340" t="s">
        <v>315</v>
      </c>
      <c r="I4" s="340"/>
      <c r="K4" s="337" t="s">
        <v>253</v>
      </c>
      <c r="L4" s="338"/>
      <c r="M4" s="267">
        <v>4.4999999999999998E-2</v>
      </c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</row>
    <row r="5" spans="1:42" s="201" customFormat="1" x14ac:dyDescent="0.25">
      <c r="A5" s="98"/>
      <c r="B5" s="98"/>
      <c r="C5" s="98"/>
      <c r="D5" s="98"/>
      <c r="E5" s="98"/>
      <c r="G5" s="179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</row>
    <row r="6" spans="1:42" s="201" customFormat="1" ht="15.75" thickBot="1" x14ac:dyDescent="0.3">
      <c r="A6" s="98"/>
      <c r="B6" s="98"/>
      <c r="C6" s="98"/>
      <c r="D6" s="98"/>
      <c r="E6" s="98"/>
      <c r="F6" s="228"/>
      <c r="G6" s="179"/>
      <c r="H6" s="181"/>
      <c r="I6" s="181"/>
      <c r="J6" s="181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</row>
    <row r="7" spans="1:42" s="201" customFormat="1" ht="27.75" customHeight="1" thickBot="1" x14ac:dyDescent="0.4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29" t="s">
        <v>310</v>
      </c>
      <c r="S7" s="330"/>
      <c r="T7" s="330"/>
      <c r="U7" s="330"/>
      <c r="V7" s="331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</row>
    <row r="8" spans="1:42" x14ac:dyDescent="0.25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4" t="s">
        <v>262</v>
      </c>
      <c r="U9" s="187" t="s">
        <v>249</v>
      </c>
      <c r="V9" s="184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4" t="str">
        <f>B14</f>
        <v>Douglas</v>
      </c>
      <c r="T10" s="188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4786.7990194107497</v>
      </c>
      <c r="U10" s="189">
        <f>'Données projet'!D9</f>
        <v>1.872269</v>
      </c>
      <c r="V10" s="188">
        <f>U10*T10</f>
        <v>8962.1754132731439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4" t="str">
        <f>B45</f>
        <v>Pin laricio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1930.7554447310717</v>
      </c>
      <c r="U11" s="189">
        <f>'Données projet'!D10</f>
        <v>0.88177400000000006</v>
      </c>
      <c r="V11" s="188">
        <f t="shared" ref="V11" si="0">U11*T11</f>
        <v>1702.4899515222962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4" t="str">
        <f>B76</f>
        <v>Chêne sessile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530.51799468090121</v>
      </c>
      <c r="U12" s="189">
        <f>'Données projet'!D11</f>
        <v>1.2479570000000002</v>
      </c>
      <c r="V12" s="188">
        <f t="shared" ref="V12:V19" si="1">U12*T12</f>
        <v>662.06364508799356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0"/>
      <c r="J13" s="25"/>
      <c r="K13" s="224"/>
      <c r="L13" s="183" t="s">
        <v>257</v>
      </c>
      <c r="M13" s="25"/>
      <c r="N13" s="25"/>
      <c r="O13" s="25"/>
      <c r="P13" s="25"/>
      <c r="Q13" s="264"/>
      <c r="R13" s="25"/>
      <c r="S13" s="184" t="str">
        <f>B107</f>
        <v>Châtaignier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1469.0615284279975</v>
      </c>
      <c r="U13" s="189">
        <f>'Données projet'!D12</f>
        <v>0.46823399999999998</v>
      </c>
      <c r="V13" s="188">
        <f t="shared" si="1"/>
        <v>687.86455570195494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5" t="str">
        <f>IF('Données projet'!$B$9="","",'Données projet'!$B$9)</f>
        <v>Douglas</v>
      </c>
      <c r="C14" s="5"/>
      <c r="D14" s="5"/>
      <c r="E14" s="5"/>
      <c r="F14" s="260"/>
      <c r="G14" s="220"/>
      <c r="H14" s="184" t="s">
        <v>178</v>
      </c>
      <c r="I14" s="184" t="s">
        <v>290</v>
      </c>
      <c r="J14" s="214"/>
      <c r="K14" s="182"/>
      <c r="L14" s="216"/>
      <c r="M14" s="25"/>
      <c r="N14" s="25"/>
      <c r="O14" s="5"/>
      <c r="P14" s="5"/>
      <c r="Q14" s="265"/>
      <c r="R14" s="5"/>
      <c r="S14" s="184" t="str">
        <f>B138</f>
        <v>Merisier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2504.1774629013407</v>
      </c>
      <c r="U14" s="189">
        <f>'Données projet'!D13</f>
        <v>0.46823399999999998</v>
      </c>
      <c r="V14" s="188">
        <f t="shared" si="1"/>
        <v>1172.5410301641464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0"/>
      <c r="G15" s="341" t="s">
        <v>318</v>
      </c>
      <c r="H15" s="202">
        <v>0</v>
      </c>
      <c r="I15" s="203">
        <v>0</v>
      </c>
      <c r="J15" s="215"/>
      <c r="K15" s="224"/>
      <c r="L15" s="216"/>
      <c r="M15" s="25"/>
      <c r="N15" s="25"/>
      <c r="O15" s="25"/>
      <c r="P15" s="25"/>
      <c r="Q15" s="264"/>
      <c r="R15" s="25"/>
      <c r="S15" s="184" t="str">
        <f>B169</f>
        <v>Erable plane</v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1469.0615284279975</v>
      </c>
      <c r="U15" s="189">
        <f>'Données projet'!D14</f>
        <v>0.60630299999999993</v>
      </c>
      <c r="V15" s="188">
        <f t="shared" si="1"/>
        <v>890.69641187048001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41"/>
      <c r="H16" s="202"/>
      <c r="I16" s="203"/>
      <c r="J16" s="215"/>
      <c r="K16" s="224"/>
      <c r="L16" s="337" t="s">
        <v>254</v>
      </c>
      <c r="M16" s="338"/>
      <c r="N16" s="2"/>
      <c r="O16" s="25"/>
      <c r="P16" s="25"/>
      <c r="Q16" s="264"/>
      <c r="R16" s="25"/>
      <c r="S16" s="184" t="str">
        <f>B200</f>
        <v>Charme</v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547.89471606918244</v>
      </c>
      <c r="U16" s="189">
        <f>'Données projet'!D15</f>
        <v>0.31215599999999999</v>
      </c>
      <c r="V16" s="188">
        <f t="shared" si="1"/>
        <v>171.0286229892917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09">
        <v>0</v>
      </c>
      <c r="B17" s="212" t="s">
        <v>132</v>
      </c>
      <c r="C17" s="211" t="s">
        <v>132</v>
      </c>
      <c r="D17" s="210" t="s">
        <v>132</v>
      </c>
      <c r="E17" s="205"/>
      <c r="F17" s="260"/>
      <c r="G17" s="341"/>
      <c r="J17" s="215"/>
      <c r="K17" s="224"/>
      <c r="L17" s="295" t="s">
        <v>289</v>
      </c>
      <c r="M17" s="297"/>
      <c r="N17" s="186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4" t="str">
        <f>B231</f>
        <v>Cèdre de l'Atlas</v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756.81557477285332</v>
      </c>
      <c r="U17" s="189">
        <f>'Données projet'!D16</f>
        <v>0.29414699999999999</v>
      </c>
      <c r="V17" s="188">
        <f t="shared" si="1"/>
        <v>222.61503087271049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09">
        <v>1</v>
      </c>
      <c r="B18" s="212" t="s">
        <v>132</v>
      </c>
      <c r="C18" s="211" t="s">
        <v>132</v>
      </c>
      <c r="D18" s="210" t="s">
        <v>132</v>
      </c>
      <c r="E18" s="205"/>
      <c r="F18" s="260"/>
      <c r="G18" s="341"/>
      <c r="J18" s="215"/>
      <c r="K18" s="224"/>
      <c r="L18" s="295" t="s">
        <v>255</v>
      </c>
      <c r="M18" s="297"/>
      <c r="N18" s="204"/>
      <c r="O18" s="25"/>
      <c r="P18" s="25"/>
      <c r="Q18" s="264"/>
      <c r="R18" s="25"/>
      <c r="S18" s="184" t="str">
        <f>B262</f>
        <v>Alisier torminal</v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530.51799468090121</v>
      </c>
      <c r="U18" s="189">
        <f>'Données projet'!D17</f>
        <v>0.31215599999999999</v>
      </c>
      <c r="V18" s="188">
        <f t="shared" si="1"/>
        <v>165.60437514761139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09">
        <v>2</v>
      </c>
      <c r="B19" s="212" t="s">
        <v>132</v>
      </c>
      <c r="C19" s="211" t="s">
        <v>132</v>
      </c>
      <c r="D19" s="210" t="s">
        <v>132</v>
      </c>
      <c r="E19" s="205"/>
      <c r="F19" s="260"/>
      <c r="G19" s="341"/>
      <c r="H19" s="231" t="s">
        <v>178</v>
      </c>
      <c r="I19" s="231" t="s">
        <v>287</v>
      </c>
      <c r="J19" s="259"/>
      <c r="K19" s="182"/>
      <c r="L19" s="337" t="s">
        <v>288</v>
      </c>
      <c r="M19" s="338"/>
      <c r="N19" s="190">
        <f>N17*N18</f>
        <v>0</v>
      </c>
      <c r="O19" s="25"/>
      <c r="P19" s="5"/>
      <c r="Q19" s="265"/>
      <c r="R19" s="5"/>
      <c r="S19" s="184" t="str">
        <f>B293</f>
        <v>Tilleul</v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600.83759887126234</v>
      </c>
      <c r="U19" s="189">
        <f>'Données projet'!D18</f>
        <v>0.10405199999999999</v>
      </c>
      <c r="V19" s="188">
        <f t="shared" si="1"/>
        <v>62.518353837752585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09">
        <v>3</v>
      </c>
      <c r="B20" s="212" t="s">
        <v>132</v>
      </c>
      <c r="C20" s="211" t="s">
        <v>132</v>
      </c>
      <c r="D20" s="210" t="s">
        <v>132</v>
      </c>
      <c r="E20" s="205"/>
      <c r="F20" s="260"/>
      <c r="G20" s="341"/>
      <c r="H20" s="202">
        <v>1</v>
      </c>
      <c r="I20" s="203">
        <v>8000</v>
      </c>
      <c r="J20" s="5"/>
      <c r="K20" s="182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09">
        <v>4</v>
      </c>
      <c r="B21" s="212" t="s">
        <v>132</v>
      </c>
      <c r="C21" s="211" t="s">
        <v>132</v>
      </c>
      <c r="D21" s="210" t="s">
        <v>132</v>
      </c>
      <c r="E21" s="205"/>
      <c r="F21" s="260"/>
      <c r="H21" s="202"/>
      <c r="I21" s="203"/>
      <c r="K21" s="182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09">
        <v>5</v>
      </c>
      <c r="B22" s="212" t="s">
        <v>132</v>
      </c>
      <c r="C22" s="211" t="s">
        <v>132</v>
      </c>
      <c r="D22" s="210" t="s">
        <v>132</v>
      </c>
      <c r="E22" s="205"/>
      <c r="F22" s="260"/>
      <c r="H22" s="202"/>
      <c r="I22" s="203"/>
      <c r="K22" s="182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1">
        <f>'Données projet'!A36</f>
        <v>19</v>
      </c>
      <c r="B23" s="192">
        <f>'Données projet'!D36</f>
        <v>0</v>
      </c>
      <c r="C23" s="205"/>
      <c r="D23" s="193">
        <f>B23*C23</f>
        <v>0</v>
      </c>
      <c r="E23" s="205"/>
      <c r="F23" s="260"/>
      <c r="H23" s="202"/>
      <c r="I23" s="203"/>
      <c r="K23" s="224"/>
      <c r="L23" s="339" t="s">
        <v>260</v>
      </c>
      <c r="M23" s="339"/>
      <c r="N23" s="339"/>
      <c r="O23" s="25"/>
      <c r="P23" s="25"/>
      <c r="Q23" s="264"/>
      <c r="R23" s="25"/>
      <c r="S23" s="184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-36362.603566470418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1">
        <f>'Données projet'!A37</f>
        <v>21</v>
      </c>
      <c r="B24" s="192">
        <f>'Données projet'!D37</f>
        <v>61.169230769230765</v>
      </c>
      <c r="C24" s="205">
        <v>15</v>
      </c>
      <c r="D24" s="193">
        <f t="shared" ref="D24:D42" si="2">B24*C24</f>
        <v>917.53846153846143</v>
      </c>
      <c r="E24" s="205"/>
      <c r="F24" s="263"/>
      <c r="H24" s="202"/>
      <c r="I24" s="203"/>
      <c r="K24" s="224"/>
      <c r="O24" s="25"/>
      <c r="P24" s="25"/>
      <c r="Q24" s="264"/>
      <c r="R24" s="25"/>
      <c r="S24" s="184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1">
        <f>'Données projet'!A38</f>
        <v>28</v>
      </c>
      <c r="B25" s="192">
        <f>'Données projet'!D38</f>
        <v>56.91538461538461</v>
      </c>
      <c r="C25" s="205">
        <v>20</v>
      </c>
      <c r="D25" s="193">
        <f t="shared" si="2"/>
        <v>1138.3076923076922</v>
      </c>
      <c r="E25" s="205"/>
      <c r="F25" s="263"/>
      <c r="G25" s="1"/>
      <c r="H25" s="202"/>
      <c r="I25" s="203"/>
      <c r="K25" s="224"/>
      <c r="L25" s="270" t="s">
        <v>285</v>
      </c>
      <c r="M25" s="270"/>
      <c r="N25" s="270"/>
      <c r="O25" s="270"/>
      <c r="P25" s="204">
        <v>0</v>
      </c>
      <c r="Q25" s="264"/>
      <c r="R25" s="25"/>
      <c r="S25" s="197" t="s">
        <v>266</v>
      </c>
      <c r="T25" s="336">
        <f ca="1">T23-T24</f>
        <v>-36362.603566470418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1">
        <f>'Données projet'!A39</f>
        <v>30</v>
      </c>
      <c r="B26" s="192">
        <f>'Données projet'!D39</f>
        <v>0</v>
      </c>
      <c r="C26" s="205"/>
      <c r="D26" s="193">
        <f t="shared" si="2"/>
        <v>0</v>
      </c>
      <c r="E26" s="205"/>
      <c r="F26" s="263"/>
      <c r="G26" s="258"/>
      <c r="H26" s="202"/>
      <c r="I26" s="203"/>
      <c r="K26" s="224"/>
      <c r="L26" s="323" t="s">
        <v>258</v>
      </c>
      <c r="M26" s="324"/>
      <c r="N26" s="324"/>
      <c r="O26" s="324"/>
      <c r="P26" s="325"/>
      <c r="Q26" s="264"/>
      <c r="R26" s="25"/>
      <c r="S26" s="197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1">
        <f>'Données projet'!A40</f>
        <v>35</v>
      </c>
      <c r="B27" s="192">
        <f>'Données projet'!D40</f>
        <v>70.5</v>
      </c>
      <c r="C27" s="205">
        <v>30</v>
      </c>
      <c r="D27" s="193">
        <f t="shared" si="2"/>
        <v>2115</v>
      </c>
      <c r="E27" s="205"/>
      <c r="F27" s="263"/>
      <c r="G27" s="258"/>
      <c r="H27" s="202"/>
      <c r="I27" s="203"/>
      <c r="K27" s="224"/>
      <c r="L27" s="326"/>
      <c r="M27" s="327"/>
      <c r="N27" s="327"/>
      <c r="O27" s="327"/>
      <c r="P27" s="328"/>
      <c r="Q27" s="264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1">
        <f>'Données projet'!A41</f>
        <v>42</v>
      </c>
      <c r="B28" s="192">
        <f>'Données projet'!D41</f>
        <v>80.669230769230765</v>
      </c>
      <c r="C28" s="205">
        <v>35</v>
      </c>
      <c r="D28" s="193">
        <f t="shared" si="2"/>
        <v>2823.4230769230767</v>
      </c>
      <c r="E28" s="205"/>
      <c r="F28" s="263"/>
      <c r="G28" s="221"/>
      <c r="H28" s="202"/>
      <c r="I28" s="203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1">
        <f>'Données projet'!A42</f>
        <v>49</v>
      </c>
      <c r="B29" s="192">
        <f>'Données projet'!D42</f>
        <v>90.453846153846158</v>
      </c>
      <c r="C29" s="205">
        <v>40</v>
      </c>
      <c r="D29" s="193">
        <f t="shared" si="2"/>
        <v>3618.1538461538462</v>
      </c>
      <c r="E29" s="205"/>
      <c r="F29" s="263"/>
      <c r="G29" s="217"/>
      <c r="H29" s="202"/>
      <c r="I29" s="203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1">
        <f>'Données projet'!A43</f>
        <v>56</v>
      </c>
      <c r="B30" s="192">
        <f>'Données projet'!D43</f>
        <v>75.869230769230768</v>
      </c>
      <c r="C30" s="205">
        <v>50</v>
      </c>
      <c r="D30" s="193">
        <f t="shared" si="2"/>
        <v>3793.4615384615386</v>
      </c>
      <c r="E30" s="205"/>
      <c r="F30" s="263"/>
      <c r="G30" s="217"/>
      <c r="H30" s="202"/>
      <c r="I30" s="203"/>
      <c r="K30" s="194"/>
      <c r="L30" s="184" t="s">
        <v>259</v>
      </c>
      <c r="M30" s="195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1">
        <f>'Données projet'!A44</f>
        <v>63</v>
      </c>
      <c r="B31" s="192">
        <f>'Données projet'!D44</f>
        <v>79.723076923076917</v>
      </c>
      <c r="C31" s="205">
        <v>60</v>
      </c>
      <c r="D31" s="193">
        <f t="shared" si="2"/>
        <v>4783.3846153846152</v>
      </c>
      <c r="E31" s="205"/>
      <c r="F31" s="263"/>
      <c r="G31" s="217"/>
      <c r="H31" s="202"/>
      <c r="I31" s="203"/>
      <c r="K31" s="182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1">
        <f>'Données projet'!A45</f>
        <v>69</v>
      </c>
      <c r="B32" s="192">
        <f>'Données projet'!D45</f>
        <v>0</v>
      </c>
      <c r="C32" s="205"/>
      <c r="D32" s="193">
        <f t="shared" si="2"/>
        <v>0</v>
      </c>
      <c r="E32" s="205"/>
      <c r="F32" s="263"/>
      <c r="G32" s="217"/>
      <c r="H32" s="202"/>
      <c r="I32" s="203"/>
      <c r="K32" s="182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1">
        <f>'Données projet'!A46</f>
        <v>70</v>
      </c>
      <c r="B33" s="192">
        <f>'Données projet'!D46</f>
        <v>469.06923076923073</v>
      </c>
      <c r="C33" s="205">
        <v>100</v>
      </c>
      <c r="D33" s="193">
        <f t="shared" si="2"/>
        <v>46906.923076923071</v>
      </c>
      <c r="E33" s="205"/>
      <c r="F33" s="263"/>
      <c r="G33" s="217"/>
      <c r="H33" s="202"/>
      <c r="I33" s="203"/>
      <c r="K33" s="182"/>
      <c r="L33" s="5"/>
      <c r="M33" s="5"/>
      <c r="N33" s="5"/>
      <c r="O33" s="206">
        <v>0</v>
      </c>
      <c r="P33" s="196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1">
        <f>'Données projet'!A47</f>
        <v>0</v>
      </c>
      <c r="B34" s="192">
        <f>'Données projet'!D47</f>
        <v>0</v>
      </c>
      <c r="C34" s="205"/>
      <c r="D34" s="193">
        <f t="shared" si="2"/>
        <v>0</v>
      </c>
      <c r="E34" s="205"/>
      <c r="F34" s="263"/>
      <c r="G34" s="217"/>
      <c r="H34" s="202"/>
      <c r="I34" s="203"/>
      <c r="K34" s="182"/>
      <c r="L34" s="283"/>
      <c r="M34" s="283"/>
      <c r="N34" s="284"/>
      <c r="O34" s="206">
        <f>IF(O33+1&lt;=MIN('Données projet'!$E$9:$E$18),O33+1,"STOP")</f>
        <v>1</v>
      </c>
      <c r="P34" s="196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1">
        <f>'Données projet'!A48</f>
        <v>0</v>
      </c>
      <c r="B35" s="192">
        <f>'Données projet'!D48</f>
        <v>0</v>
      </c>
      <c r="C35" s="205"/>
      <c r="D35" s="193">
        <f t="shared" si="2"/>
        <v>0</v>
      </c>
      <c r="E35" s="205"/>
      <c r="F35" s="263"/>
      <c r="G35" s="217"/>
      <c r="H35" s="202"/>
      <c r="I35" s="203"/>
      <c r="K35" s="182"/>
      <c r="L35" s="283"/>
      <c r="M35" s="283"/>
      <c r="N35" s="284"/>
      <c r="O35" s="206">
        <f>IF(O34+1&lt;=MIN('Données projet'!$E$9:$E$18),O34+1,"STOP")</f>
        <v>2</v>
      </c>
      <c r="P35" s="196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1">
        <f>'Données projet'!A49</f>
        <v>0</v>
      </c>
      <c r="B36" s="192">
        <f>'Données projet'!D49</f>
        <v>0</v>
      </c>
      <c r="C36" s="205"/>
      <c r="D36" s="193">
        <f t="shared" si="2"/>
        <v>0</v>
      </c>
      <c r="E36" s="205"/>
      <c r="F36" s="263"/>
      <c r="G36" s="217"/>
      <c r="H36" s="202"/>
      <c r="I36" s="203"/>
      <c r="K36" s="182"/>
      <c r="L36" s="25"/>
      <c r="M36" s="25"/>
      <c r="N36" s="25"/>
      <c r="O36" s="206">
        <f>IF(O35+1&lt;=MIN('Données projet'!$E$9:$E$18),O35+1,"STOP")</f>
        <v>3</v>
      </c>
      <c r="P36" s="196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1">
        <f>'Données projet'!A50</f>
        <v>0</v>
      </c>
      <c r="B37" s="192">
        <f>'Données projet'!D50</f>
        <v>0</v>
      </c>
      <c r="C37" s="205"/>
      <c r="D37" s="193">
        <f t="shared" si="2"/>
        <v>0</v>
      </c>
      <c r="E37" s="205"/>
      <c r="F37" s="263"/>
      <c r="G37" s="217"/>
      <c r="H37" s="202"/>
      <c r="I37" s="203"/>
      <c r="K37" s="182"/>
      <c r="L37" s="25"/>
      <c r="M37" s="25"/>
      <c r="N37" s="25"/>
      <c r="O37" s="206">
        <f>IF(O36+1&lt;=MIN('Données projet'!$E$9:$E$18),O36+1,"STOP")</f>
        <v>4</v>
      </c>
      <c r="P37" s="196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1">
        <f>'Données projet'!A51</f>
        <v>0</v>
      </c>
      <c r="B38" s="192">
        <f>'Données projet'!D51</f>
        <v>0</v>
      </c>
      <c r="C38" s="205"/>
      <c r="D38" s="193">
        <f t="shared" si="2"/>
        <v>0</v>
      </c>
      <c r="E38" s="205"/>
      <c r="F38" s="263"/>
      <c r="G38" s="217"/>
      <c r="H38" s="202"/>
      <c r="I38" s="203"/>
      <c r="K38" s="182"/>
      <c r="L38" s="25"/>
      <c r="M38" s="25"/>
      <c r="N38" s="25"/>
      <c r="O38" s="206">
        <f>IF(O37+1&lt;=MIN('Données projet'!$E$9:$E$18),O37+1,"STOP")</f>
        <v>5</v>
      </c>
      <c r="P38" s="196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1">
        <f>'Données projet'!A52</f>
        <v>0</v>
      </c>
      <c r="B39" s="192">
        <f>'Données projet'!D52</f>
        <v>0</v>
      </c>
      <c r="C39" s="205"/>
      <c r="D39" s="193">
        <f t="shared" si="2"/>
        <v>0</v>
      </c>
      <c r="E39" s="205"/>
      <c r="F39" s="263"/>
      <c r="G39" s="217"/>
      <c r="H39" s="202"/>
      <c r="I39" s="203"/>
      <c r="K39" s="224"/>
      <c r="L39" s="25"/>
      <c r="M39" s="25"/>
      <c r="N39" s="25"/>
      <c r="O39" s="206">
        <f>IF(O38+1&lt;=MIN('Données projet'!$E$9:$E$18),O38+1,"STOP")</f>
        <v>6</v>
      </c>
      <c r="P39" s="196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1">
        <f>'Données projet'!A53</f>
        <v>0</v>
      </c>
      <c r="B40" s="192">
        <f>'Données projet'!D53</f>
        <v>0</v>
      </c>
      <c r="C40" s="205"/>
      <c r="D40" s="193">
        <f t="shared" si="2"/>
        <v>0</v>
      </c>
      <c r="E40" s="205"/>
      <c r="F40" s="263"/>
      <c r="G40" s="217"/>
      <c r="H40" s="202"/>
      <c r="I40" s="203"/>
      <c r="K40" s="224"/>
      <c r="L40" s="25"/>
      <c r="M40" s="25"/>
      <c r="N40" s="25"/>
      <c r="O40" s="206">
        <f>IF(O39+1&lt;=MIN('Données projet'!$E$9:$E$18),O39+1,"STOP")</f>
        <v>7</v>
      </c>
      <c r="P40" s="196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1">
        <f>'Données projet'!A54</f>
        <v>0</v>
      </c>
      <c r="B41" s="192">
        <f>'Données projet'!D54</f>
        <v>0</v>
      </c>
      <c r="C41" s="205"/>
      <c r="D41" s="193">
        <f t="shared" si="2"/>
        <v>0</v>
      </c>
      <c r="E41" s="205"/>
      <c r="F41" s="263"/>
      <c r="G41" s="217"/>
      <c r="H41" s="202"/>
      <c r="I41" s="203"/>
      <c r="K41" s="224"/>
      <c r="L41" s="25"/>
      <c r="M41" s="25"/>
      <c r="N41" s="25"/>
      <c r="O41" s="206">
        <f>IF(O40+1&lt;=MIN('Données projet'!$E$9:$E$18),O40+1,"STOP")</f>
        <v>8</v>
      </c>
      <c r="P41" s="196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1">
        <f>'Données projet'!A55</f>
        <v>0</v>
      </c>
      <c r="B42" s="192">
        <f>'Données projet'!D55</f>
        <v>0</v>
      </c>
      <c r="C42" s="205"/>
      <c r="D42" s="193">
        <f t="shared" si="2"/>
        <v>0</v>
      </c>
      <c r="E42" s="205"/>
      <c r="F42" s="263"/>
      <c r="G42" s="217"/>
      <c r="H42" s="202"/>
      <c r="I42" s="203"/>
      <c r="K42" s="224"/>
      <c r="L42" s="25"/>
      <c r="M42" s="25"/>
      <c r="N42" s="25"/>
      <c r="O42" s="206">
        <f>IF(O41+1&lt;=MIN('Données projet'!$E$9:$E$18),O41+1,"STOP")</f>
        <v>9</v>
      </c>
      <c r="P42" s="196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8"/>
      <c r="B43" s="198"/>
      <c r="C43" s="198"/>
      <c r="D43" s="255"/>
      <c r="E43" s="255"/>
      <c r="F43" s="268"/>
      <c r="G43" s="217"/>
      <c r="H43" s="202"/>
      <c r="I43" s="203"/>
      <c r="K43" s="224"/>
      <c r="L43" s="25"/>
      <c r="M43" s="25"/>
      <c r="N43" s="25"/>
      <c r="O43" s="206">
        <f>IF(O42+1&lt;=MIN('Données projet'!$E$9:$E$18),O42+1,"STOP")</f>
        <v>10</v>
      </c>
      <c r="P43" s="196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0"/>
      <c r="G44" s="217"/>
      <c r="H44" s="202"/>
      <c r="I44" s="203"/>
      <c r="K44" s="224"/>
      <c r="L44" s="25"/>
      <c r="M44" s="25"/>
      <c r="N44" s="25"/>
      <c r="O44" s="206">
        <f>IF(O43+1&lt;=MIN('Données projet'!$E$9:$E$18),O43+1,"STOP")</f>
        <v>11</v>
      </c>
      <c r="P44" s="196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5" t="str">
        <f>IF('Données projet'!$B$10="","",'Données projet'!$B$10)</f>
        <v>Pin laricio</v>
      </c>
      <c r="C45" s="5"/>
      <c r="D45" s="5"/>
      <c r="E45" s="5"/>
      <c r="F45" s="260"/>
      <c r="G45" s="217"/>
      <c r="H45" s="202"/>
      <c r="I45" s="203"/>
      <c r="J45" s="25"/>
      <c r="K45" s="224"/>
      <c r="L45" s="25"/>
      <c r="M45" s="25"/>
      <c r="N45" s="25"/>
      <c r="O45" s="206">
        <f>IF(O44+1&lt;=MIN('Données projet'!$E$9:$E$18),O44+1,"STOP")</f>
        <v>12</v>
      </c>
      <c r="P45" s="196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0"/>
      <c r="G46" s="217"/>
      <c r="H46" s="202"/>
      <c r="I46" s="203"/>
      <c r="J46" s="25"/>
      <c r="K46" s="224"/>
      <c r="L46" s="219"/>
      <c r="M46" s="219"/>
      <c r="N46" s="219"/>
      <c r="O46" s="206">
        <f>IF(O45+1&lt;=MIN('Données projet'!$E$9:$E$18),O45+1,"STOP")</f>
        <v>13</v>
      </c>
      <c r="P46" s="199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2"/>
      <c r="I47" s="203"/>
      <c r="J47" s="25"/>
      <c r="K47" s="224"/>
      <c r="L47" s="5"/>
      <c r="M47" s="5"/>
      <c r="N47" s="5"/>
      <c r="O47" s="206">
        <f>IF(O46+1&lt;=MIN('Données projet'!$E$9:$E$18),O46+1,"STOP")</f>
        <v>14</v>
      </c>
      <c r="P47" s="196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09">
        <v>0</v>
      </c>
      <c r="B48" s="212" t="s">
        <v>132</v>
      </c>
      <c r="C48" s="211" t="s">
        <v>132</v>
      </c>
      <c r="D48" s="210" t="s">
        <v>132</v>
      </c>
      <c r="E48" s="205"/>
      <c r="F48" s="261"/>
      <c r="G48" s="217"/>
      <c r="H48" s="202"/>
      <c r="I48" s="203"/>
      <c r="J48" s="25"/>
      <c r="K48" s="224"/>
      <c r="L48" s="5"/>
      <c r="M48" s="5"/>
      <c r="N48" s="5"/>
      <c r="O48" s="206">
        <f>IF(O47+1&lt;=MIN('Données projet'!$E$9:$E$18),O47+1,"STOP")</f>
        <v>15</v>
      </c>
      <c r="P48" s="196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7" customFormat="1" ht="17.25" customHeight="1" x14ac:dyDescent="0.25">
      <c r="A49" s="209">
        <v>1</v>
      </c>
      <c r="B49" s="212" t="s">
        <v>132</v>
      </c>
      <c r="C49" s="211" t="s">
        <v>132</v>
      </c>
      <c r="D49" s="210" t="s">
        <v>132</v>
      </c>
      <c r="E49" s="205"/>
      <c r="F49" s="261"/>
      <c r="G49" s="218"/>
      <c r="H49" s="202"/>
      <c r="I49" s="203"/>
      <c r="J49" s="219"/>
      <c r="K49" s="226"/>
      <c r="L49" s="5"/>
      <c r="M49" s="5"/>
      <c r="N49" s="5"/>
      <c r="O49" s="206">
        <f>IF(O48+1&lt;=MIN('Données projet'!$E$9:$E$18),O48+1,"STOP")</f>
        <v>16</v>
      </c>
      <c r="P49" s="196">
        <f t="shared" si="3"/>
        <v>0</v>
      </c>
      <c r="Q49" s="266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</row>
    <row r="50" spans="1:56" x14ac:dyDescent="0.25">
      <c r="A50" s="209">
        <v>2</v>
      </c>
      <c r="B50" s="212" t="s">
        <v>132</v>
      </c>
      <c r="C50" s="211" t="s">
        <v>132</v>
      </c>
      <c r="D50" s="210" t="s">
        <v>132</v>
      </c>
      <c r="E50" s="205"/>
      <c r="F50" s="261"/>
      <c r="G50" s="220"/>
      <c r="H50" s="202"/>
      <c r="I50" s="203"/>
      <c r="J50" s="25"/>
      <c r="K50" s="182"/>
      <c r="L50" s="5"/>
      <c r="M50" s="5"/>
      <c r="N50" s="5"/>
      <c r="O50" s="206">
        <f>IF(O49+1&lt;=MIN('Données projet'!$E$9:$E$18),O49+1,"STOP")</f>
        <v>17</v>
      </c>
      <c r="P50" s="196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09">
        <v>3</v>
      </c>
      <c r="B51" s="212" t="s">
        <v>132</v>
      </c>
      <c r="C51" s="211" t="s">
        <v>132</v>
      </c>
      <c r="D51" s="210" t="s">
        <v>132</v>
      </c>
      <c r="E51" s="205"/>
      <c r="F51" s="261"/>
      <c r="G51" s="220"/>
      <c r="H51" s="202"/>
      <c r="I51" s="203"/>
      <c r="J51" s="25"/>
      <c r="K51" s="182"/>
      <c r="L51" s="5"/>
      <c r="M51" s="5"/>
      <c r="N51" s="5"/>
      <c r="O51" s="206">
        <f>IF(O50+1&lt;=MIN('Données projet'!$E$9:$E$18),O50+1,"STOP")</f>
        <v>18</v>
      </c>
      <c r="P51" s="196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09">
        <v>4</v>
      </c>
      <c r="B52" s="212" t="s">
        <v>132</v>
      </c>
      <c r="C52" s="211" t="s">
        <v>132</v>
      </c>
      <c r="D52" s="210" t="s">
        <v>132</v>
      </c>
      <c r="E52" s="205"/>
      <c r="F52" s="261"/>
      <c r="G52" s="220"/>
      <c r="H52" s="202"/>
      <c r="I52" s="203"/>
      <c r="J52" s="25"/>
      <c r="K52" s="182"/>
      <c r="L52" s="5"/>
      <c r="M52" s="5"/>
      <c r="N52" s="5"/>
      <c r="O52" s="206">
        <f>IF(O51+1&lt;=MIN('Données projet'!$E$9:$E$18),O51+1,"STOP")</f>
        <v>19</v>
      </c>
      <c r="P52" s="196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09">
        <v>5</v>
      </c>
      <c r="B53" s="212" t="s">
        <v>132</v>
      </c>
      <c r="C53" s="211" t="s">
        <v>132</v>
      </c>
      <c r="D53" s="210" t="s">
        <v>132</v>
      </c>
      <c r="E53" s="205"/>
      <c r="F53" s="261"/>
      <c r="G53" s="221"/>
      <c r="H53" s="202"/>
      <c r="I53" s="203"/>
      <c r="J53" s="25"/>
      <c r="K53" s="182"/>
      <c r="L53" s="5"/>
      <c r="M53" s="5"/>
      <c r="N53" s="5"/>
      <c r="O53" s="206">
        <f>IF(O52+1&lt;=MIN('Données projet'!$E$9:$E$18),O52+1,"STOP")</f>
        <v>20</v>
      </c>
      <c r="P53" s="196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1">
        <f>'Données projet'!A62</f>
        <v>15</v>
      </c>
      <c r="B54" s="192">
        <f>'Données projet'!D62</f>
        <v>0</v>
      </c>
      <c r="C54" s="203"/>
      <c r="D54" s="190">
        <f>B54*C54</f>
        <v>0</v>
      </c>
      <c r="E54" s="205"/>
      <c r="F54" s="262"/>
      <c r="G54" s="221"/>
      <c r="H54" s="202"/>
      <c r="I54" s="203"/>
      <c r="J54" s="25"/>
      <c r="K54" s="182"/>
      <c r="L54" s="5"/>
      <c r="M54" s="5"/>
      <c r="N54" s="5"/>
      <c r="O54" s="206">
        <f>IF(O53+1&lt;=MIN('Données projet'!$E$9:$E$18),O53+1,"STOP")</f>
        <v>21</v>
      </c>
      <c r="P54" s="196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1">
        <f>'Données projet'!A63</f>
        <v>21</v>
      </c>
      <c r="B55" s="192">
        <f>'Données projet'!D63</f>
        <v>0</v>
      </c>
      <c r="C55" s="203"/>
      <c r="D55" s="190">
        <f t="shared" ref="D55:D73" si="4">B55*C55</f>
        <v>0</v>
      </c>
      <c r="E55" s="205"/>
      <c r="F55" s="262"/>
      <c r="G55" s="221"/>
      <c r="H55" s="202"/>
      <c r="I55" s="203"/>
      <c r="J55" s="25"/>
      <c r="K55" s="182"/>
      <c r="L55" s="5"/>
      <c r="M55" s="5"/>
      <c r="N55" s="5"/>
      <c r="O55" s="206">
        <f>IF(O54+1&lt;=MIN('Données projet'!$E$9:$E$18),O54+1,"STOP")</f>
        <v>22</v>
      </c>
      <c r="P55" s="196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1">
        <f>'Données projet'!A64</f>
        <v>22</v>
      </c>
      <c r="B56" s="192">
        <f>'Données projet'!D64</f>
        <v>52.746153846153838</v>
      </c>
      <c r="C56" s="203">
        <v>10</v>
      </c>
      <c r="D56" s="190">
        <f t="shared" si="4"/>
        <v>527.46153846153834</v>
      </c>
      <c r="E56" s="205"/>
      <c r="F56" s="262"/>
      <c r="G56" s="221"/>
      <c r="H56" s="202"/>
      <c r="I56" s="203"/>
      <c r="J56" s="25"/>
      <c r="K56" s="182"/>
      <c r="L56" s="5"/>
      <c r="M56" s="5"/>
      <c r="N56" s="5"/>
      <c r="O56" s="206">
        <f>IF(O55+1&lt;=MIN('Données projet'!$E$9:$E$18),O55+1,"STOP")</f>
        <v>23</v>
      </c>
      <c r="P56" s="196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1">
        <f>'Données projet'!A65</f>
        <v>24</v>
      </c>
      <c r="B57" s="192">
        <f>'Données projet'!D65</f>
        <v>0</v>
      </c>
      <c r="C57" s="203"/>
      <c r="D57" s="190">
        <f t="shared" si="4"/>
        <v>0</v>
      </c>
      <c r="E57" s="205"/>
      <c r="F57" s="262"/>
      <c r="G57" s="221"/>
      <c r="H57" s="202"/>
      <c r="I57" s="203"/>
      <c r="J57" s="25"/>
      <c r="K57" s="182"/>
      <c r="L57" s="5"/>
      <c r="M57" s="5"/>
      <c r="N57" s="5"/>
      <c r="O57" s="206">
        <f>IF(O56+1&lt;=MIN('Données projet'!$E$9:$E$18),O56+1,"STOP")</f>
        <v>24</v>
      </c>
      <c r="P57" s="196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1">
        <f>'Données projet'!A66</f>
        <v>27</v>
      </c>
      <c r="B58" s="192">
        <f>'Données projet'!D66</f>
        <v>34.646153846153844</v>
      </c>
      <c r="C58" s="203">
        <v>15</v>
      </c>
      <c r="D58" s="190">
        <f t="shared" si="4"/>
        <v>519.69230769230762</v>
      </c>
      <c r="E58" s="205"/>
      <c r="F58" s="262"/>
      <c r="G58" s="221"/>
      <c r="H58" s="202"/>
      <c r="I58" s="203"/>
      <c r="J58" s="25"/>
      <c r="K58" s="182"/>
      <c r="L58" s="5"/>
      <c r="M58" s="5"/>
      <c r="N58" s="5"/>
      <c r="O58" s="206">
        <f>IF(O57+1&lt;=MIN('Données projet'!$E$9:$E$18),O57+1,"STOP")</f>
        <v>25</v>
      </c>
      <c r="P58" s="196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1">
        <f>'Données projet'!A67</f>
        <v>30</v>
      </c>
      <c r="B59" s="192">
        <f>'Données projet'!D67</f>
        <v>0</v>
      </c>
      <c r="C59" s="203"/>
      <c r="D59" s="190">
        <f t="shared" si="4"/>
        <v>0</v>
      </c>
      <c r="E59" s="205"/>
      <c r="F59" s="262"/>
      <c r="G59" s="221"/>
      <c r="H59" s="202"/>
      <c r="I59" s="203"/>
      <c r="J59" s="25"/>
      <c r="K59" s="182"/>
      <c r="L59" s="5"/>
      <c r="M59" s="5"/>
      <c r="N59" s="5"/>
      <c r="O59" s="206">
        <f>IF(O58+1&lt;=MIN('Données projet'!$E$9:$E$18),O58+1,"STOP")</f>
        <v>26</v>
      </c>
      <c r="P59" s="196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1">
        <f>'Données projet'!A68</f>
        <v>33</v>
      </c>
      <c r="B60" s="192">
        <f>'Données projet'!D68</f>
        <v>43.007692307692302</v>
      </c>
      <c r="C60" s="203">
        <v>20</v>
      </c>
      <c r="D60" s="190">
        <f t="shared" si="4"/>
        <v>860.15384615384608</v>
      </c>
      <c r="E60" s="205"/>
      <c r="F60" s="262"/>
      <c r="G60" s="222"/>
      <c r="H60" s="202"/>
      <c r="I60" s="203"/>
      <c r="J60" s="25"/>
      <c r="K60" s="182"/>
      <c r="L60" s="5"/>
      <c r="M60" s="5"/>
      <c r="N60" s="5"/>
      <c r="O60" s="206">
        <f>IF(O59+1&lt;=MIN('Données projet'!$E$9:$E$18),O59+1,"STOP")</f>
        <v>27</v>
      </c>
      <c r="P60" s="196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1">
        <f>'Données projet'!A69</f>
        <v>41</v>
      </c>
      <c r="B61" s="192">
        <f>'Données projet'!D69</f>
        <v>58.484615384615381</v>
      </c>
      <c r="C61" s="203">
        <v>25</v>
      </c>
      <c r="D61" s="190">
        <f t="shared" si="4"/>
        <v>1462.1153846153845</v>
      </c>
      <c r="E61" s="205"/>
      <c r="F61" s="262"/>
      <c r="G61" s="222"/>
      <c r="H61" s="202"/>
      <c r="I61" s="203"/>
      <c r="J61" s="25"/>
      <c r="K61" s="182"/>
      <c r="L61" s="5"/>
      <c r="M61" s="5"/>
      <c r="N61" s="5"/>
      <c r="O61" s="206">
        <f>IF(O60+1&lt;=MIN('Données projet'!$E$9:$E$18),O60+1,"STOP")</f>
        <v>28</v>
      </c>
      <c r="P61" s="196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1">
        <f>'Données projet'!A70</f>
        <v>50</v>
      </c>
      <c r="B62" s="192">
        <f>'Données projet'!D70</f>
        <v>55.292307692307688</v>
      </c>
      <c r="C62" s="203">
        <v>30</v>
      </c>
      <c r="D62" s="190">
        <f>B62*C62</f>
        <v>1658.7692307692307</v>
      </c>
      <c r="E62" s="205"/>
      <c r="F62" s="262"/>
      <c r="G62" s="222"/>
      <c r="H62" s="202"/>
      <c r="I62" s="203"/>
      <c r="J62" s="25"/>
      <c r="K62" s="182"/>
      <c r="L62" s="5"/>
      <c r="M62" s="5"/>
      <c r="N62" s="5"/>
      <c r="O62" s="206">
        <f>IF(O61+1&lt;=MIN('Données projet'!$E$9:$E$18),O61+1,"STOP")</f>
        <v>29</v>
      </c>
      <c r="P62" s="196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1">
        <f>'Données projet'!A71</f>
        <v>60</v>
      </c>
      <c r="B63" s="192">
        <f>'Données projet'!D71</f>
        <v>54.261538461538464</v>
      </c>
      <c r="C63" s="203">
        <v>35</v>
      </c>
      <c r="D63" s="190">
        <f>B63*C63</f>
        <v>1899.1538461538462</v>
      </c>
      <c r="E63" s="205"/>
      <c r="F63" s="262"/>
      <c r="G63" s="222"/>
      <c r="H63" s="202"/>
      <c r="I63" s="203"/>
      <c r="J63" s="25"/>
      <c r="K63" s="182"/>
      <c r="L63" s="5"/>
      <c r="M63" s="5"/>
      <c r="N63" s="5"/>
      <c r="O63" s="206">
        <f>IF(O62+1&lt;=MIN('Données projet'!$E$9:$E$18),O62+1,"STOP")</f>
        <v>30</v>
      </c>
      <c r="P63" s="196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1">
        <f>'Données projet'!A72</f>
        <v>70</v>
      </c>
      <c r="B64" s="192">
        <f>'Données projet'!D72</f>
        <v>52.669230769230765</v>
      </c>
      <c r="C64" s="203">
        <v>40</v>
      </c>
      <c r="D64" s="190">
        <f t="shared" si="4"/>
        <v>2106.7692307692305</v>
      </c>
      <c r="E64" s="205"/>
      <c r="F64" s="262"/>
      <c r="G64" s="222"/>
      <c r="H64" s="202"/>
      <c r="I64" s="203"/>
      <c r="J64" s="223"/>
      <c r="K64" s="182"/>
      <c r="L64" s="5"/>
      <c r="M64" s="5"/>
      <c r="N64" s="5"/>
      <c r="O64" s="206">
        <f>IF(O63+1&lt;=MIN('Données projet'!$E$9:$E$18),O63+1,"STOP")</f>
        <v>31</v>
      </c>
      <c r="P64" s="196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1">
        <f>'Données projet'!A73</f>
        <v>80</v>
      </c>
      <c r="B65" s="192">
        <f>'Données projet'!D73</f>
        <v>402.90769230769229</v>
      </c>
      <c r="C65" s="203">
        <v>60</v>
      </c>
      <c r="D65" s="190">
        <f t="shared" si="4"/>
        <v>24174.461538461539</v>
      </c>
      <c r="E65" s="205"/>
      <c r="F65" s="262"/>
      <c r="G65" s="222"/>
      <c r="H65" s="202"/>
      <c r="I65" s="203"/>
      <c r="J65" s="200"/>
      <c r="K65" s="182"/>
      <c r="L65" s="5"/>
      <c r="M65" s="5"/>
      <c r="N65" s="5"/>
      <c r="O65" s="206">
        <f>IF(O64+1&lt;=MIN('Données projet'!$E$9:$E$18),O64+1,"STOP")</f>
        <v>32</v>
      </c>
      <c r="P65" s="196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1">
        <f>'Données projet'!A74</f>
        <v>0</v>
      </c>
      <c r="B66" s="192">
        <f>'Données projet'!D74</f>
        <v>0</v>
      </c>
      <c r="C66" s="203"/>
      <c r="D66" s="190">
        <f t="shared" si="4"/>
        <v>0</v>
      </c>
      <c r="E66" s="205"/>
      <c r="F66" s="262"/>
      <c r="G66" s="222"/>
      <c r="H66" s="202"/>
      <c r="I66" s="203"/>
      <c r="J66" s="200"/>
      <c r="K66" s="182"/>
      <c r="L66" s="5"/>
      <c r="M66" s="5"/>
      <c r="N66" s="5"/>
      <c r="O66" s="206">
        <f>IF(O65+1&lt;=MIN('Données projet'!$E$9:$E$18),O65+1,"STOP")</f>
        <v>33</v>
      </c>
      <c r="P66" s="196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1">
        <f>'Données projet'!A75</f>
        <v>0</v>
      </c>
      <c r="B67" s="192">
        <f>'Données projet'!D75</f>
        <v>0</v>
      </c>
      <c r="C67" s="203"/>
      <c r="D67" s="190">
        <f t="shared" si="4"/>
        <v>0</v>
      </c>
      <c r="E67" s="205"/>
      <c r="F67" s="262"/>
      <c r="G67" s="222"/>
      <c r="H67" s="202"/>
      <c r="I67" s="203"/>
      <c r="J67" s="200"/>
      <c r="K67" s="182"/>
      <c r="L67" s="5"/>
      <c r="M67" s="5"/>
      <c r="N67" s="5"/>
      <c r="O67" s="206">
        <f>IF(O66+1&lt;=MIN('Données projet'!$E$9:$E$18),O66+1,"STOP")</f>
        <v>34</v>
      </c>
      <c r="P67" s="196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1">
        <f>'Données projet'!A76</f>
        <v>0</v>
      </c>
      <c r="B68" s="192">
        <f>'Données projet'!D76</f>
        <v>0</v>
      </c>
      <c r="C68" s="203"/>
      <c r="D68" s="190">
        <f t="shared" si="4"/>
        <v>0</v>
      </c>
      <c r="E68" s="205"/>
      <c r="F68" s="262"/>
      <c r="G68" s="222"/>
      <c r="H68" s="202"/>
      <c r="I68" s="203"/>
      <c r="J68" s="200"/>
      <c r="K68" s="182"/>
      <c r="L68" s="5"/>
      <c r="M68" s="5"/>
      <c r="N68" s="5"/>
      <c r="O68" s="206">
        <f>IF(O67+1&lt;=MIN('Données projet'!$E$9:$E$18),O67+1,"STOP")</f>
        <v>35</v>
      </c>
      <c r="P68" s="196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1">
        <f>'Données projet'!A77</f>
        <v>0</v>
      </c>
      <c r="B69" s="192">
        <f>'Données projet'!D77</f>
        <v>0</v>
      </c>
      <c r="C69" s="203"/>
      <c r="D69" s="190">
        <f t="shared" si="4"/>
        <v>0</v>
      </c>
      <c r="E69" s="205"/>
      <c r="F69" s="262"/>
      <c r="G69" s="222"/>
      <c r="H69" s="202"/>
      <c r="I69" s="203"/>
      <c r="J69" s="200"/>
      <c r="K69" s="182"/>
      <c r="L69" s="5"/>
      <c r="M69" s="5"/>
      <c r="N69" s="5"/>
      <c r="O69" s="206">
        <f>IF(O68+1&lt;=MIN('Données projet'!$E$9:$E$18),O68+1,"STOP")</f>
        <v>36</v>
      </c>
      <c r="P69" s="196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1">
        <f>'Données projet'!A78</f>
        <v>0</v>
      </c>
      <c r="B70" s="192">
        <f>'Données projet'!D78</f>
        <v>0</v>
      </c>
      <c r="C70" s="203"/>
      <c r="D70" s="190">
        <f t="shared" si="4"/>
        <v>0</v>
      </c>
      <c r="E70" s="205"/>
      <c r="F70" s="262"/>
      <c r="G70" s="222"/>
      <c r="H70" s="202"/>
      <c r="I70" s="203"/>
      <c r="J70" s="200"/>
      <c r="K70" s="182"/>
      <c r="L70" s="5"/>
      <c r="M70" s="5"/>
      <c r="N70" s="5"/>
      <c r="O70" s="206">
        <f>IF(O69+1&lt;=MIN('Données projet'!$E$9:$E$18),O69+1,"STOP")</f>
        <v>37</v>
      </c>
      <c r="P70" s="196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1">
        <f>'Données projet'!A79</f>
        <v>0</v>
      </c>
      <c r="B71" s="192">
        <f>'Données projet'!D79</f>
        <v>0</v>
      </c>
      <c r="C71" s="203"/>
      <c r="D71" s="190">
        <f t="shared" si="4"/>
        <v>0</v>
      </c>
      <c r="E71" s="205"/>
      <c r="F71" s="262"/>
      <c r="G71" s="222"/>
      <c r="H71" s="202"/>
      <c r="I71" s="203"/>
      <c r="J71" s="200"/>
      <c r="K71" s="182"/>
      <c r="L71" s="5"/>
      <c r="M71" s="5"/>
      <c r="N71" s="5"/>
      <c r="O71" s="206">
        <f>IF(O70+1&lt;=MIN('Données projet'!$E$9:$E$18),O70+1,"STOP")</f>
        <v>38</v>
      </c>
      <c r="P71" s="196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1">
        <f>'Données projet'!A80</f>
        <v>0</v>
      </c>
      <c r="B72" s="192">
        <f>'Données projet'!D80</f>
        <v>0</v>
      </c>
      <c r="C72" s="203"/>
      <c r="D72" s="190">
        <f t="shared" si="4"/>
        <v>0</v>
      </c>
      <c r="E72" s="205"/>
      <c r="F72" s="262"/>
      <c r="G72" s="222"/>
      <c r="H72" s="202"/>
      <c r="I72" s="203"/>
      <c r="J72" s="5"/>
      <c r="K72" s="182"/>
      <c r="L72" s="5"/>
      <c r="M72" s="5"/>
      <c r="N72" s="5"/>
      <c r="O72" s="206">
        <f>IF(O71+1&lt;=MIN('Données projet'!$E$9:$E$18),O71+1,"STOP")</f>
        <v>39</v>
      </c>
      <c r="P72" s="196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1">
        <f>'Données projet'!A81</f>
        <v>0</v>
      </c>
      <c r="B73" s="192">
        <f>'Données projet'!D81</f>
        <v>0</v>
      </c>
      <c r="C73" s="203"/>
      <c r="D73" s="190">
        <f t="shared" si="4"/>
        <v>0</v>
      </c>
      <c r="E73" s="205"/>
      <c r="F73" s="262"/>
      <c r="G73" s="222"/>
      <c r="H73" s="202"/>
      <c r="I73" s="203"/>
      <c r="J73" s="5"/>
      <c r="K73" s="182"/>
      <c r="L73" s="5"/>
      <c r="M73" s="5"/>
      <c r="N73" s="5"/>
      <c r="O73" s="206">
        <f>IF(O72+1&lt;=MIN('Données projet'!$E$9:$E$18),O72+1,"STOP")</f>
        <v>40</v>
      </c>
      <c r="P73" s="196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0"/>
      <c r="G74" s="222"/>
      <c r="H74" s="202"/>
      <c r="I74" s="203"/>
      <c r="J74" s="5"/>
      <c r="K74" s="182"/>
      <c r="L74" s="5"/>
      <c r="M74" s="5"/>
      <c r="N74" s="5"/>
      <c r="O74" s="206">
        <f>IF(O73+1&lt;=MIN('Données projet'!$E$9:$E$18),O73+1,"STOP")</f>
        <v>41</v>
      </c>
      <c r="P74" s="196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0"/>
      <c r="G75" s="222"/>
      <c r="H75" s="202"/>
      <c r="I75" s="203"/>
      <c r="J75" s="5"/>
      <c r="K75" s="182"/>
      <c r="L75" s="5"/>
      <c r="M75" s="5"/>
      <c r="N75" s="5"/>
      <c r="O75" s="206">
        <f>IF(O74+1&lt;=MIN('Données projet'!$E$9:$E$18),O74+1,"STOP")</f>
        <v>42</v>
      </c>
      <c r="P75" s="196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5" t="str">
        <f>IF('Données projet'!B11="","",'Données projet'!B11)</f>
        <v>Chêne sessile</v>
      </c>
      <c r="C76" s="5"/>
      <c r="D76" s="5"/>
      <c r="E76" s="5"/>
      <c r="F76" s="260"/>
      <c r="G76" s="222"/>
      <c r="H76" s="202"/>
      <c r="I76" s="203"/>
      <c r="J76" s="5"/>
      <c r="K76" s="182"/>
      <c r="L76" s="5"/>
      <c r="M76" s="5"/>
      <c r="N76" s="5"/>
      <c r="O76" s="206">
        <f>IF(O75+1&lt;=MIN('Données projet'!$E$9:$E$18),O75+1,"STOP")</f>
        <v>43</v>
      </c>
      <c r="P76" s="196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0"/>
      <c r="G77" s="222"/>
      <c r="H77" s="202"/>
      <c r="I77" s="203"/>
      <c r="J77" s="5"/>
      <c r="K77" s="182"/>
      <c r="L77" s="5"/>
      <c r="M77" s="5"/>
      <c r="N77" s="5"/>
      <c r="O77" s="206">
        <f>IF(O76+1&lt;=MIN('Données projet'!$E$9:$E$18),O76+1,"STOP")</f>
        <v>44</v>
      </c>
      <c r="P77" s="196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2"/>
      <c r="I78" s="203"/>
      <c r="J78" s="5"/>
      <c r="K78" s="182"/>
      <c r="L78" s="5"/>
      <c r="M78" s="5"/>
      <c r="N78" s="5"/>
      <c r="O78" s="206">
        <f>IF(O77+1&lt;=MIN('Données projet'!$E$9:$E$18),O77+1,"STOP")</f>
        <v>45</v>
      </c>
      <c r="P78" s="196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09">
        <v>0</v>
      </c>
      <c r="B79" s="212" t="s">
        <v>132</v>
      </c>
      <c r="C79" s="211" t="s">
        <v>132</v>
      </c>
      <c r="D79" s="210" t="s">
        <v>132</v>
      </c>
      <c r="E79" s="205"/>
      <c r="F79" s="261"/>
      <c r="G79" s="222"/>
      <c r="H79" s="202"/>
      <c r="I79" s="203"/>
      <c r="J79" s="5"/>
      <c r="K79" s="182"/>
      <c r="L79" s="5"/>
      <c r="M79" s="5"/>
      <c r="N79" s="5"/>
      <c r="O79" s="206">
        <f>IF(O78+1&lt;=MIN('Données projet'!$E$9:$E$18),O78+1,"STOP")</f>
        <v>46</v>
      </c>
      <c r="P79" s="196">
        <f t="shared" si="5"/>
        <v>0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09">
        <v>1</v>
      </c>
      <c r="B80" s="212" t="s">
        <v>132</v>
      </c>
      <c r="C80" s="211" t="s">
        <v>132</v>
      </c>
      <c r="D80" s="210" t="s">
        <v>132</v>
      </c>
      <c r="E80" s="205"/>
      <c r="F80" s="261"/>
      <c r="G80" s="220"/>
      <c r="H80" s="202"/>
      <c r="I80" s="203"/>
      <c r="J80" s="5"/>
      <c r="K80" s="182"/>
      <c r="L80" s="5"/>
      <c r="M80" s="5"/>
      <c r="N80" s="5"/>
      <c r="O80" s="206">
        <f>IF(O79+1&lt;=MIN('Données projet'!$E$9:$E$18),O79+1,"STOP")</f>
        <v>47</v>
      </c>
      <c r="P80" s="196">
        <f t="shared" si="5"/>
        <v>0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09">
        <v>2</v>
      </c>
      <c r="B81" s="212" t="s">
        <v>132</v>
      </c>
      <c r="C81" s="211" t="s">
        <v>132</v>
      </c>
      <c r="D81" s="210" t="s">
        <v>132</v>
      </c>
      <c r="E81" s="205"/>
      <c r="F81" s="261"/>
      <c r="G81" s="220"/>
      <c r="H81" s="202"/>
      <c r="I81" s="203"/>
      <c r="J81" s="5"/>
      <c r="K81" s="182"/>
      <c r="L81" s="5"/>
      <c r="M81" s="5"/>
      <c r="N81" s="5"/>
      <c r="O81" s="206">
        <f>IF(O80+1&lt;=MIN('Données projet'!$E$9:$E$18),O80+1,"STOP")</f>
        <v>48</v>
      </c>
      <c r="P81" s="196">
        <f t="shared" si="5"/>
        <v>0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09">
        <v>3</v>
      </c>
      <c r="B82" s="212" t="s">
        <v>132</v>
      </c>
      <c r="C82" s="211" t="s">
        <v>132</v>
      </c>
      <c r="D82" s="210" t="s">
        <v>132</v>
      </c>
      <c r="E82" s="205"/>
      <c r="F82" s="261"/>
      <c r="G82" s="220"/>
      <c r="H82" s="202"/>
      <c r="I82" s="203"/>
      <c r="J82" s="5"/>
      <c r="K82" s="182"/>
      <c r="L82" s="5"/>
      <c r="M82" s="5"/>
      <c r="N82" s="5"/>
      <c r="O82" s="206">
        <f>IF(O81+1&lt;=MIN('Données projet'!$E$9:$E$18),O81+1,"STOP")</f>
        <v>49</v>
      </c>
      <c r="P82" s="196">
        <f t="shared" si="5"/>
        <v>0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09">
        <v>4</v>
      </c>
      <c r="B83" s="212" t="s">
        <v>132</v>
      </c>
      <c r="C83" s="211" t="s">
        <v>132</v>
      </c>
      <c r="D83" s="210" t="s">
        <v>132</v>
      </c>
      <c r="E83" s="205"/>
      <c r="F83" s="261"/>
      <c r="G83" s="220"/>
      <c r="H83" s="202"/>
      <c r="I83" s="203"/>
      <c r="J83" s="5"/>
      <c r="K83" s="182"/>
      <c r="L83" s="5"/>
      <c r="M83" s="5"/>
      <c r="N83" s="5"/>
      <c r="O83" s="206">
        <f>IF(O82+1&lt;=MIN('Données projet'!$E$9:$E$18),O82+1,"STOP")</f>
        <v>50</v>
      </c>
      <c r="P83" s="196">
        <f t="shared" si="5"/>
        <v>0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09">
        <v>5</v>
      </c>
      <c r="B84" s="212" t="s">
        <v>132</v>
      </c>
      <c r="C84" s="211" t="s">
        <v>132</v>
      </c>
      <c r="D84" s="210" t="s">
        <v>132</v>
      </c>
      <c r="E84" s="205"/>
      <c r="F84" s="261"/>
      <c r="G84" s="221"/>
      <c r="H84" s="202"/>
      <c r="I84" s="203"/>
      <c r="J84" s="5"/>
      <c r="K84" s="182"/>
      <c r="L84" s="5"/>
      <c r="M84" s="5"/>
      <c r="N84" s="5"/>
      <c r="O84" s="206">
        <f>IF(O83+1&lt;=MIN('Données projet'!$E$9:$E$18),O83+1,"STOP")</f>
        <v>51</v>
      </c>
      <c r="P84" s="196">
        <f t="shared" si="5"/>
        <v>0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1">
        <f>'Données projet'!A88</f>
        <v>20</v>
      </c>
      <c r="B85" s="192">
        <f>'Données projet'!D88</f>
        <v>0</v>
      </c>
      <c r="C85" s="203"/>
      <c r="D85" s="190">
        <f>B85*C85</f>
        <v>0</v>
      </c>
      <c r="E85" s="205"/>
      <c r="F85" s="262"/>
      <c r="G85" s="221"/>
      <c r="H85" s="202"/>
      <c r="I85" s="203"/>
      <c r="J85" s="5"/>
      <c r="K85" s="182"/>
      <c r="L85" s="5"/>
      <c r="M85" s="5"/>
      <c r="N85" s="5"/>
      <c r="O85" s="206">
        <f>IF(O84+1&lt;=MIN('Données projet'!$E$9:$E$18),O84+1,"STOP")</f>
        <v>52</v>
      </c>
      <c r="P85" s="196">
        <f t="shared" si="5"/>
        <v>0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1">
        <f>'Données projet'!A89</f>
        <v>25</v>
      </c>
      <c r="B86" s="192">
        <f>'Données projet'!D89</f>
        <v>0</v>
      </c>
      <c r="C86" s="203"/>
      <c r="D86" s="190">
        <f t="shared" ref="D86:D104" si="6">B86*C86</f>
        <v>0</v>
      </c>
      <c r="E86" s="205"/>
      <c r="F86" s="262"/>
      <c r="G86" s="221"/>
      <c r="H86" s="202"/>
      <c r="I86" s="203"/>
      <c r="J86" s="5"/>
      <c r="K86" s="182"/>
      <c r="L86" s="5"/>
      <c r="M86" s="5"/>
      <c r="N86" s="5"/>
      <c r="O86" s="206">
        <f>IF(O85+1&lt;=MIN('Données projet'!$E$9:$E$18),O85+1,"STOP")</f>
        <v>53</v>
      </c>
      <c r="P86" s="196">
        <f t="shared" si="5"/>
        <v>0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1">
        <f>'Données projet'!A90</f>
        <v>30</v>
      </c>
      <c r="B87" s="192">
        <f>'Données projet'!D90</f>
        <v>29</v>
      </c>
      <c r="C87" s="203">
        <v>10</v>
      </c>
      <c r="D87" s="190">
        <f t="shared" si="6"/>
        <v>290</v>
      </c>
      <c r="E87" s="205"/>
      <c r="F87" s="262"/>
      <c r="G87" s="221"/>
      <c r="H87" s="202"/>
      <c r="I87" s="203"/>
      <c r="J87" s="5"/>
      <c r="K87" s="182"/>
      <c r="L87" s="5"/>
      <c r="M87" s="5"/>
      <c r="N87" s="5"/>
      <c r="O87" s="206">
        <f>IF(O86+1&lt;=MIN('Données projet'!$E$9:$E$18),O86+1,"STOP")</f>
        <v>54</v>
      </c>
      <c r="P87" s="196">
        <f t="shared" si="5"/>
        <v>0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1">
        <f>'Données projet'!A91</f>
        <v>35</v>
      </c>
      <c r="B88" s="192">
        <f>'Données projet'!D91</f>
        <v>0</v>
      </c>
      <c r="C88" s="203"/>
      <c r="D88" s="190">
        <f t="shared" si="6"/>
        <v>0</v>
      </c>
      <c r="E88" s="205"/>
      <c r="F88" s="262"/>
      <c r="G88" s="221"/>
      <c r="H88" s="202"/>
      <c r="I88" s="203"/>
      <c r="J88" s="5"/>
      <c r="K88" s="182"/>
      <c r="L88" s="5"/>
      <c r="M88" s="5"/>
      <c r="N88" s="5"/>
      <c r="O88" s="206">
        <f>IF(O87+1&lt;=MIN('Données projet'!$E$9:$E$18),O87+1,"STOP")</f>
        <v>55</v>
      </c>
      <c r="P88" s="196">
        <f t="shared" si="5"/>
        <v>0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1">
        <f>'Données projet'!A92</f>
        <v>40</v>
      </c>
      <c r="B89" s="192">
        <f>'Données projet'!D92</f>
        <v>42</v>
      </c>
      <c r="C89" s="203">
        <v>10</v>
      </c>
      <c r="D89" s="190">
        <f t="shared" si="6"/>
        <v>420</v>
      </c>
      <c r="E89" s="205"/>
      <c r="F89" s="262"/>
      <c r="G89" s="221"/>
      <c r="H89" s="202"/>
      <c r="I89" s="203"/>
      <c r="J89" s="5"/>
      <c r="K89" s="182"/>
      <c r="L89" s="5"/>
      <c r="M89" s="5"/>
      <c r="N89" s="5"/>
      <c r="O89" s="206">
        <f>IF(O88+1&lt;=MIN('Données projet'!$E$9:$E$18),O88+1,"STOP")</f>
        <v>56</v>
      </c>
      <c r="P89" s="196">
        <f t="shared" si="5"/>
        <v>0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1">
        <f>'Données projet'!A93</f>
        <v>45</v>
      </c>
      <c r="B90" s="192">
        <f>'Données projet'!D93</f>
        <v>0</v>
      </c>
      <c r="C90" s="203"/>
      <c r="D90" s="190">
        <f t="shared" si="6"/>
        <v>0</v>
      </c>
      <c r="E90" s="205"/>
      <c r="F90" s="262"/>
      <c r="G90" s="221"/>
      <c r="H90" s="202"/>
      <c r="I90" s="203"/>
      <c r="J90" s="5"/>
      <c r="K90" s="182"/>
      <c r="L90" s="5"/>
      <c r="M90" s="5"/>
      <c r="N90" s="5"/>
      <c r="O90" s="206">
        <f>IF(O89+1&lt;=MIN('Données projet'!$E$9:$E$18),O89+1,"STOP")</f>
        <v>57</v>
      </c>
      <c r="P90" s="196">
        <f t="shared" si="5"/>
        <v>0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1">
        <f>'Données projet'!A94</f>
        <v>50</v>
      </c>
      <c r="B91" s="192">
        <f>'Données projet'!D94</f>
        <v>42</v>
      </c>
      <c r="C91" s="203">
        <v>15</v>
      </c>
      <c r="D91" s="190">
        <f t="shared" si="6"/>
        <v>630</v>
      </c>
      <c r="E91" s="205"/>
      <c r="F91" s="262"/>
      <c r="G91" s="222"/>
      <c r="H91" s="202"/>
      <c r="I91" s="203"/>
      <c r="J91" s="5"/>
      <c r="K91" s="182"/>
      <c r="L91" s="5"/>
      <c r="M91" s="5"/>
      <c r="N91" s="5"/>
      <c r="O91" s="206">
        <f>IF(O90+1&lt;=MIN('Données projet'!$E$9:$E$18),O90+1,"STOP")</f>
        <v>58</v>
      </c>
      <c r="P91" s="196">
        <f t="shared" si="5"/>
        <v>0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1">
        <f>'Données projet'!A95</f>
        <v>55</v>
      </c>
      <c r="B92" s="192">
        <f>'Données projet'!D95</f>
        <v>0</v>
      </c>
      <c r="C92" s="203"/>
      <c r="D92" s="190">
        <f t="shared" si="6"/>
        <v>0</v>
      </c>
      <c r="E92" s="205"/>
      <c r="F92" s="262"/>
      <c r="G92" s="222"/>
      <c r="H92" s="202"/>
      <c r="I92" s="203"/>
      <c r="J92" s="5"/>
      <c r="K92" s="182"/>
      <c r="L92" s="5"/>
      <c r="M92" s="5"/>
      <c r="N92" s="5"/>
      <c r="O92" s="206">
        <f>IF(O91+1&lt;=MIN('Données projet'!$E$9:$E$18),O91+1,"STOP")</f>
        <v>59</v>
      </c>
      <c r="P92" s="196">
        <f t="shared" si="5"/>
        <v>0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1">
        <f>'Données projet'!A96</f>
        <v>60</v>
      </c>
      <c r="B93" s="192">
        <f>'Données projet'!D96</f>
        <v>42</v>
      </c>
      <c r="C93" s="203">
        <v>20</v>
      </c>
      <c r="D93" s="190">
        <f t="shared" si="6"/>
        <v>840</v>
      </c>
      <c r="E93" s="205"/>
      <c r="F93" s="262"/>
      <c r="G93" s="222"/>
      <c r="H93" s="202"/>
      <c r="I93" s="203"/>
      <c r="J93" s="5"/>
      <c r="K93" s="182"/>
      <c r="L93" s="5"/>
      <c r="M93" s="5"/>
      <c r="N93" s="5"/>
      <c r="O93" s="206">
        <f>IF(O92+1&lt;=MIN('Données projet'!$E$9:$E$18),O92+1,"STOP")</f>
        <v>60</v>
      </c>
      <c r="P93" s="196">
        <f t="shared" si="5"/>
        <v>0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1">
        <f>'Données projet'!A97</f>
        <v>65</v>
      </c>
      <c r="B94" s="192">
        <f>'Données projet'!D97</f>
        <v>0</v>
      </c>
      <c r="C94" s="203"/>
      <c r="D94" s="190">
        <f t="shared" si="6"/>
        <v>0</v>
      </c>
      <c r="E94" s="205"/>
      <c r="F94" s="262"/>
      <c r="G94" s="222"/>
      <c r="H94" s="202"/>
      <c r="I94" s="203"/>
      <c r="J94" s="5"/>
      <c r="K94" s="182"/>
      <c r="L94" s="5"/>
      <c r="M94" s="5"/>
      <c r="N94" s="5"/>
      <c r="O94" s="206">
        <f>IF(O93+1&lt;=MIN('Données projet'!$E$9:$E$18),O93+1,"STOP")</f>
        <v>61</v>
      </c>
      <c r="P94" s="196">
        <f t="shared" si="5"/>
        <v>0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1">
        <f>'Données projet'!A98</f>
        <v>70</v>
      </c>
      <c r="B95" s="192">
        <f>'Données projet'!D98</f>
        <v>42</v>
      </c>
      <c r="C95" s="203">
        <v>25</v>
      </c>
      <c r="D95" s="190">
        <f t="shared" si="6"/>
        <v>1050</v>
      </c>
      <c r="E95" s="205"/>
      <c r="F95" s="262"/>
      <c r="G95" s="222"/>
      <c r="H95" s="202"/>
      <c r="I95" s="203"/>
      <c r="J95" s="5"/>
      <c r="K95" s="182"/>
      <c r="L95" s="5"/>
      <c r="M95" s="5"/>
      <c r="N95" s="5"/>
      <c r="O95" s="206">
        <f>IF(O94+1&lt;=MIN('Données projet'!$E$9:$E$18),O94+1,"STOP")</f>
        <v>62</v>
      </c>
      <c r="P95" s="196">
        <f t="shared" si="5"/>
        <v>0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1">
        <f>'Données projet'!A99</f>
        <v>75</v>
      </c>
      <c r="B96" s="192">
        <f>'Données projet'!D99</f>
        <v>0</v>
      </c>
      <c r="C96" s="203"/>
      <c r="D96" s="190">
        <f t="shared" si="6"/>
        <v>0</v>
      </c>
      <c r="E96" s="205"/>
      <c r="F96" s="262"/>
      <c r="G96" s="222"/>
      <c r="H96" s="202"/>
      <c r="I96" s="203"/>
      <c r="J96" s="5"/>
      <c r="K96" s="182"/>
      <c r="L96" s="5"/>
      <c r="M96" s="5"/>
      <c r="N96" s="5"/>
      <c r="O96" s="206">
        <f>IF(O95+1&lt;=MIN('Données projet'!$E$9:$E$18),O95+1,"STOP")</f>
        <v>63</v>
      </c>
      <c r="P96" s="196">
        <f t="shared" si="5"/>
        <v>0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1">
        <f>'Données projet'!A100</f>
        <v>80</v>
      </c>
      <c r="B97" s="192">
        <f>'Données projet'!D100</f>
        <v>42</v>
      </c>
      <c r="C97" s="203">
        <v>30</v>
      </c>
      <c r="D97" s="190">
        <f t="shared" si="6"/>
        <v>1260</v>
      </c>
      <c r="E97" s="205"/>
      <c r="F97" s="262"/>
      <c r="G97" s="222"/>
      <c r="H97" s="202"/>
      <c r="I97" s="203"/>
      <c r="J97" s="5"/>
      <c r="K97" s="182"/>
      <c r="L97" s="5"/>
      <c r="M97" s="5"/>
      <c r="N97" s="5"/>
      <c r="O97" s="206">
        <f>IF(O96+1&lt;=MIN('Données projet'!$E$9:$E$18),O96+1,"STOP")</f>
        <v>64</v>
      </c>
      <c r="P97" s="196">
        <f t="shared" ref="P97:P128" si="7">$P$25/(1+$M$4)^O97</f>
        <v>0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1">
        <f>'Données projet'!A101</f>
        <v>90</v>
      </c>
      <c r="B98" s="192">
        <f>'Données projet'!D101</f>
        <v>42</v>
      </c>
      <c r="C98" s="203">
        <v>35</v>
      </c>
      <c r="D98" s="190">
        <f t="shared" si="6"/>
        <v>1470</v>
      </c>
      <c r="E98" s="205"/>
      <c r="F98" s="262"/>
      <c r="G98" s="222"/>
      <c r="H98" s="202"/>
      <c r="I98" s="203"/>
      <c r="J98" s="5"/>
      <c r="K98" s="182"/>
      <c r="L98" s="5"/>
      <c r="M98" s="5"/>
      <c r="N98" s="5"/>
      <c r="O98" s="206">
        <f>IF(O97+1&lt;=MIN('Données projet'!$E$9:$E$18),O97+1,"STOP")</f>
        <v>65</v>
      </c>
      <c r="P98" s="196">
        <f t="shared" si="7"/>
        <v>0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1">
        <f>'Données projet'!A102</f>
        <v>100</v>
      </c>
      <c r="B99" s="192">
        <f>'Données projet'!D102</f>
        <v>42</v>
      </c>
      <c r="C99" s="203">
        <v>40</v>
      </c>
      <c r="D99" s="190">
        <f t="shared" si="6"/>
        <v>1680</v>
      </c>
      <c r="E99" s="205"/>
      <c r="F99" s="262"/>
      <c r="G99" s="222"/>
      <c r="H99" s="202"/>
      <c r="I99" s="203"/>
      <c r="J99" s="5"/>
      <c r="K99" s="182"/>
      <c r="L99" s="5"/>
      <c r="M99" s="5"/>
      <c r="N99" s="5"/>
      <c r="O99" s="206">
        <f>IF(O98+1&lt;=MIN('Données projet'!$E$9:$E$18),O98+1,"STOP")</f>
        <v>66</v>
      </c>
      <c r="P99" s="196">
        <f t="shared" si="7"/>
        <v>0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1">
        <f>'Données projet'!A103</f>
        <v>110</v>
      </c>
      <c r="B100" s="192">
        <f>'Données projet'!D103</f>
        <v>39</v>
      </c>
      <c r="C100" s="203">
        <v>50</v>
      </c>
      <c r="D100" s="190">
        <f t="shared" si="6"/>
        <v>1950</v>
      </c>
      <c r="E100" s="205"/>
      <c r="F100" s="262"/>
      <c r="G100" s="222"/>
      <c r="H100" s="202"/>
      <c r="I100" s="203"/>
      <c r="J100" s="5"/>
      <c r="K100" s="182"/>
      <c r="L100" s="5"/>
      <c r="M100" s="5"/>
      <c r="N100" s="5"/>
      <c r="O100" s="206">
        <f>IF(O99+1&lt;=MIN('Données projet'!$E$9:$E$18),O99+1,"STOP")</f>
        <v>67</v>
      </c>
      <c r="P100" s="196">
        <f t="shared" si="7"/>
        <v>0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1">
        <f>'Données projet'!A104</f>
        <v>120</v>
      </c>
      <c r="B101" s="192">
        <f>'Données projet'!D104</f>
        <v>35</v>
      </c>
      <c r="C101" s="203">
        <v>60</v>
      </c>
      <c r="D101" s="190">
        <f t="shared" si="6"/>
        <v>2100</v>
      </c>
      <c r="E101" s="205"/>
      <c r="F101" s="262"/>
      <c r="G101" s="222"/>
      <c r="H101" s="202"/>
      <c r="I101" s="203"/>
      <c r="J101" s="5"/>
      <c r="K101" s="182"/>
      <c r="L101" s="5"/>
      <c r="M101" s="5"/>
      <c r="N101" s="5"/>
      <c r="O101" s="206">
        <f>IF(O100+1&lt;=MIN('Données projet'!$E$9:$E$18),O100+1,"STOP")</f>
        <v>68</v>
      </c>
      <c r="P101" s="196">
        <f t="shared" si="7"/>
        <v>0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1">
        <f>'Données projet'!A105</f>
        <v>130</v>
      </c>
      <c r="B102" s="192">
        <f>'Données projet'!D105</f>
        <v>31</v>
      </c>
      <c r="C102" s="203">
        <v>70</v>
      </c>
      <c r="D102" s="190">
        <f t="shared" si="6"/>
        <v>2170</v>
      </c>
      <c r="E102" s="205"/>
      <c r="F102" s="262"/>
      <c r="G102" s="222"/>
      <c r="H102" s="202"/>
      <c r="I102" s="203"/>
      <c r="J102" s="5"/>
      <c r="K102" s="182"/>
      <c r="L102" s="5"/>
      <c r="M102" s="5"/>
      <c r="N102" s="5"/>
      <c r="O102" s="206">
        <f>IF(O101+1&lt;=MIN('Données projet'!$E$9:$E$18),O101+1,"STOP")</f>
        <v>69</v>
      </c>
      <c r="P102" s="196">
        <f t="shared" si="7"/>
        <v>0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1">
        <f>'Données projet'!A106</f>
        <v>140</v>
      </c>
      <c r="B103" s="192">
        <f>'Données projet'!D106</f>
        <v>27</v>
      </c>
      <c r="C103" s="203">
        <v>80</v>
      </c>
      <c r="D103" s="190">
        <f t="shared" si="6"/>
        <v>2160</v>
      </c>
      <c r="E103" s="205"/>
      <c r="F103" s="262"/>
      <c r="G103" s="222"/>
      <c r="H103" s="202"/>
      <c r="I103" s="203"/>
      <c r="J103" s="5"/>
      <c r="K103" s="182"/>
      <c r="L103" s="5"/>
      <c r="M103" s="5"/>
      <c r="N103" s="5"/>
      <c r="O103" s="206" t="str">
        <f>IF(O102+1&lt;=MIN('Données projet'!$E$9:$E$18),O102+1,"STOP")</f>
        <v>STOP</v>
      </c>
      <c r="P103" s="196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1">
        <f>'Données projet'!A107</f>
        <v>150</v>
      </c>
      <c r="B104" s="192">
        <f>'Données projet'!D107</f>
        <v>293</v>
      </c>
      <c r="C104" s="208">
        <v>200</v>
      </c>
      <c r="D104" s="190">
        <f t="shared" si="6"/>
        <v>58600</v>
      </c>
      <c r="E104" s="205"/>
      <c r="F104" s="262"/>
      <c r="G104" s="222"/>
      <c r="H104" s="202"/>
      <c r="I104" s="203"/>
      <c r="J104" s="5"/>
      <c r="K104" s="182"/>
      <c r="L104" s="5"/>
      <c r="M104" s="5"/>
      <c r="N104" s="5"/>
      <c r="O104" s="206" t="e">
        <f>IF(O103+1&lt;=MIN('Données projet'!$E$9:$E$18),O103+1,"STOP")</f>
        <v>#VALUE!</v>
      </c>
      <c r="P104" s="196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0"/>
      <c r="G105" s="222"/>
      <c r="H105" s="202"/>
      <c r="I105" s="203"/>
      <c r="J105" s="5"/>
      <c r="K105" s="182"/>
      <c r="L105" s="5"/>
      <c r="M105" s="5"/>
      <c r="N105" s="5"/>
      <c r="O105" s="206" t="e">
        <f>IF(O104+1&lt;=MIN('Données projet'!$E$9:$E$18),O104+1,"STOP")</f>
        <v>#VALUE!</v>
      </c>
      <c r="P105" s="196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0"/>
      <c r="G106" s="222"/>
      <c r="H106" s="202"/>
      <c r="I106" s="203"/>
      <c r="J106" s="5"/>
      <c r="K106" s="182"/>
      <c r="L106" s="5"/>
      <c r="M106" s="5"/>
      <c r="N106" s="5"/>
      <c r="O106" s="206" t="e">
        <f>IF(O105+1&lt;=MIN('Données projet'!$E$9:$E$18),O105+1,"STOP")</f>
        <v>#VALUE!</v>
      </c>
      <c r="P106" s="196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5" t="str">
        <f>IF('Données projet'!B12="","",'Données projet'!B12)</f>
        <v>Châtaignier</v>
      </c>
      <c r="C107" s="5"/>
      <c r="D107" s="5"/>
      <c r="E107" s="5"/>
      <c r="F107" s="260"/>
      <c r="G107" s="222"/>
      <c r="H107" s="202"/>
      <c r="I107" s="203"/>
      <c r="J107" s="5"/>
      <c r="K107" s="182"/>
      <c r="L107" s="5"/>
      <c r="M107" s="5"/>
      <c r="N107" s="5"/>
      <c r="O107" s="206" t="e">
        <f>IF(O106+1&lt;=MIN('Données projet'!$E$9:$E$18),O106+1,"STOP")</f>
        <v>#VALUE!</v>
      </c>
      <c r="P107" s="196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0"/>
      <c r="G108" s="222"/>
      <c r="H108" s="202"/>
      <c r="I108" s="203"/>
      <c r="J108" s="5"/>
      <c r="K108" s="182"/>
      <c r="L108" s="5"/>
      <c r="M108" s="5"/>
      <c r="N108" s="5"/>
      <c r="O108" s="206" t="e">
        <f>IF(O107+1&lt;=MIN('Données projet'!$E$9:$E$18),O107+1,"STOP")</f>
        <v>#VALUE!</v>
      </c>
      <c r="P108" s="196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2"/>
      <c r="I109" s="203"/>
      <c r="J109" s="5"/>
      <c r="K109" s="182"/>
      <c r="L109" s="5"/>
      <c r="M109" s="5"/>
      <c r="N109" s="5"/>
      <c r="O109" s="206" t="e">
        <f>IF(O108+1&lt;=MIN('Données projet'!$E$9:$E$18),O108+1,"STOP")</f>
        <v>#VALUE!</v>
      </c>
      <c r="P109" s="196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09">
        <v>0</v>
      </c>
      <c r="B110" s="212" t="s">
        <v>132</v>
      </c>
      <c r="C110" s="211" t="s">
        <v>132</v>
      </c>
      <c r="D110" s="210" t="s">
        <v>132</v>
      </c>
      <c r="E110" s="205"/>
      <c r="F110" s="261"/>
      <c r="G110" s="222"/>
      <c r="H110" s="202"/>
      <c r="I110" s="203"/>
      <c r="J110" s="5"/>
      <c r="K110" s="182"/>
      <c r="L110" s="5"/>
      <c r="M110" s="5"/>
      <c r="N110" s="5"/>
      <c r="O110" s="206" t="e">
        <f>IF(O109+1&lt;=MIN('Données projet'!$E$9:$E$18),O109+1,"STOP")</f>
        <v>#VALUE!</v>
      </c>
      <c r="P110" s="196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09">
        <v>1</v>
      </c>
      <c r="B111" s="212" t="s">
        <v>132</v>
      </c>
      <c r="C111" s="211" t="s">
        <v>132</v>
      </c>
      <c r="D111" s="210" t="s">
        <v>132</v>
      </c>
      <c r="E111" s="205"/>
      <c r="F111" s="261"/>
      <c r="G111" s="220"/>
      <c r="H111" s="202"/>
      <c r="I111" s="203"/>
      <c r="J111" s="5"/>
      <c r="K111" s="182"/>
      <c r="L111" s="5"/>
      <c r="M111" s="5"/>
      <c r="N111" s="5"/>
      <c r="O111" s="206" t="e">
        <f>IF(O110+1&lt;=MIN('Données projet'!$E$9:$E$18),O110+1,"STOP")</f>
        <v>#VALUE!</v>
      </c>
      <c r="P111" s="196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09">
        <v>2</v>
      </c>
      <c r="B112" s="212" t="s">
        <v>132</v>
      </c>
      <c r="C112" s="211" t="s">
        <v>132</v>
      </c>
      <c r="D112" s="210" t="s">
        <v>132</v>
      </c>
      <c r="E112" s="205"/>
      <c r="F112" s="261"/>
      <c r="G112" s="220"/>
      <c r="H112" s="202"/>
      <c r="I112" s="203"/>
      <c r="J112" s="5"/>
      <c r="K112" s="182"/>
      <c r="L112" s="5"/>
      <c r="M112" s="5"/>
      <c r="N112" s="5"/>
      <c r="O112" s="206" t="e">
        <f>IF(O111+1&lt;=MIN('Données projet'!$E$9:$E$18),O111+1,"STOP")</f>
        <v>#VALUE!</v>
      </c>
      <c r="P112" s="196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09">
        <v>3</v>
      </c>
      <c r="B113" s="212" t="s">
        <v>132</v>
      </c>
      <c r="C113" s="211" t="s">
        <v>132</v>
      </c>
      <c r="D113" s="210" t="s">
        <v>132</v>
      </c>
      <c r="E113" s="205"/>
      <c r="F113" s="261"/>
      <c r="G113" s="220"/>
      <c r="H113" s="202"/>
      <c r="I113" s="203"/>
      <c r="J113" s="5"/>
      <c r="K113" s="182"/>
      <c r="L113" s="5"/>
      <c r="M113" s="5"/>
      <c r="N113" s="5"/>
      <c r="O113" s="206" t="e">
        <f>IF(O112+1&lt;=MIN('Données projet'!$E$9:$E$18),O112+1,"STOP")</f>
        <v>#VALUE!</v>
      </c>
      <c r="P113" s="196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09">
        <v>4</v>
      </c>
      <c r="B114" s="212" t="s">
        <v>132</v>
      </c>
      <c r="C114" s="211" t="s">
        <v>132</v>
      </c>
      <c r="D114" s="210" t="s">
        <v>132</v>
      </c>
      <c r="E114" s="205"/>
      <c r="F114" s="261"/>
      <c r="G114" s="220"/>
      <c r="H114" s="202"/>
      <c r="I114" s="203"/>
      <c r="J114" s="5"/>
      <c r="K114" s="182"/>
      <c r="L114" s="5"/>
      <c r="M114" s="5"/>
      <c r="N114" s="5"/>
      <c r="O114" s="206" t="e">
        <f>IF(O113+1&lt;=MIN('Données projet'!$E$9:$E$18),O113+1,"STOP")</f>
        <v>#VALUE!</v>
      </c>
      <c r="P114" s="196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09">
        <v>5</v>
      </c>
      <c r="B115" s="212" t="s">
        <v>132</v>
      </c>
      <c r="C115" s="211" t="s">
        <v>132</v>
      </c>
      <c r="D115" s="210" t="s">
        <v>132</v>
      </c>
      <c r="E115" s="205"/>
      <c r="F115" s="261"/>
      <c r="G115" s="221"/>
      <c r="H115" s="202"/>
      <c r="I115" s="203"/>
      <c r="J115" s="5"/>
      <c r="K115" s="182"/>
      <c r="L115" s="5"/>
      <c r="M115" s="5"/>
      <c r="N115" s="5"/>
      <c r="O115" s="206" t="e">
        <f>IF(O114+1&lt;=MIN('Données projet'!$E$9:$E$18),O114+1,"STOP")</f>
        <v>#VALUE!</v>
      </c>
      <c r="P115" s="196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1">
        <f>'Données projet'!A114</f>
        <v>15</v>
      </c>
      <c r="B116" s="192">
        <f>'Données projet'!D114</f>
        <v>0</v>
      </c>
      <c r="C116" s="203"/>
      <c r="D116" s="190">
        <f>B116*C116</f>
        <v>0</v>
      </c>
      <c r="E116" s="205"/>
      <c r="F116" s="262"/>
      <c r="G116" s="221"/>
      <c r="H116" s="202"/>
      <c r="I116" s="203"/>
      <c r="J116" s="5"/>
      <c r="K116" s="182"/>
      <c r="L116" s="5"/>
      <c r="M116" s="5"/>
      <c r="N116" s="5"/>
      <c r="O116" s="206" t="e">
        <f>IF(O115+1&lt;=MIN('Données projet'!$E$9:$E$18),O115+1,"STOP")</f>
        <v>#VALUE!</v>
      </c>
      <c r="P116" s="196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1">
        <f>'Données projet'!A115</f>
        <v>20</v>
      </c>
      <c r="B117" s="192">
        <f>'Données projet'!D115</f>
        <v>43</v>
      </c>
      <c r="C117" s="203">
        <v>10</v>
      </c>
      <c r="D117" s="190">
        <f t="shared" ref="D117:D135" si="8">B117*C117</f>
        <v>430</v>
      </c>
      <c r="E117" s="205"/>
      <c r="F117" s="262"/>
      <c r="G117" s="221"/>
      <c r="H117" s="202"/>
      <c r="I117" s="203"/>
      <c r="J117" s="5"/>
      <c r="K117" s="182"/>
      <c r="L117" s="5"/>
      <c r="M117" s="5"/>
      <c r="N117" s="5"/>
      <c r="O117" s="206" t="e">
        <f>IF(O116+1&lt;=MIN('Données projet'!$E$9:$E$18),O116+1,"STOP")</f>
        <v>#VALUE!</v>
      </c>
      <c r="P117" s="196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1">
        <f>'Données projet'!A116</f>
        <v>25</v>
      </c>
      <c r="B118" s="192">
        <f>'Données projet'!D116</f>
        <v>0</v>
      </c>
      <c r="C118" s="203"/>
      <c r="D118" s="190">
        <f t="shared" si="8"/>
        <v>0</v>
      </c>
      <c r="E118" s="205"/>
      <c r="F118" s="262"/>
      <c r="G118" s="221"/>
      <c r="H118" s="202"/>
      <c r="I118" s="203"/>
      <c r="J118" s="5"/>
      <c r="K118" s="182"/>
      <c r="L118" s="5"/>
      <c r="M118" s="5"/>
      <c r="N118" s="5"/>
      <c r="O118" s="206" t="e">
        <f>IF(O117+1&lt;=MIN('Données projet'!$E$9:$E$18),O117+1,"STOP")</f>
        <v>#VALUE!</v>
      </c>
      <c r="P118" s="196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1">
        <f>'Données projet'!A117</f>
        <v>30</v>
      </c>
      <c r="B119" s="192">
        <f>'Données projet'!D117</f>
        <v>56</v>
      </c>
      <c r="C119" s="203">
        <v>15</v>
      </c>
      <c r="D119" s="190">
        <f t="shared" si="8"/>
        <v>840</v>
      </c>
      <c r="E119" s="205"/>
      <c r="F119" s="262"/>
      <c r="G119" s="221"/>
      <c r="H119" s="202"/>
      <c r="I119" s="203"/>
      <c r="J119" s="5"/>
      <c r="K119" s="182"/>
      <c r="L119" s="5"/>
      <c r="M119" s="5"/>
      <c r="N119" s="5"/>
      <c r="O119" s="206" t="e">
        <f>IF(O118+1&lt;=MIN('Données projet'!$E$9:$E$18),O118+1,"STOP")</f>
        <v>#VALUE!</v>
      </c>
      <c r="P119" s="196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1">
        <f>'Données projet'!A118</f>
        <v>35</v>
      </c>
      <c r="B120" s="192">
        <f>'Données projet'!D118</f>
        <v>0</v>
      </c>
      <c r="C120" s="203"/>
      <c r="D120" s="190">
        <f t="shared" si="8"/>
        <v>0</v>
      </c>
      <c r="E120" s="205"/>
      <c r="F120" s="262"/>
      <c r="G120" s="221"/>
      <c r="H120" s="202"/>
      <c r="I120" s="203"/>
      <c r="J120" s="5"/>
      <c r="K120" s="182"/>
      <c r="L120" s="5"/>
      <c r="M120" s="5"/>
      <c r="N120" s="5"/>
      <c r="O120" s="206" t="e">
        <f>IF(O119+1&lt;=MIN('Données projet'!$E$9:$E$18),O119+1,"STOP")</f>
        <v>#VALUE!</v>
      </c>
      <c r="P120" s="196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1">
        <f>'Données projet'!A119</f>
        <v>40</v>
      </c>
      <c r="B121" s="192">
        <f>'Données projet'!D119</f>
        <v>56</v>
      </c>
      <c r="C121" s="203">
        <v>20</v>
      </c>
      <c r="D121" s="190">
        <f t="shared" si="8"/>
        <v>1120</v>
      </c>
      <c r="E121" s="205"/>
      <c r="F121" s="262"/>
      <c r="G121" s="221"/>
      <c r="H121" s="202"/>
      <c r="I121" s="203"/>
      <c r="J121" s="5"/>
      <c r="K121" s="182"/>
      <c r="L121" s="5"/>
      <c r="M121" s="5"/>
      <c r="N121" s="5"/>
      <c r="O121" s="206" t="e">
        <f>IF(O120+1&lt;=MIN('Données projet'!$E$9:$E$18),O120+1,"STOP")</f>
        <v>#VALUE!</v>
      </c>
      <c r="P121" s="196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1">
        <f>'Données projet'!A120</f>
        <v>45</v>
      </c>
      <c r="B122" s="192">
        <f>'Données projet'!D120</f>
        <v>0</v>
      </c>
      <c r="C122" s="203"/>
      <c r="D122" s="190">
        <f t="shared" si="8"/>
        <v>0</v>
      </c>
      <c r="E122" s="205"/>
      <c r="F122" s="262"/>
      <c r="G122" s="222"/>
      <c r="H122" s="202"/>
      <c r="I122" s="203"/>
      <c r="J122" s="5"/>
      <c r="K122" s="182"/>
      <c r="L122" s="5"/>
      <c r="M122" s="5"/>
      <c r="N122" s="5"/>
      <c r="O122" s="206" t="e">
        <f>IF(O121+1&lt;=MIN('Données projet'!$E$9:$E$18),O121+1,"STOP")</f>
        <v>#VALUE!</v>
      </c>
      <c r="P122" s="196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1">
        <f>'Données projet'!A121</f>
        <v>50</v>
      </c>
      <c r="B123" s="192">
        <f>'Données projet'!D121</f>
        <v>39</v>
      </c>
      <c r="C123" s="203">
        <v>25</v>
      </c>
      <c r="D123" s="190">
        <f t="shared" si="8"/>
        <v>975</v>
      </c>
      <c r="E123" s="205"/>
      <c r="F123" s="262"/>
      <c r="G123" s="222"/>
      <c r="H123" s="202"/>
      <c r="I123" s="203"/>
      <c r="J123" s="5"/>
      <c r="K123" s="182"/>
      <c r="L123" s="5"/>
      <c r="M123" s="5"/>
      <c r="N123" s="5"/>
      <c r="O123" s="206" t="e">
        <f>IF(O122+1&lt;=MIN('Données projet'!$E$9:$E$18),O122+1,"STOP")</f>
        <v>#VALUE!</v>
      </c>
      <c r="P123" s="196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1">
        <f>'Données projet'!A122</f>
        <v>55</v>
      </c>
      <c r="B124" s="192">
        <f>'Données projet'!D122</f>
        <v>0</v>
      </c>
      <c r="C124" s="203"/>
      <c r="D124" s="190">
        <f t="shared" si="8"/>
        <v>0</v>
      </c>
      <c r="E124" s="205"/>
      <c r="F124" s="262"/>
      <c r="G124" s="222"/>
      <c r="H124" s="202"/>
      <c r="I124" s="203"/>
      <c r="J124" s="5"/>
      <c r="K124" s="182"/>
      <c r="L124" s="5"/>
      <c r="M124" s="5"/>
      <c r="N124" s="5"/>
      <c r="O124" s="206" t="e">
        <f>IF(O123+1&lt;=MIN('Données projet'!$E$9:$E$18),O123+1,"STOP")</f>
        <v>#VALUE!</v>
      </c>
      <c r="P124" s="196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1">
        <f>'Données projet'!A123</f>
        <v>60</v>
      </c>
      <c r="B125" s="192">
        <f>'Données projet'!D123</f>
        <v>25</v>
      </c>
      <c r="C125" s="203">
        <v>30</v>
      </c>
      <c r="D125" s="190">
        <f t="shared" si="8"/>
        <v>750</v>
      </c>
      <c r="E125" s="205"/>
      <c r="F125" s="262"/>
      <c r="G125" s="222"/>
      <c r="H125" s="202"/>
      <c r="I125" s="203"/>
      <c r="J125" s="5"/>
      <c r="K125" s="182"/>
      <c r="L125" s="5"/>
      <c r="M125" s="5"/>
      <c r="N125" s="5"/>
      <c r="O125" s="206" t="e">
        <f>IF(O124+1&lt;=MIN('Données projet'!$E$9:$E$18),O124+1,"STOP")</f>
        <v>#VALUE!</v>
      </c>
      <c r="P125" s="196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1">
        <f>'Données projet'!A124</f>
        <v>65</v>
      </c>
      <c r="B126" s="192">
        <f>'Données projet'!D124</f>
        <v>0</v>
      </c>
      <c r="C126" s="203"/>
      <c r="D126" s="190">
        <f t="shared" si="8"/>
        <v>0</v>
      </c>
      <c r="E126" s="205"/>
      <c r="F126" s="262"/>
      <c r="G126" s="222"/>
      <c r="H126" s="202"/>
      <c r="I126" s="203"/>
      <c r="J126" s="5"/>
      <c r="K126" s="182"/>
      <c r="L126" s="5"/>
      <c r="M126" s="5"/>
      <c r="N126" s="5"/>
      <c r="O126" s="206" t="e">
        <f>IF(O125+1&lt;=MIN('Données projet'!$E$9:$E$18),O125+1,"STOP")</f>
        <v>#VALUE!</v>
      </c>
      <c r="P126" s="196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1">
        <f>'Données projet'!A125</f>
        <v>70</v>
      </c>
      <c r="B127" s="192">
        <f>'Données projet'!D125</f>
        <v>21</v>
      </c>
      <c r="C127" s="203">
        <v>40</v>
      </c>
      <c r="D127" s="190">
        <f t="shared" si="8"/>
        <v>840</v>
      </c>
      <c r="E127" s="205"/>
      <c r="F127" s="262"/>
      <c r="G127" s="222"/>
      <c r="H127" s="202"/>
      <c r="I127" s="203"/>
      <c r="J127" s="5"/>
      <c r="K127" s="182"/>
      <c r="L127" s="5"/>
      <c r="M127" s="5"/>
      <c r="N127" s="5"/>
      <c r="O127" s="206" t="e">
        <f>IF(O126+1&lt;=MIN('Données projet'!$E$9:$E$18),O126+1,"STOP")</f>
        <v>#VALUE!</v>
      </c>
      <c r="P127" s="196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1">
        <f>'Données projet'!A126</f>
        <v>75</v>
      </c>
      <c r="B128" s="192">
        <f>'Données projet'!D126</f>
        <v>0</v>
      </c>
      <c r="C128" s="203"/>
      <c r="D128" s="190">
        <f t="shared" si="8"/>
        <v>0</v>
      </c>
      <c r="E128" s="205"/>
      <c r="F128" s="262"/>
      <c r="G128" s="222"/>
      <c r="H128" s="202"/>
      <c r="I128" s="203"/>
      <c r="J128" s="5"/>
      <c r="K128" s="182"/>
      <c r="L128" s="5"/>
      <c r="M128" s="5"/>
      <c r="N128" s="5"/>
      <c r="O128" s="206" t="e">
        <f>IF(O127+1&lt;=MIN('Données projet'!$E$9:$E$18),O127+1,"STOP")</f>
        <v>#VALUE!</v>
      </c>
      <c r="P128" s="196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1">
        <f>'Données projet'!A127</f>
        <v>80</v>
      </c>
      <c r="B129" s="192">
        <f>'Données projet'!D127</f>
        <v>285</v>
      </c>
      <c r="C129" s="203">
        <v>80</v>
      </c>
      <c r="D129" s="190">
        <f t="shared" si="8"/>
        <v>22800</v>
      </c>
      <c r="E129" s="205"/>
      <c r="F129" s="262"/>
      <c r="G129" s="222"/>
      <c r="H129" s="202"/>
      <c r="I129" s="203"/>
      <c r="J129" s="5"/>
      <c r="K129" s="182"/>
      <c r="L129" s="5"/>
      <c r="M129" s="5"/>
      <c r="N129" s="5"/>
      <c r="O129" s="206" t="e">
        <f>IF(O128+1&lt;=MIN('Données projet'!$E$9:$E$18),O128+1,"STOP")</f>
        <v>#VALUE!</v>
      </c>
      <c r="P129" s="196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1">
        <f>'Données projet'!A128</f>
        <v>0</v>
      </c>
      <c r="B130" s="192">
        <f>'Données projet'!D128</f>
        <v>0</v>
      </c>
      <c r="C130" s="203"/>
      <c r="D130" s="190">
        <f t="shared" si="8"/>
        <v>0</v>
      </c>
      <c r="E130" s="205"/>
      <c r="F130" s="262"/>
      <c r="G130" s="222"/>
      <c r="H130" s="202"/>
      <c r="I130" s="203"/>
      <c r="J130" s="5"/>
      <c r="K130" s="182"/>
      <c r="L130" s="5"/>
      <c r="M130" s="5"/>
      <c r="N130" s="5"/>
      <c r="O130" s="206" t="e">
        <f>IF(O129+1&lt;=MIN('Données projet'!$E$9:$E$18),O129+1,"STOP")</f>
        <v>#VALUE!</v>
      </c>
      <c r="P130" s="196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1">
        <f>'Données projet'!A129</f>
        <v>0</v>
      </c>
      <c r="B131" s="192">
        <f>'Données projet'!D129</f>
        <v>0</v>
      </c>
      <c r="C131" s="203"/>
      <c r="D131" s="190">
        <f t="shared" si="8"/>
        <v>0</v>
      </c>
      <c r="E131" s="205"/>
      <c r="F131" s="262"/>
      <c r="G131" s="222"/>
      <c r="H131" s="202"/>
      <c r="I131" s="203"/>
      <c r="J131" s="5"/>
      <c r="K131" s="182"/>
      <c r="L131" s="5"/>
      <c r="M131" s="5"/>
      <c r="N131" s="5"/>
      <c r="O131" s="206" t="e">
        <f>IF(O130+1&lt;=MIN('Données projet'!$E$9:$E$18),O130+1,"STOP")</f>
        <v>#VALUE!</v>
      </c>
      <c r="P131" s="196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1">
        <f>'Données projet'!A130</f>
        <v>0</v>
      </c>
      <c r="B132" s="192">
        <f>'Données projet'!D130</f>
        <v>0</v>
      </c>
      <c r="C132" s="203"/>
      <c r="D132" s="190">
        <f t="shared" si="8"/>
        <v>0</v>
      </c>
      <c r="E132" s="205"/>
      <c r="F132" s="262"/>
      <c r="G132" s="222"/>
      <c r="H132" s="202"/>
      <c r="I132" s="203"/>
      <c r="J132" s="5"/>
      <c r="K132" s="182"/>
      <c r="L132" s="5"/>
      <c r="M132" s="5"/>
      <c r="N132" s="5"/>
      <c r="O132" s="206" t="e">
        <f>IF(O131+1&lt;=MIN('Données projet'!$E$9:$E$18),O131+1,"STOP")</f>
        <v>#VALUE!</v>
      </c>
      <c r="P132" s="196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1">
        <f>'Données projet'!A131</f>
        <v>0</v>
      </c>
      <c r="B133" s="192">
        <f>'Données projet'!D131</f>
        <v>0</v>
      </c>
      <c r="C133" s="203"/>
      <c r="D133" s="190">
        <f t="shared" si="8"/>
        <v>0</v>
      </c>
      <c r="E133" s="205"/>
      <c r="F133" s="262"/>
      <c r="G133" s="222"/>
      <c r="H133" s="202"/>
      <c r="I133" s="203"/>
      <c r="J133" s="5"/>
      <c r="K133" s="182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1">
        <f>'Données projet'!A132</f>
        <v>0</v>
      </c>
      <c r="B134" s="192">
        <f>'Données projet'!D132</f>
        <v>0</v>
      </c>
      <c r="C134" s="203"/>
      <c r="D134" s="190">
        <f t="shared" si="8"/>
        <v>0</v>
      </c>
      <c r="E134" s="205"/>
      <c r="F134" s="262"/>
      <c r="G134" s="222"/>
      <c r="H134" s="202"/>
      <c r="I134" s="203"/>
      <c r="J134" s="5"/>
      <c r="K134" s="182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1">
        <f>'Données projet'!A133</f>
        <v>0</v>
      </c>
      <c r="B135" s="192">
        <f>'Données projet'!D133</f>
        <v>0</v>
      </c>
      <c r="C135" s="208"/>
      <c r="D135" s="190">
        <f t="shared" si="8"/>
        <v>0</v>
      </c>
      <c r="E135" s="205"/>
      <c r="F135" s="262"/>
      <c r="G135" s="222"/>
      <c r="H135" s="202"/>
      <c r="I135" s="203"/>
      <c r="J135" s="5"/>
      <c r="K135" s="182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0"/>
      <c r="G136" s="222"/>
      <c r="H136" s="202"/>
      <c r="I136" s="203"/>
      <c r="J136" s="5"/>
      <c r="K136" s="182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0"/>
      <c r="G137" s="222"/>
      <c r="H137" s="202"/>
      <c r="I137" s="203"/>
      <c r="J137" s="5"/>
      <c r="K137" s="182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5" t="str">
        <f>IF('Données projet'!B13="","",'Données projet'!B13)</f>
        <v>Merisier</v>
      </c>
      <c r="C138" s="5"/>
      <c r="D138" s="5"/>
      <c r="E138" s="5"/>
      <c r="F138" s="260"/>
      <c r="G138" s="222"/>
      <c r="H138" s="202"/>
      <c r="I138" s="203"/>
      <c r="J138" s="5"/>
      <c r="K138" s="182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0"/>
      <c r="G139" s="222"/>
      <c r="H139" s="202"/>
      <c r="I139" s="203"/>
      <c r="J139" s="5"/>
      <c r="K139" s="182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2"/>
      <c r="I140" s="203"/>
      <c r="J140" s="5"/>
      <c r="K140" s="182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09">
        <v>0</v>
      </c>
      <c r="B141" s="212" t="s">
        <v>132</v>
      </c>
      <c r="C141" s="211" t="s">
        <v>132</v>
      </c>
      <c r="D141" s="210" t="s">
        <v>132</v>
      </c>
      <c r="E141" s="205"/>
      <c r="F141" s="261"/>
      <c r="G141" s="222"/>
      <c r="H141" s="202"/>
      <c r="I141" s="203"/>
      <c r="J141" s="5"/>
      <c r="K141" s="182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09">
        <v>1</v>
      </c>
      <c r="B142" s="212" t="s">
        <v>132</v>
      </c>
      <c r="C142" s="211" t="s">
        <v>132</v>
      </c>
      <c r="D142" s="210" t="s">
        <v>132</v>
      </c>
      <c r="E142" s="205"/>
      <c r="F142" s="261"/>
      <c r="G142" s="220"/>
      <c r="H142" s="202"/>
      <c r="I142" s="203"/>
      <c r="J142" s="5"/>
      <c r="K142" s="182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09">
        <v>2</v>
      </c>
      <c r="B143" s="212" t="s">
        <v>132</v>
      </c>
      <c r="C143" s="211" t="s">
        <v>132</v>
      </c>
      <c r="D143" s="210" t="s">
        <v>132</v>
      </c>
      <c r="E143" s="205"/>
      <c r="F143" s="261"/>
      <c r="G143" s="220"/>
      <c r="H143" s="202"/>
      <c r="I143" s="203"/>
      <c r="J143" s="5"/>
      <c r="K143" s="182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09">
        <v>3</v>
      </c>
      <c r="B144" s="212" t="s">
        <v>132</v>
      </c>
      <c r="C144" s="211" t="s">
        <v>132</v>
      </c>
      <c r="D144" s="210" t="s">
        <v>132</v>
      </c>
      <c r="E144" s="205"/>
      <c r="F144" s="261"/>
      <c r="G144" s="220"/>
      <c r="H144" s="202"/>
      <c r="I144" s="203"/>
      <c r="J144" s="5"/>
      <c r="K144" s="182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09">
        <v>4</v>
      </c>
      <c r="B145" s="212" t="s">
        <v>132</v>
      </c>
      <c r="C145" s="211" t="s">
        <v>132</v>
      </c>
      <c r="D145" s="210" t="s">
        <v>132</v>
      </c>
      <c r="E145" s="205"/>
      <c r="F145" s="261"/>
      <c r="G145" s="220"/>
      <c r="H145" s="202"/>
      <c r="I145" s="203"/>
      <c r="J145" s="5"/>
      <c r="K145" s="182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09">
        <v>5</v>
      </c>
      <c r="B146" s="212" t="s">
        <v>132</v>
      </c>
      <c r="C146" s="211" t="s">
        <v>132</v>
      </c>
      <c r="D146" s="210" t="s">
        <v>132</v>
      </c>
      <c r="E146" s="205"/>
      <c r="F146" s="261"/>
      <c r="G146" s="221"/>
      <c r="H146" s="202"/>
      <c r="I146" s="203"/>
      <c r="J146" s="5"/>
      <c r="K146" s="182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15</v>
      </c>
      <c r="B147" s="186">
        <f>'Données projet'!D140</f>
        <v>0</v>
      </c>
      <c r="C147" s="203"/>
      <c r="D147" s="193">
        <f>B147*C147</f>
        <v>0</v>
      </c>
      <c r="E147" s="205"/>
      <c r="F147" s="263"/>
      <c r="G147" s="221"/>
      <c r="H147" s="202"/>
      <c r="I147" s="203"/>
      <c r="J147" s="5"/>
      <c r="K147" s="182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20</v>
      </c>
      <c r="B148" s="186">
        <f>'Données projet'!D141</f>
        <v>0</v>
      </c>
      <c r="C148" s="203"/>
      <c r="D148" s="193">
        <f t="shared" ref="D148:D166" si="10">B148*C148</f>
        <v>0</v>
      </c>
      <c r="E148" s="205"/>
      <c r="F148" s="263"/>
      <c r="G148" s="221"/>
      <c r="H148" s="202"/>
      <c r="I148" s="203"/>
      <c r="J148" s="5"/>
      <c r="K148" s="182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25</v>
      </c>
      <c r="B149" s="186">
        <f>'Données projet'!D142</f>
        <v>55</v>
      </c>
      <c r="C149" s="203">
        <v>10</v>
      </c>
      <c r="D149" s="193">
        <f t="shared" si="10"/>
        <v>550</v>
      </c>
      <c r="E149" s="205"/>
      <c r="F149" s="263"/>
      <c r="G149" s="221"/>
      <c r="H149" s="202"/>
      <c r="I149" s="203"/>
      <c r="J149" s="5"/>
      <c r="K149" s="182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31</v>
      </c>
      <c r="B150" s="186">
        <f>'Données projet'!D143</f>
        <v>36</v>
      </c>
      <c r="C150" s="203">
        <v>15</v>
      </c>
      <c r="D150" s="193">
        <f t="shared" si="10"/>
        <v>540</v>
      </c>
      <c r="E150" s="205"/>
      <c r="F150" s="263"/>
      <c r="G150" s="221"/>
      <c r="H150" s="202"/>
      <c r="I150" s="203"/>
      <c r="J150" s="5"/>
      <c r="K150" s="182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37</v>
      </c>
      <c r="B151" s="186">
        <f>'Données projet'!D144</f>
        <v>36</v>
      </c>
      <c r="C151" s="203">
        <v>20</v>
      </c>
      <c r="D151" s="193">
        <f t="shared" si="10"/>
        <v>720</v>
      </c>
      <c r="E151" s="205"/>
      <c r="F151" s="263"/>
      <c r="G151" s="221"/>
      <c r="H151" s="202"/>
      <c r="I151" s="203"/>
      <c r="J151" s="5"/>
      <c r="K151" s="182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44</v>
      </c>
      <c r="B152" s="186">
        <f>'Données projet'!D145</f>
        <v>43</v>
      </c>
      <c r="C152" s="203">
        <v>25</v>
      </c>
      <c r="D152" s="193">
        <f t="shared" si="10"/>
        <v>1075</v>
      </c>
      <c r="E152" s="205"/>
      <c r="F152" s="263"/>
      <c r="G152" s="221"/>
      <c r="H152" s="202"/>
      <c r="I152" s="203"/>
      <c r="J152" s="5"/>
      <c r="K152" s="182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52</v>
      </c>
      <c r="B153" s="186">
        <f>'Données projet'!D146</f>
        <v>48</v>
      </c>
      <c r="C153" s="203">
        <v>30</v>
      </c>
      <c r="D153" s="193">
        <f t="shared" si="10"/>
        <v>1440</v>
      </c>
      <c r="E153" s="205"/>
      <c r="F153" s="263"/>
      <c r="G153" s="217"/>
      <c r="H153" s="202"/>
      <c r="I153" s="203"/>
      <c r="J153" s="5"/>
      <c r="K153" s="182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60</v>
      </c>
      <c r="B154" s="186">
        <f>'Données projet'!D147</f>
        <v>47</v>
      </c>
      <c r="C154" s="203">
        <v>50</v>
      </c>
      <c r="D154" s="193">
        <f t="shared" si="10"/>
        <v>2350</v>
      </c>
      <c r="E154" s="205"/>
      <c r="F154" s="263"/>
      <c r="G154" s="217"/>
      <c r="H154" s="202"/>
      <c r="I154" s="203"/>
      <c r="J154" s="5"/>
      <c r="K154" s="182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69</v>
      </c>
      <c r="B155" s="186">
        <f>'Données projet'!D148</f>
        <v>328</v>
      </c>
      <c r="C155" s="203">
        <v>100</v>
      </c>
      <c r="D155" s="193">
        <f t="shared" si="10"/>
        <v>32800</v>
      </c>
      <c r="E155" s="205"/>
      <c r="F155" s="263"/>
      <c r="G155" s="217"/>
      <c r="H155" s="202"/>
      <c r="I155" s="203"/>
      <c r="J155" s="5"/>
      <c r="K155" s="182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6">
        <f>'Données projet'!D149</f>
        <v>0</v>
      </c>
      <c r="C156" s="203"/>
      <c r="D156" s="193">
        <f t="shared" si="10"/>
        <v>0</v>
      </c>
      <c r="E156" s="205"/>
      <c r="F156" s="263"/>
      <c r="G156" s="217"/>
      <c r="H156" s="202"/>
      <c r="I156" s="203"/>
      <c r="J156" s="5"/>
      <c r="K156" s="182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6">
        <f>'Données projet'!D150</f>
        <v>0</v>
      </c>
      <c r="C157" s="203"/>
      <c r="D157" s="193">
        <f t="shared" si="10"/>
        <v>0</v>
      </c>
      <c r="E157" s="205"/>
      <c r="F157" s="263"/>
      <c r="G157" s="217"/>
      <c r="H157" s="202"/>
      <c r="I157" s="203"/>
      <c r="J157" s="5"/>
      <c r="K157" s="182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6">
        <f>'Données projet'!D151</f>
        <v>0</v>
      </c>
      <c r="C158" s="203"/>
      <c r="D158" s="193">
        <f t="shared" si="10"/>
        <v>0</v>
      </c>
      <c r="E158" s="205"/>
      <c r="F158" s="263"/>
      <c r="G158" s="217"/>
      <c r="H158" s="202"/>
      <c r="I158" s="203"/>
      <c r="J158" s="5"/>
      <c r="K158" s="182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6">
        <f>'Données projet'!D152</f>
        <v>0</v>
      </c>
      <c r="C159" s="203"/>
      <c r="D159" s="193">
        <f t="shared" si="10"/>
        <v>0</v>
      </c>
      <c r="E159" s="205"/>
      <c r="F159" s="263"/>
      <c r="G159" s="217"/>
      <c r="H159" s="202"/>
      <c r="I159" s="203"/>
      <c r="J159" s="5"/>
      <c r="K159" s="182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6">
        <f>'Données projet'!D153</f>
        <v>0</v>
      </c>
      <c r="C160" s="203"/>
      <c r="D160" s="193">
        <f t="shared" si="10"/>
        <v>0</v>
      </c>
      <c r="E160" s="205"/>
      <c r="F160" s="263"/>
      <c r="G160" s="217"/>
      <c r="H160" s="202"/>
      <c r="I160" s="203"/>
      <c r="J160" s="5"/>
      <c r="K160" s="182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6">
        <f>'Données projet'!D154</f>
        <v>0</v>
      </c>
      <c r="C161" s="203"/>
      <c r="D161" s="193">
        <f t="shared" si="10"/>
        <v>0</v>
      </c>
      <c r="E161" s="205"/>
      <c r="F161" s="263"/>
      <c r="G161" s="217"/>
      <c r="H161" s="202"/>
      <c r="I161" s="203"/>
      <c r="J161" s="5"/>
      <c r="K161" s="182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6">
        <f>'Données projet'!D155</f>
        <v>0</v>
      </c>
      <c r="C162" s="203"/>
      <c r="D162" s="193">
        <f t="shared" si="10"/>
        <v>0</v>
      </c>
      <c r="E162" s="205"/>
      <c r="F162" s="263"/>
      <c r="G162" s="217"/>
      <c r="H162" s="202"/>
      <c r="I162" s="203"/>
      <c r="J162" s="5"/>
      <c r="K162" s="182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6">
        <f>'Données projet'!D156</f>
        <v>0</v>
      </c>
      <c r="C163" s="203"/>
      <c r="D163" s="193">
        <f t="shared" si="10"/>
        <v>0</v>
      </c>
      <c r="E163" s="205"/>
      <c r="F163" s="263"/>
      <c r="G163" s="217"/>
      <c r="H163" s="202"/>
      <c r="I163" s="203"/>
      <c r="J163" s="5"/>
      <c r="K163" s="182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6">
        <f>'Données projet'!D157</f>
        <v>0</v>
      </c>
      <c r="C164" s="203"/>
      <c r="D164" s="193">
        <f t="shared" si="10"/>
        <v>0</v>
      </c>
      <c r="E164" s="205"/>
      <c r="F164" s="263"/>
      <c r="G164" s="217"/>
      <c r="H164" s="202"/>
      <c r="I164" s="203"/>
      <c r="J164" s="5"/>
      <c r="K164" s="182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6">
        <f>'Données projet'!D158</f>
        <v>0</v>
      </c>
      <c r="C165" s="203"/>
      <c r="D165" s="193">
        <f t="shared" si="10"/>
        <v>0</v>
      </c>
      <c r="E165" s="205"/>
      <c r="F165" s="263"/>
      <c r="G165" s="217"/>
      <c r="H165" s="202"/>
      <c r="I165" s="203"/>
      <c r="J165" s="5"/>
      <c r="K165" s="182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6">
        <f>'Données projet'!D159</f>
        <v>0</v>
      </c>
      <c r="C166" s="203"/>
      <c r="D166" s="193">
        <f t="shared" si="10"/>
        <v>0</v>
      </c>
      <c r="E166" s="205"/>
      <c r="F166" s="263"/>
      <c r="G166" s="217"/>
      <c r="H166" s="202"/>
      <c r="I166" s="203"/>
      <c r="J166" s="5"/>
      <c r="K166" s="182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0"/>
      <c r="G167" s="217"/>
      <c r="H167" s="202"/>
      <c r="I167" s="203"/>
      <c r="J167" s="5"/>
      <c r="K167" s="182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0"/>
      <c r="G168" s="217"/>
      <c r="H168" s="202"/>
      <c r="I168" s="203"/>
      <c r="J168" s="5"/>
      <c r="K168" s="182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5" t="str">
        <f>IF('Données projet'!B14="","",'Données projet'!B14)</f>
        <v>Erable plane</v>
      </c>
      <c r="C169" s="5"/>
      <c r="D169" s="5"/>
      <c r="E169" s="5"/>
      <c r="F169" s="260"/>
      <c r="G169" s="217"/>
      <c r="H169" s="202"/>
      <c r="I169" s="203"/>
      <c r="J169" s="5"/>
      <c r="K169" s="182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0"/>
      <c r="G170" s="217"/>
      <c r="H170" s="202"/>
      <c r="I170" s="203"/>
      <c r="J170" s="5"/>
      <c r="K170" s="182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2"/>
      <c r="I171" s="203"/>
      <c r="J171" s="5"/>
      <c r="K171" s="182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09">
        <v>0</v>
      </c>
      <c r="B172" s="212" t="s">
        <v>132</v>
      </c>
      <c r="C172" s="211" t="s">
        <v>132</v>
      </c>
      <c r="D172" s="210" t="s">
        <v>132</v>
      </c>
      <c r="E172" s="205"/>
      <c r="F172" s="261"/>
      <c r="G172" s="217"/>
      <c r="H172" s="202"/>
      <c r="I172" s="203"/>
      <c r="J172" s="5"/>
      <c r="K172" s="182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09">
        <v>1</v>
      </c>
      <c r="B173" s="212" t="s">
        <v>132</v>
      </c>
      <c r="C173" s="211" t="s">
        <v>132</v>
      </c>
      <c r="D173" s="210" t="s">
        <v>132</v>
      </c>
      <c r="E173" s="205"/>
      <c r="F173" s="261"/>
      <c r="G173" s="220"/>
      <c r="H173" s="202"/>
      <c r="I173" s="203"/>
      <c r="J173" s="5"/>
      <c r="K173" s="182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09">
        <v>2</v>
      </c>
      <c r="B174" s="212" t="s">
        <v>132</v>
      </c>
      <c r="C174" s="211" t="s">
        <v>132</v>
      </c>
      <c r="D174" s="210" t="s">
        <v>132</v>
      </c>
      <c r="E174" s="205"/>
      <c r="F174" s="261"/>
      <c r="G174" s="220"/>
      <c r="H174" s="202"/>
      <c r="I174" s="203"/>
      <c r="J174" s="5"/>
      <c r="K174" s="182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09">
        <v>3</v>
      </c>
      <c r="B175" s="212" t="s">
        <v>132</v>
      </c>
      <c r="C175" s="211" t="s">
        <v>132</v>
      </c>
      <c r="D175" s="210" t="s">
        <v>132</v>
      </c>
      <c r="E175" s="205"/>
      <c r="F175" s="261"/>
      <c r="G175" s="220"/>
      <c r="H175" s="202"/>
      <c r="I175" s="203"/>
      <c r="J175" s="5"/>
      <c r="K175" s="182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09">
        <v>4</v>
      </c>
      <c r="B176" s="212" t="s">
        <v>132</v>
      </c>
      <c r="C176" s="211" t="s">
        <v>132</v>
      </c>
      <c r="D176" s="210" t="s">
        <v>132</v>
      </c>
      <c r="E176" s="205"/>
      <c r="F176" s="261"/>
      <c r="G176" s="220"/>
      <c r="H176" s="202"/>
      <c r="I176" s="203"/>
      <c r="J176" s="5"/>
      <c r="K176" s="182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09">
        <v>5</v>
      </c>
      <c r="B177" s="212" t="s">
        <v>132</v>
      </c>
      <c r="C177" s="211" t="s">
        <v>132</v>
      </c>
      <c r="D177" s="210" t="s">
        <v>132</v>
      </c>
      <c r="E177" s="205"/>
      <c r="F177" s="261"/>
      <c r="G177" s="221"/>
      <c r="H177" s="202"/>
      <c r="I177" s="203"/>
      <c r="J177" s="5"/>
      <c r="K177" s="182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1">
        <f>'Données projet'!A166</f>
        <v>15</v>
      </c>
      <c r="B178" s="192">
        <f>'Données projet'!D166</f>
        <v>0</v>
      </c>
      <c r="C178" s="203"/>
      <c r="D178" s="190">
        <f>B178*C178</f>
        <v>0</v>
      </c>
      <c r="E178" s="205"/>
      <c r="F178" s="262"/>
      <c r="G178" s="221"/>
      <c r="H178" s="202"/>
      <c r="I178" s="203"/>
      <c r="J178" s="5"/>
      <c r="K178" s="182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1">
        <f>'Données projet'!A167</f>
        <v>20</v>
      </c>
      <c r="B179" s="192">
        <f>'Données projet'!D167</f>
        <v>43</v>
      </c>
      <c r="C179" s="203">
        <v>10</v>
      </c>
      <c r="D179" s="190">
        <f t="shared" ref="D179:D197" si="11">B179*C179</f>
        <v>430</v>
      </c>
      <c r="E179" s="205"/>
      <c r="F179" s="262"/>
      <c r="G179" s="221"/>
      <c r="H179" s="202"/>
      <c r="I179" s="203"/>
      <c r="J179" s="5"/>
      <c r="K179" s="182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1">
        <f>'Données projet'!A168</f>
        <v>25</v>
      </c>
      <c r="B180" s="192">
        <f>'Données projet'!D168</f>
        <v>0</v>
      </c>
      <c r="C180" s="203"/>
      <c r="D180" s="190">
        <f t="shared" si="11"/>
        <v>0</v>
      </c>
      <c r="E180" s="205"/>
      <c r="F180" s="262"/>
      <c r="G180" s="221"/>
      <c r="H180" s="202"/>
      <c r="I180" s="203"/>
      <c r="J180" s="5"/>
      <c r="K180" s="182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1">
        <f>'Données projet'!A169</f>
        <v>30</v>
      </c>
      <c r="B181" s="192">
        <f>'Données projet'!D169</f>
        <v>56</v>
      </c>
      <c r="C181" s="203">
        <v>15</v>
      </c>
      <c r="D181" s="190">
        <f t="shared" si="11"/>
        <v>840</v>
      </c>
      <c r="E181" s="205"/>
      <c r="F181" s="262"/>
      <c r="G181" s="221"/>
      <c r="H181" s="202"/>
      <c r="I181" s="203"/>
      <c r="J181" s="5"/>
      <c r="K181" s="182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1">
        <f>'Données projet'!A170</f>
        <v>35</v>
      </c>
      <c r="B182" s="192">
        <f>'Données projet'!D170</f>
        <v>0</v>
      </c>
      <c r="C182" s="203"/>
      <c r="D182" s="190">
        <f t="shared" si="11"/>
        <v>0</v>
      </c>
      <c r="E182" s="205"/>
      <c r="F182" s="262"/>
      <c r="G182" s="221"/>
      <c r="H182" s="202"/>
      <c r="I182" s="203"/>
      <c r="J182" s="5"/>
      <c r="K182" s="182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1">
        <f>'Données projet'!A171</f>
        <v>40</v>
      </c>
      <c r="B183" s="192">
        <f>'Données projet'!D171</f>
        <v>56</v>
      </c>
      <c r="C183" s="203">
        <v>20</v>
      </c>
      <c r="D183" s="190">
        <f t="shared" si="11"/>
        <v>1120</v>
      </c>
      <c r="E183" s="205"/>
      <c r="F183" s="262"/>
      <c r="G183" s="221"/>
      <c r="H183" s="202"/>
      <c r="I183" s="203"/>
      <c r="J183" s="5"/>
      <c r="K183" s="182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1">
        <f>'Données projet'!A172</f>
        <v>45</v>
      </c>
      <c r="B184" s="192">
        <f>'Données projet'!D172</f>
        <v>0</v>
      </c>
      <c r="C184" s="203"/>
      <c r="D184" s="190">
        <f t="shared" si="11"/>
        <v>0</v>
      </c>
      <c r="E184" s="205"/>
      <c r="F184" s="262"/>
      <c r="G184" s="222"/>
      <c r="H184" s="202"/>
      <c r="I184" s="203"/>
      <c r="J184" s="5"/>
      <c r="K184" s="182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1">
        <f>'Données projet'!A173</f>
        <v>50</v>
      </c>
      <c r="B185" s="192">
        <f>'Données projet'!D173</f>
        <v>39</v>
      </c>
      <c r="C185" s="203">
        <v>25</v>
      </c>
      <c r="D185" s="190">
        <f t="shared" si="11"/>
        <v>975</v>
      </c>
      <c r="E185" s="205"/>
      <c r="F185" s="262"/>
      <c r="G185" s="222"/>
      <c r="H185" s="202"/>
      <c r="I185" s="203"/>
      <c r="J185" s="5"/>
      <c r="K185" s="182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1">
        <f>'Données projet'!A174</f>
        <v>55</v>
      </c>
      <c r="B186" s="192">
        <f>'Données projet'!D174</f>
        <v>0</v>
      </c>
      <c r="C186" s="203"/>
      <c r="D186" s="190">
        <f t="shared" si="11"/>
        <v>0</v>
      </c>
      <c r="E186" s="205"/>
      <c r="F186" s="262"/>
      <c r="G186" s="222"/>
      <c r="H186" s="202"/>
      <c r="I186" s="203"/>
      <c r="J186" s="5"/>
      <c r="K186" s="182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1">
        <f>'Données projet'!A175</f>
        <v>60</v>
      </c>
      <c r="B187" s="192">
        <f>'Données projet'!D175</f>
        <v>25</v>
      </c>
      <c r="C187" s="203">
        <v>30</v>
      </c>
      <c r="D187" s="190">
        <f t="shared" si="11"/>
        <v>750</v>
      </c>
      <c r="E187" s="205"/>
      <c r="F187" s="262"/>
      <c r="G187" s="222"/>
      <c r="H187" s="202"/>
      <c r="I187" s="203"/>
      <c r="J187" s="5"/>
      <c r="K187" s="182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1">
        <f>'Données projet'!A176</f>
        <v>65</v>
      </c>
      <c r="B188" s="192">
        <f>'Données projet'!D176</f>
        <v>0</v>
      </c>
      <c r="C188" s="203"/>
      <c r="D188" s="190">
        <f t="shared" si="11"/>
        <v>0</v>
      </c>
      <c r="E188" s="205"/>
      <c r="F188" s="262"/>
      <c r="G188" s="222"/>
      <c r="H188" s="202"/>
      <c r="I188" s="203"/>
      <c r="J188" s="5"/>
      <c r="K188" s="182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1">
        <f>'Données projet'!A177</f>
        <v>70</v>
      </c>
      <c r="B189" s="192">
        <f>'Données projet'!D177</f>
        <v>21</v>
      </c>
      <c r="C189" s="203">
        <v>40</v>
      </c>
      <c r="D189" s="190">
        <f t="shared" si="11"/>
        <v>840</v>
      </c>
      <c r="E189" s="205"/>
      <c r="F189" s="262"/>
      <c r="G189" s="222"/>
      <c r="H189" s="202"/>
      <c r="I189" s="203"/>
      <c r="J189" s="5"/>
      <c r="K189" s="182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1">
        <f>'Données projet'!A178</f>
        <v>75</v>
      </c>
      <c r="B190" s="192">
        <f>'Données projet'!D178</f>
        <v>0</v>
      </c>
      <c r="C190" s="203"/>
      <c r="D190" s="190">
        <f t="shared" si="11"/>
        <v>0</v>
      </c>
      <c r="E190" s="205"/>
      <c r="F190" s="262"/>
      <c r="G190" s="222"/>
      <c r="H190" s="202"/>
      <c r="I190" s="203"/>
      <c r="J190" s="5"/>
      <c r="K190" s="182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1">
        <f>'Données projet'!A179</f>
        <v>80</v>
      </c>
      <c r="B191" s="192">
        <f>'Données projet'!D179</f>
        <v>285</v>
      </c>
      <c r="C191" s="203">
        <v>80</v>
      </c>
      <c r="D191" s="190">
        <f t="shared" si="11"/>
        <v>22800</v>
      </c>
      <c r="E191" s="205"/>
      <c r="F191" s="262"/>
      <c r="G191" s="222"/>
      <c r="H191" s="202"/>
      <c r="I191" s="203"/>
      <c r="J191" s="5"/>
      <c r="K191" s="182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1">
        <f>'Données projet'!A180</f>
        <v>0</v>
      </c>
      <c r="B192" s="192">
        <f>'Données projet'!D180</f>
        <v>0</v>
      </c>
      <c r="C192" s="203"/>
      <c r="D192" s="190">
        <f t="shared" si="11"/>
        <v>0</v>
      </c>
      <c r="E192" s="205"/>
      <c r="F192" s="262"/>
      <c r="G192" s="222"/>
      <c r="H192" s="202"/>
      <c r="I192" s="203"/>
      <c r="J192" s="5"/>
      <c r="K192" s="182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1">
        <f>'Données projet'!A181</f>
        <v>0</v>
      </c>
      <c r="B193" s="192">
        <f>'Données projet'!D181</f>
        <v>0</v>
      </c>
      <c r="C193" s="203"/>
      <c r="D193" s="190">
        <f t="shared" si="11"/>
        <v>0</v>
      </c>
      <c r="E193" s="205"/>
      <c r="F193" s="262"/>
      <c r="G193" s="222"/>
      <c r="H193" s="202"/>
      <c r="I193" s="203"/>
      <c r="J193" s="5"/>
      <c r="K193" s="182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1">
        <f>'Données projet'!A182</f>
        <v>0</v>
      </c>
      <c r="B194" s="192">
        <f>'Données projet'!D182</f>
        <v>0</v>
      </c>
      <c r="C194" s="203"/>
      <c r="D194" s="190">
        <f t="shared" si="11"/>
        <v>0</v>
      </c>
      <c r="E194" s="205"/>
      <c r="F194" s="262"/>
      <c r="G194" s="222"/>
      <c r="H194" s="202"/>
      <c r="I194" s="203"/>
      <c r="J194" s="5"/>
      <c r="K194" s="182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1">
        <f>'Données projet'!A183</f>
        <v>0</v>
      </c>
      <c r="B195" s="192">
        <f>'Données projet'!D183</f>
        <v>0</v>
      </c>
      <c r="C195" s="203"/>
      <c r="D195" s="190">
        <f t="shared" si="11"/>
        <v>0</v>
      </c>
      <c r="E195" s="205"/>
      <c r="F195" s="262"/>
      <c r="G195" s="222"/>
      <c r="H195" s="202"/>
      <c r="I195" s="203"/>
      <c r="J195" s="5"/>
      <c r="K195" s="182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1">
        <f>'Données projet'!A184</f>
        <v>0</v>
      </c>
      <c r="B196" s="192">
        <f>'Données projet'!D184</f>
        <v>0</v>
      </c>
      <c r="C196" s="203"/>
      <c r="D196" s="190">
        <f t="shared" si="11"/>
        <v>0</v>
      </c>
      <c r="E196" s="205"/>
      <c r="F196" s="262"/>
      <c r="G196" s="222"/>
      <c r="H196" s="202"/>
      <c r="I196" s="203"/>
      <c r="J196" s="5"/>
      <c r="K196" s="182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1">
        <f>'Données projet'!A185</f>
        <v>0</v>
      </c>
      <c r="B197" s="192">
        <f>'Données projet'!D185</f>
        <v>0</v>
      </c>
      <c r="C197" s="203"/>
      <c r="D197" s="190">
        <f t="shared" si="11"/>
        <v>0</v>
      </c>
      <c r="E197" s="205"/>
      <c r="F197" s="262"/>
      <c r="G197" s="222"/>
      <c r="H197" s="202"/>
      <c r="I197" s="203"/>
      <c r="J197" s="5"/>
      <c r="K197" s="182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0"/>
      <c r="G198" s="222"/>
      <c r="H198" s="202"/>
      <c r="I198" s="203"/>
      <c r="J198" s="5"/>
      <c r="K198" s="182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0"/>
      <c r="G199" s="222"/>
      <c r="H199" s="202"/>
      <c r="I199" s="203"/>
      <c r="J199" s="5"/>
      <c r="K199" s="182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5" t="str">
        <f>IF('Données projet'!$B$15="","",'Données projet'!$B$15)</f>
        <v>Charme</v>
      </c>
      <c r="C200" s="5"/>
      <c r="D200" s="5"/>
      <c r="E200" s="5"/>
      <c r="F200" s="260"/>
      <c r="G200" s="222"/>
      <c r="H200" s="202"/>
      <c r="I200" s="203"/>
      <c r="J200" s="5"/>
      <c r="K200" s="182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0"/>
      <c r="G201" s="222"/>
      <c r="H201" s="202"/>
      <c r="I201" s="203"/>
      <c r="J201" s="5"/>
      <c r="K201" s="182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2"/>
      <c r="I202" s="203"/>
      <c r="J202" s="5"/>
      <c r="K202" s="182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09">
        <v>0</v>
      </c>
      <c r="B203" s="212" t="s">
        <v>132</v>
      </c>
      <c r="C203" s="211" t="s">
        <v>132</v>
      </c>
      <c r="D203" s="210" t="s">
        <v>132</v>
      </c>
      <c r="E203" s="205"/>
      <c r="F203" s="261"/>
      <c r="G203" s="222"/>
      <c r="H203" s="202"/>
      <c r="I203" s="203"/>
      <c r="J203" s="5"/>
      <c r="K203" s="182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09">
        <v>1</v>
      </c>
      <c r="B204" s="212" t="s">
        <v>132</v>
      </c>
      <c r="C204" s="211" t="s">
        <v>132</v>
      </c>
      <c r="D204" s="210" t="s">
        <v>132</v>
      </c>
      <c r="E204" s="205"/>
      <c r="F204" s="261"/>
      <c r="G204" s="220"/>
      <c r="H204" s="202"/>
      <c r="I204" s="203"/>
      <c r="J204" s="5"/>
      <c r="K204" s="182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09">
        <v>2</v>
      </c>
      <c r="B205" s="212" t="s">
        <v>132</v>
      </c>
      <c r="C205" s="211" t="s">
        <v>132</v>
      </c>
      <c r="D205" s="210" t="s">
        <v>132</v>
      </c>
      <c r="E205" s="205"/>
      <c r="F205" s="261"/>
      <c r="G205" s="220"/>
      <c r="H205" s="202"/>
      <c r="I205" s="203"/>
      <c r="J205" s="5"/>
      <c r="K205" s="182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09">
        <v>3</v>
      </c>
      <c r="B206" s="212" t="s">
        <v>132</v>
      </c>
      <c r="C206" s="211" t="s">
        <v>132</v>
      </c>
      <c r="D206" s="210" t="s">
        <v>132</v>
      </c>
      <c r="E206" s="205"/>
      <c r="F206" s="261"/>
      <c r="G206" s="220"/>
      <c r="H206" s="202"/>
      <c r="I206" s="203"/>
      <c r="J206" s="5"/>
      <c r="K206" s="182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09">
        <v>4</v>
      </c>
      <c r="B207" s="212" t="s">
        <v>132</v>
      </c>
      <c r="C207" s="211" t="s">
        <v>132</v>
      </c>
      <c r="D207" s="210" t="s">
        <v>132</v>
      </c>
      <c r="E207" s="205"/>
      <c r="F207" s="261"/>
      <c r="G207" s="220"/>
      <c r="H207" s="202"/>
      <c r="I207" s="203"/>
      <c r="J207" s="5"/>
      <c r="K207" s="182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09">
        <v>5</v>
      </c>
      <c r="B208" s="212" t="s">
        <v>132</v>
      </c>
      <c r="C208" s="211" t="s">
        <v>132</v>
      </c>
      <c r="D208" s="210" t="s">
        <v>132</v>
      </c>
      <c r="E208" s="205"/>
      <c r="F208" s="261"/>
      <c r="G208" s="221"/>
      <c r="H208" s="202"/>
      <c r="I208" s="203"/>
      <c r="J208" s="5"/>
      <c r="K208" s="182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1">
        <f>'Données projet'!A192</f>
        <v>15</v>
      </c>
      <c r="B209" s="192">
        <f>'Données projet'!D192</f>
        <v>0</v>
      </c>
      <c r="C209" s="205"/>
      <c r="D209" s="190">
        <f>B209*C209</f>
        <v>0</v>
      </c>
      <c r="E209" s="205"/>
      <c r="F209" s="262"/>
      <c r="G209" s="221"/>
      <c r="H209" s="202"/>
      <c r="I209" s="203"/>
      <c r="J209" s="5"/>
      <c r="K209" s="182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1">
        <f>'Données projet'!A193</f>
        <v>20</v>
      </c>
      <c r="B210" s="192">
        <f>'Données projet'!D193</f>
        <v>16.666666666666668</v>
      </c>
      <c r="C210" s="203">
        <v>10</v>
      </c>
      <c r="D210" s="190">
        <f t="shared" ref="D210:D228" si="12">B210*C210</f>
        <v>166.66666666666669</v>
      </c>
      <c r="E210" s="205"/>
      <c r="F210" s="262"/>
      <c r="G210" s="221"/>
      <c r="H210" s="202"/>
      <c r="I210" s="203"/>
      <c r="J210" s="5"/>
      <c r="K210" s="182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1">
        <f>'Données projet'!A194</f>
        <v>25</v>
      </c>
      <c r="B211" s="192">
        <f>'Données projet'!D194</f>
        <v>0</v>
      </c>
      <c r="C211" s="203"/>
      <c r="D211" s="190">
        <f t="shared" si="12"/>
        <v>0</v>
      </c>
      <c r="E211" s="205"/>
      <c r="F211" s="262"/>
      <c r="G211" s="221"/>
      <c r="H211" s="202"/>
      <c r="I211" s="203"/>
      <c r="J211" s="5"/>
      <c r="K211" s="182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1">
        <f>'Données projet'!A195</f>
        <v>30</v>
      </c>
      <c r="B212" s="192">
        <f>'Données projet'!D195</f>
        <v>25.641025641025639</v>
      </c>
      <c r="C212" s="203">
        <v>10</v>
      </c>
      <c r="D212" s="190">
        <f t="shared" si="12"/>
        <v>256.41025641025641</v>
      </c>
      <c r="E212" s="205"/>
      <c r="F212" s="262"/>
      <c r="G212" s="221"/>
      <c r="H212" s="202"/>
      <c r="I212" s="203"/>
      <c r="J212" s="5"/>
      <c r="K212" s="182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1">
        <f>'Données projet'!A196</f>
        <v>35</v>
      </c>
      <c r="B213" s="192">
        <f>'Données projet'!D196</f>
        <v>0</v>
      </c>
      <c r="C213" s="203"/>
      <c r="D213" s="190">
        <f t="shared" si="12"/>
        <v>0</v>
      </c>
      <c r="E213" s="205"/>
      <c r="F213" s="262"/>
      <c r="G213" s="221"/>
      <c r="H213" s="202"/>
      <c r="I213" s="203"/>
      <c r="J213" s="5"/>
      <c r="K213" s="182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1">
        <f>'Données projet'!A197</f>
        <v>40</v>
      </c>
      <c r="B214" s="192">
        <f>'Données projet'!D197</f>
        <v>28.846153846153847</v>
      </c>
      <c r="C214" s="203">
        <v>15</v>
      </c>
      <c r="D214" s="190">
        <f t="shared" si="12"/>
        <v>432.69230769230768</v>
      </c>
      <c r="E214" s="205"/>
      <c r="F214" s="262"/>
      <c r="G214" s="221"/>
      <c r="H214" s="202"/>
      <c r="I214" s="203"/>
      <c r="J214" s="5"/>
      <c r="K214" s="182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1">
        <f>'Données projet'!A198</f>
        <v>45</v>
      </c>
      <c r="B215" s="192">
        <f>'Données projet'!D198</f>
        <v>0</v>
      </c>
      <c r="C215" s="203"/>
      <c r="D215" s="190">
        <f t="shared" si="12"/>
        <v>0</v>
      </c>
      <c r="E215" s="205"/>
      <c r="F215" s="262"/>
      <c r="G215" s="222"/>
      <c r="H215" s="202"/>
      <c r="I215" s="203"/>
      <c r="J215" s="5"/>
      <c r="K215" s="182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1">
        <f>'Données projet'!A199</f>
        <v>50</v>
      </c>
      <c r="B216" s="192">
        <f>'Données projet'!D199</f>
        <v>30.769230769230766</v>
      </c>
      <c r="C216" s="203">
        <v>20</v>
      </c>
      <c r="D216" s="190">
        <f t="shared" si="12"/>
        <v>615.38461538461536</v>
      </c>
      <c r="E216" s="205"/>
      <c r="F216" s="262"/>
      <c r="G216" s="222"/>
      <c r="H216" s="202"/>
      <c r="I216" s="203"/>
      <c r="J216" s="5"/>
      <c r="K216" s="182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1">
        <f>'Données projet'!A200</f>
        <v>55</v>
      </c>
      <c r="B217" s="192">
        <f>'Données projet'!D200</f>
        <v>0</v>
      </c>
      <c r="C217" s="203"/>
      <c r="D217" s="190">
        <f t="shared" si="12"/>
        <v>0</v>
      </c>
      <c r="E217" s="205"/>
      <c r="F217" s="262"/>
      <c r="G217" s="222"/>
      <c r="H217" s="202"/>
      <c r="I217" s="203"/>
      <c r="J217" s="5"/>
      <c r="K217" s="182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1">
        <f>'Données projet'!A201</f>
        <v>60</v>
      </c>
      <c r="B218" s="192">
        <f>'Données projet'!D201</f>
        <v>29.487179487179485</v>
      </c>
      <c r="C218" s="203">
        <v>25</v>
      </c>
      <c r="D218" s="190">
        <f t="shared" si="12"/>
        <v>737.17948717948718</v>
      </c>
      <c r="E218" s="205"/>
      <c r="F218" s="262"/>
      <c r="G218" s="222"/>
      <c r="H218" s="202"/>
      <c r="I218" s="203"/>
      <c r="J218" s="5"/>
      <c r="K218" s="182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1">
        <f>'Données projet'!A202</f>
        <v>65</v>
      </c>
      <c r="B219" s="192">
        <f>'Données projet'!D202</f>
        <v>0</v>
      </c>
      <c r="C219" s="203"/>
      <c r="D219" s="190">
        <f t="shared" si="12"/>
        <v>0</v>
      </c>
      <c r="E219" s="205"/>
      <c r="F219" s="262"/>
      <c r="G219" s="222"/>
      <c r="H219" s="202"/>
      <c r="I219" s="203"/>
      <c r="J219" s="5"/>
      <c r="K219" s="182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1">
        <f>'Données projet'!A203</f>
        <v>70</v>
      </c>
      <c r="B220" s="192">
        <f>'Données projet'!D203</f>
        <v>28.846153846153847</v>
      </c>
      <c r="C220" s="203">
        <v>30</v>
      </c>
      <c r="D220" s="190">
        <f t="shared" si="12"/>
        <v>865.38461538461536</v>
      </c>
      <c r="E220" s="205"/>
      <c r="F220" s="262"/>
      <c r="G220" s="222"/>
      <c r="H220" s="5"/>
      <c r="I220" s="5"/>
      <c r="J220" s="5"/>
      <c r="K220" s="182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1">
        <f>'Données projet'!A204</f>
        <v>75</v>
      </c>
      <c r="B221" s="192">
        <f>'Données projet'!D204</f>
        <v>0</v>
      </c>
      <c r="C221" s="203"/>
      <c r="D221" s="190">
        <f t="shared" si="12"/>
        <v>0</v>
      </c>
      <c r="E221" s="205"/>
      <c r="F221" s="262"/>
      <c r="G221" s="222"/>
      <c r="H221" s="5"/>
      <c r="I221" s="5"/>
      <c r="J221" s="5"/>
      <c r="K221" s="182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1">
        <f>'Données projet'!A205</f>
        <v>80</v>
      </c>
      <c r="B222" s="192">
        <f>'Données projet'!D205</f>
        <v>27.564102564102562</v>
      </c>
      <c r="C222" s="203">
        <v>35</v>
      </c>
      <c r="D222" s="190">
        <f t="shared" si="12"/>
        <v>964.74358974358972</v>
      </c>
      <c r="E222" s="205"/>
      <c r="F222" s="262"/>
      <c r="G222" s="222"/>
      <c r="H222" s="5"/>
      <c r="I222" s="5"/>
      <c r="J222" s="5"/>
      <c r="K222" s="182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1">
        <f>'Données projet'!A206</f>
        <v>85</v>
      </c>
      <c r="B223" s="192">
        <f>'Données projet'!D206</f>
        <v>0</v>
      </c>
      <c r="C223" s="203"/>
      <c r="D223" s="190">
        <f t="shared" si="12"/>
        <v>0</v>
      </c>
      <c r="E223" s="205"/>
      <c r="F223" s="262"/>
      <c r="G223" s="222"/>
      <c r="H223" s="5"/>
      <c r="I223" s="5"/>
      <c r="J223" s="5"/>
      <c r="K223" s="182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1">
        <f>'Données projet'!A207</f>
        <v>90</v>
      </c>
      <c r="B224" s="192">
        <f>'Données projet'!D207</f>
        <v>25.641025641025639</v>
      </c>
      <c r="C224" s="203">
        <v>40</v>
      </c>
      <c r="D224" s="190">
        <f t="shared" si="12"/>
        <v>1025.6410256410256</v>
      </c>
      <c r="E224" s="205"/>
      <c r="F224" s="262"/>
      <c r="G224" s="222"/>
      <c r="H224" s="5"/>
      <c r="I224" s="5"/>
      <c r="J224" s="5"/>
      <c r="K224" s="182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1">
        <f>'Données projet'!A208</f>
        <v>95</v>
      </c>
      <c r="B225" s="192">
        <f>'Données projet'!D208</f>
        <v>0</v>
      </c>
      <c r="C225" s="203"/>
      <c r="D225" s="190">
        <f t="shared" si="12"/>
        <v>0</v>
      </c>
      <c r="E225" s="205"/>
      <c r="F225" s="262"/>
      <c r="G225" s="222"/>
      <c r="H225" s="5"/>
      <c r="I225" s="5"/>
      <c r="J225" s="5"/>
      <c r="K225" s="182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1">
        <f>'Données projet'!A209</f>
        <v>100</v>
      </c>
      <c r="B226" s="192">
        <f>'Données projet'!D209</f>
        <v>23.717948717948715</v>
      </c>
      <c r="C226" s="203">
        <v>45</v>
      </c>
      <c r="D226" s="190">
        <f t="shared" si="12"/>
        <v>1067.3076923076922</v>
      </c>
      <c r="E226" s="205"/>
      <c r="F226" s="262"/>
      <c r="G226" s="222"/>
      <c r="H226" s="5"/>
      <c r="I226" s="5"/>
      <c r="J226" s="5"/>
      <c r="K226" s="182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1">
        <f>'Données projet'!A210</f>
        <v>110</v>
      </c>
      <c r="B227" s="192">
        <f>'Données projet'!D210</f>
        <v>22.435897435897434</v>
      </c>
      <c r="C227" s="208">
        <v>50</v>
      </c>
      <c r="D227" s="190">
        <f t="shared" si="12"/>
        <v>1121.7948717948718</v>
      </c>
      <c r="E227" s="205"/>
      <c r="F227" s="262"/>
      <c r="G227" s="222"/>
      <c r="H227" s="5"/>
      <c r="I227" s="5"/>
      <c r="J227" s="5"/>
      <c r="K227" s="182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1">
        <f>'Données projet'!A211</f>
        <v>120</v>
      </c>
      <c r="B228" s="192">
        <f>'Données projet'!D211</f>
        <v>259.61538461538458</v>
      </c>
      <c r="C228" s="205">
        <v>80</v>
      </c>
      <c r="D228" s="190">
        <f t="shared" si="12"/>
        <v>20769.230769230766</v>
      </c>
      <c r="E228" s="205"/>
      <c r="F228" s="262"/>
      <c r="G228" s="222"/>
      <c r="H228" s="5"/>
      <c r="I228" s="5"/>
      <c r="J228" s="5"/>
      <c r="K228" s="182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2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2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5" t="str">
        <f>IF('Données projet'!$B$16="","",'Données projet'!$B$16)</f>
        <v>Cèdre de l'Atlas</v>
      </c>
      <c r="C231" s="5"/>
      <c r="D231" s="5"/>
      <c r="E231" s="5"/>
      <c r="F231" s="260"/>
      <c r="G231" s="222"/>
      <c r="H231" s="5"/>
      <c r="I231" s="5"/>
      <c r="J231" s="5"/>
      <c r="K231" s="182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2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2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09">
        <v>0</v>
      </c>
      <c r="B234" s="212" t="s">
        <v>132</v>
      </c>
      <c r="C234" s="211" t="s">
        <v>132</v>
      </c>
      <c r="D234" s="210" t="s">
        <v>132</v>
      </c>
      <c r="E234" s="205"/>
      <c r="F234" s="261"/>
      <c r="G234" s="222"/>
      <c r="H234" s="5"/>
      <c r="I234" s="5"/>
      <c r="J234" s="5"/>
      <c r="K234" s="182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09">
        <v>1</v>
      </c>
      <c r="B235" s="212" t="s">
        <v>132</v>
      </c>
      <c r="C235" s="211" t="s">
        <v>132</v>
      </c>
      <c r="D235" s="210" t="s">
        <v>132</v>
      </c>
      <c r="E235" s="205"/>
      <c r="F235" s="261"/>
      <c r="G235" s="220"/>
      <c r="H235" s="5"/>
      <c r="I235" s="5"/>
      <c r="J235" s="5"/>
      <c r="K235" s="182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09">
        <v>2</v>
      </c>
      <c r="B236" s="212" t="s">
        <v>132</v>
      </c>
      <c r="C236" s="211" t="s">
        <v>132</v>
      </c>
      <c r="D236" s="210" t="s">
        <v>132</v>
      </c>
      <c r="E236" s="205"/>
      <c r="F236" s="261"/>
      <c r="G236" s="220"/>
      <c r="H236" s="5"/>
      <c r="I236" s="5"/>
      <c r="J236" s="5"/>
      <c r="K236" s="182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09">
        <v>3</v>
      </c>
      <c r="B237" s="212" t="s">
        <v>132</v>
      </c>
      <c r="C237" s="211" t="s">
        <v>132</v>
      </c>
      <c r="D237" s="210" t="s">
        <v>132</v>
      </c>
      <c r="E237" s="205"/>
      <c r="F237" s="261"/>
      <c r="G237" s="220"/>
      <c r="H237" s="5"/>
      <c r="I237" s="5"/>
      <c r="J237" s="5"/>
      <c r="K237" s="182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09">
        <v>4</v>
      </c>
      <c r="B238" s="212" t="s">
        <v>132</v>
      </c>
      <c r="C238" s="211" t="s">
        <v>132</v>
      </c>
      <c r="D238" s="210" t="s">
        <v>132</v>
      </c>
      <c r="E238" s="205"/>
      <c r="F238" s="261"/>
      <c r="G238" s="220"/>
      <c r="H238" s="5"/>
      <c r="I238" s="5"/>
      <c r="J238" s="5"/>
      <c r="K238" s="182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09">
        <v>5</v>
      </c>
      <c r="B239" s="212" t="s">
        <v>132</v>
      </c>
      <c r="C239" s="211" t="s">
        <v>132</v>
      </c>
      <c r="D239" s="210" t="s">
        <v>132</v>
      </c>
      <c r="E239" s="205"/>
      <c r="F239" s="261"/>
      <c r="G239" s="221"/>
      <c r="H239" s="5"/>
      <c r="I239" s="5"/>
      <c r="J239" s="5"/>
      <c r="K239" s="182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1">
        <f>'Données projet'!A218</f>
        <v>30</v>
      </c>
      <c r="B240" s="192">
        <f>'Données projet'!D218</f>
        <v>0</v>
      </c>
      <c r="C240" s="205"/>
      <c r="D240" s="190">
        <f>B240*C240</f>
        <v>0</v>
      </c>
      <c r="E240" s="205"/>
      <c r="F240" s="262"/>
      <c r="G240" s="221"/>
      <c r="H240" s="5"/>
      <c r="I240" s="5"/>
      <c r="J240" s="5"/>
      <c r="K240" s="182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1">
        <f>'Données projet'!A219</f>
        <v>35</v>
      </c>
      <c r="B241" s="192">
        <f>'Données projet'!D219</f>
        <v>0</v>
      </c>
      <c r="C241" s="205"/>
      <c r="D241" s="190">
        <f t="shared" ref="D241:D259" si="13">B241*C241</f>
        <v>0</v>
      </c>
      <c r="E241" s="205"/>
      <c r="F241" s="262"/>
      <c r="G241" s="221"/>
      <c r="H241" s="5"/>
      <c r="I241" s="5"/>
      <c r="J241" s="5"/>
      <c r="K241" s="182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1">
        <f>'Données projet'!A220</f>
        <v>40</v>
      </c>
      <c r="B242" s="192">
        <f>'Données projet'!D220</f>
        <v>0</v>
      </c>
      <c r="C242" s="205"/>
      <c r="D242" s="190">
        <f t="shared" si="13"/>
        <v>0</v>
      </c>
      <c r="E242" s="205"/>
      <c r="F242" s="262"/>
      <c r="G242" s="221"/>
      <c r="H242" s="5"/>
      <c r="I242" s="5"/>
      <c r="J242" s="5"/>
      <c r="K242" s="182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1">
        <f>'Données projet'!A221</f>
        <v>45</v>
      </c>
      <c r="B243" s="192">
        <f>'Données projet'!D221</f>
        <v>0</v>
      </c>
      <c r="C243" s="205"/>
      <c r="D243" s="190">
        <f t="shared" si="13"/>
        <v>0</v>
      </c>
      <c r="E243" s="205"/>
      <c r="F243" s="262"/>
      <c r="G243" s="221"/>
      <c r="H243" s="5"/>
      <c r="I243" s="5"/>
      <c r="J243" s="5"/>
      <c r="K243" s="182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1">
        <f>'Données projet'!A222</f>
        <v>51</v>
      </c>
      <c r="B244" s="192">
        <f>'Données projet'!D222</f>
        <v>100.30769230769231</v>
      </c>
      <c r="C244" s="203">
        <v>15</v>
      </c>
      <c r="D244" s="190">
        <f t="shared" si="13"/>
        <v>1504.6153846153845</v>
      </c>
      <c r="E244" s="205"/>
      <c r="F244" s="262"/>
      <c r="G244" s="221"/>
      <c r="H244" s="5"/>
      <c r="I244" s="5"/>
      <c r="J244" s="5"/>
      <c r="K244" s="182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1">
        <f>'Données projet'!A223</f>
        <v>57</v>
      </c>
      <c r="B245" s="192">
        <f>'Données projet'!D223</f>
        <v>0</v>
      </c>
      <c r="C245" s="203"/>
      <c r="D245" s="190">
        <f t="shared" si="13"/>
        <v>0</v>
      </c>
      <c r="E245" s="205"/>
      <c r="F245" s="262"/>
      <c r="G245" s="221"/>
      <c r="H245" s="5"/>
      <c r="I245" s="5"/>
      <c r="J245" s="5"/>
      <c r="K245" s="182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1">
        <f>'Données projet'!A224</f>
        <v>63</v>
      </c>
      <c r="B246" s="192">
        <f>'Données projet'!D224</f>
        <v>108.08461538461538</v>
      </c>
      <c r="C246" s="203">
        <v>20</v>
      </c>
      <c r="D246" s="190">
        <f t="shared" si="13"/>
        <v>2161.6923076923076</v>
      </c>
      <c r="E246" s="205"/>
      <c r="F246" s="262"/>
      <c r="G246" s="222"/>
      <c r="H246" s="5"/>
      <c r="I246" s="5"/>
      <c r="J246" s="5"/>
      <c r="K246" s="182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1">
        <f>'Données projet'!A225</f>
        <v>69</v>
      </c>
      <c r="B247" s="192">
        <f>'Données projet'!D225</f>
        <v>0</v>
      </c>
      <c r="C247" s="203"/>
      <c r="D247" s="190">
        <f t="shared" si="13"/>
        <v>0</v>
      </c>
      <c r="E247" s="205"/>
      <c r="F247" s="262"/>
      <c r="G247" s="222"/>
      <c r="H247" s="5"/>
      <c r="I247" s="5"/>
      <c r="J247" s="5"/>
      <c r="K247" s="182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1">
        <f>'Données projet'!A226</f>
        <v>75</v>
      </c>
      <c r="B248" s="192">
        <f>'Données projet'!D226</f>
        <v>85.361538461538458</v>
      </c>
      <c r="C248" s="203">
        <v>30</v>
      </c>
      <c r="D248" s="190">
        <f t="shared" si="13"/>
        <v>2560.8461538461538</v>
      </c>
      <c r="E248" s="205"/>
      <c r="F248" s="262"/>
      <c r="G248" s="222"/>
      <c r="H248" s="5"/>
      <c r="I248" s="5"/>
      <c r="J248" s="5"/>
      <c r="K248" s="182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1">
        <f>'Données projet'!A227</f>
        <v>81</v>
      </c>
      <c r="B249" s="192">
        <f>'Données projet'!D227</f>
        <v>0</v>
      </c>
      <c r="C249" s="203"/>
      <c r="D249" s="190">
        <f t="shared" si="13"/>
        <v>0</v>
      </c>
      <c r="E249" s="205"/>
      <c r="F249" s="262"/>
      <c r="G249" s="222"/>
      <c r="H249" s="5"/>
      <c r="I249" s="5"/>
      <c r="J249" s="5"/>
      <c r="K249" s="182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1">
        <f>'Données projet'!A228</f>
        <v>87</v>
      </c>
      <c r="B250" s="192">
        <f>'Données projet'!D228</f>
        <v>82.938461538461524</v>
      </c>
      <c r="C250" s="203">
        <v>40</v>
      </c>
      <c r="D250" s="190">
        <f t="shared" si="13"/>
        <v>3317.538461538461</v>
      </c>
      <c r="E250" s="205"/>
      <c r="F250" s="262"/>
      <c r="G250" s="222"/>
      <c r="H250" s="5"/>
      <c r="I250" s="5"/>
      <c r="J250" s="5"/>
      <c r="K250" s="182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1">
        <f>'Données projet'!A229</f>
        <v>93</v>
      </c>
      <c r="B251" s="192">
        <f>'Données projet'!D229</f>
        <v>0</v>
      </c>
      <c r="C251" s="203"/>
      <c r="D251" s="190">
        <f t="shared" si="13"/>
        <v>0</v>
      </c>
      <c r="E251" s="205"/>
      <c r="F251" s="262"/>
      <c r="G251" s="222"/>
      <c r="H251" s="5"/>
      <c r="I251" s="5"/>
      <c r="J251" s="5"/>
      <c r="K251" s="182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1">
        <f>'Données projet'!A230</f>
        <v>99</v>
      </c>
      <c r="B252" s="192">
        <f>'Données projet'!D230</f>
        <v>198.32307692307691</v>
      </c>
      <c r="C252" s="203">
        <v>50</v>
      </c>
      <c r="D252" s="190">
        <f t="shared" si="13"/>
        <v>9916.1538461538457</v>
      </c>
      <c r="E252" s="205"/>
      <c r="F252" s="262"/>
      <c r="G252" s="222"/>
      <c r="H252" s="5"/>
      <c r="I252" s="5"/>
      <c r="J252" s="5"/>
      <c r="K252" s="182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1">
        <f>'Données projet'!A231</f>
        <v>104</v>
      </c>
      <c r="B253" s="192">
        <f>'Données projet'!D231</f>
        <v>0</v>
      </c>
      <c r="C253" s="205"/>
      <c r="D253" s="190">
        <f t="shared" si="13"/>
        <v>0</v>
      </c>
      <c r="E253" s="205"/>
      <c r="F253" s="262"/>
      <c r="G253" s="222"/>
      <c r="H253" s="5"/>
      <c r="I253" s="5"/>
      <c r="J253" s="5"/>
      <c r="K253" s="182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1">
        <f>'Données projet'!A232</f>
        <v>109</v>
      </c>
      <c r="B254" s="192">
        <f>'Données projet'!D232</f>
        <v>256.09230769230771</v>
      </c>
      <c r="C254" s="203">
        <v>80</v>
      </c>
      <c r="D254" s="190">
        <f t="shared" si="13"/>
        <v>20487.384615384617</v>
      </c>
      <c r="E254" s="205"/>
      <c r="F254" s="262"/>
      <c r="G254" s="222"/>
      <c r="H254" s="5"/>
      <c r="I254" s="5"/>
      <c r="J254" s="5"/>
      <c r="K254" s="182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1">
        <f>'Données projet'!A233</f>
        <v>0</v>
      </c>
      <c r="B255" s="192">
        <f>'Données projet'!D233</f>
        <v>0</v>
      </c>
      <c r="C255" s="205"/>
      <c r="D255" s="190">
        <f t="shared" si="13"/>
        <v>0</v>
      </c>
      <c r="E255" s="205"/>
      <c r="F255" s="262"/>
      <c r="G255" s="222"/>
      <c r="H255" s="5"/>
      <c r="I255" s="5"/>
      <c r="J255" s="5"/>
      <c r="K255" s="182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1">
        <f>'Données projet'!A234</f>
        <v>0</v>
      </c>
      <c r="B256" s="192">
        <f>'Données projet'!D234</f>
        <v>0</v>
      </c>
      <c r="C256" s="205"/>
      <c r="D256" s="190">
        <f t="shared" si="13"/>
        <v>0</v>
      </c>
      <c r="E256" s="205"/>
      <c r="F256" s="262"/>
      <c r="G256" s="222"/>
      <c r="H256" s="5"/>
      <c r="I256" s="5"/>
      <c r="J256" s="5"/>
      <c r="K256" s="182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1">
        <f>'Données projet'!A235</f>
        <v>0</v>
      </c>
      <c r="B257" s="192">
        <f>'Données projet'!D235</f>
        <v>0</v>
      </c>
      <c r="C257" s="205"/>
      <c r="D257" s="190">
        <f t="shared" si="13"/>
        <v>0</v>
      </c>
      <c r="E257" s="205"/>
      <c r="F257" s="262"/>
      <c r="G257" s="222"/>
      <c r="H257" s="5"/>
      <c r="I257" s="5"/>
      <c r="J257" s="5"/>
      <c r="K257" s="182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1">
        <f>'Données projet'!A236</f>
        <v>0</v>
      </c>
      <c r="B258" s="192">
        <f>'Données projet'!D236</f>
        <v>0</v>
      </c>
      <c r="C258" s="205"/>
      <c r="D258" s="190">
        <f t="shared" si="13"/>
        <v>0</v>
      </c>
      <c r="E258" s="205"/>
      <c r="F258" s="262"/>
      <c r="G258" s="222"/>
      <c r="H258" s="5"/>
      <c r="I258" s="5"/>
      <c r="J258" s="5"/>
      <c r="K258" s="182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1">
        <f>'Données projet'!A237</f>
        <v>0</v>
      </c>
      <c r="B259" s="192">
        <f>'Données projet'!D237</f>
        <v>0</v>
      </c>
      <c r="C259" s="205"/>
      <c r="D259" s="190">
        <f t="shared" si="13"/>
        <v>0</v>
      </c>
      <c r="E259" s="205"/>
      <c r="F259" s="262"/>
      <c r="G259" s="222"/>
      <c r="H259" s="5"/>
      <c r="I259" s="5"/>
      <c r="J259" s="5"/>
      <c r="K259" s="182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2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2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5" t="str">
        <f>IF('Données projet'!$B$17="","",'Données projet'!$B$17)</f>
        <v>Alisier torminal</v>
      </c>
      <c r="C262" s="5"/>
      <c r="D262" s="5"/>
      <c r="E262" s="5"/>
      <c r="F262" s="260"/>
      <c r="G262" s="222"/>
      <c r="H262" s="5"/>
      <c r="I262" s="5"/>
      <c r="J262" s="5"/>
      <c r="K262" s="182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2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2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09">
        <v>0</v>
      </c>
      <c r="B265" s="212" t="s">
        <v>132</v>
      </c>
      <c r="C265" s="211" t="s">
        <v>132</v>
      </c>
      <c r="D265" s="210" t="s">
        <v>132</v>
      </c>
      <c r="E265" s="205"/>
      <c r="F265" s="261"/>
      <c r="G265" s="222"/>
      <c r="H265" s="5"/>
      <c r="I265" s="5"/>
      <c r="J265" s="5"/>
      <c r="K265" s="182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09">
        <v>1</v>
      </c>
      <c r="B266" s="212" t="s">
        <v>132</v>
      </c>
      <c r="C266" s="211" t="s">
        <v>132</v>
      </c>
      <c r="D266" s="210" t="s">
        <v>132</v>
      </c>
      <c r="E266" s="205"/>
      <c r="F266" s="261"/>
      <c r="G266" s="220"/>
      <c r="H266" s="5"/>
      <c r="I266" s="5"/>
      <c r="J266" s="5"/>
      <c r="K266" s="182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09">
        <v>2</v>
      </c>
      <c r="B267" s="212" t="s">
        <v>132</v>
      </c>
      <c r="C267" s="211" t="s">
        <v>132</v>
      </c>
      <c r="D267" s="210" t="s">
        <v>132</v>
      </c>
      <c r="E267" s="205"/>
      <c r="F267" s="261"/>
      <c r="G267" s="220"/>
      <c r="H267" s="5"/>
      <c r="I267" s="5"/>
      <c r="J267" s="5"/>
      <c r="K267" s="182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09">
        <v>3</v>
      </c>
      <c r="B268" s="212" t="s">
        <v>132</v>
      </c>
      <c r="C268" s="211" t="s">
        <v>132</v>
      </c>
      <c r="D268" s="210" t="s">
        <v>132</v>
      </c>
      <c r="E268" s="205"/>
      <c r="F268" s="261"/>
      <c r="G268" s="220"/>
      <c r="H268" s="5"/>
      <c r="I268" s="5"/>
      <c r="J268" s="5"/>
      <c r="K268" s="182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09">
        <v>4</v>
      </c>
      <c r="B269" s="212" t="s">
        <v>132</v>
      </c>
      <c r="C269" s="211" t="s">
        <v>132</v>
      </c>
      <c r="D269" s="210" t="s">
        <v>132</v>
      </c>
      <c r="E269" s="205"/>
      <c r="F269" s="261"/>
      <c r="G269" s="220"/>
      <c r="H269" s="5"/>
      <c r="I269" s="5"/>
      <c r="J269" s="5"/>
      <c r="K269" s="182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09">
        <v>5</v>
      </c>
      <c r="B270" s="212" t="s">
        <v>132</v>
      </c>
      <c r="C270" s="211" t="s">
        <v>132</v>
      </c>
      <c r="D270" s="210" t="s">
        <v>132</v>
      </c>
      <c r="E270" s="205"/>
      <c r="F270" s="261"/>
      <c r="G270" s="221"/>
      <c r="H270" s="5"/>
      <c r="I270" s="5"/>
      <c r="J270" s="5"/>
      <c r="K270" s="182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1">
        <f>'Données projet'!A244</f>
        <v>20</v>
      </c>
      <c r="B271" s="192">
        <f>'Données projet'!D244</f>
        <v>0</v>
      </c>
      <c r="C271" s="205"/>
      <c r="D271" s="190">
        <f>B271*C271</f>
        <v>0</v>
      </c>
      <c r="E271" s="205"/>
      <c r="F271" s="262"/>
      <c r="G271" s="221"/>
      <c r="H271" s="5"/>
      <c r="I271" s="5"/>
      <c r="J271" s="5"/>
      <c r="K271" s="182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1">
        <f>'Données projet'!A245</f>
        <v>25</v>
      </c>
      <c r="B272" s="192">
        <f>'Données projet'!D245</f>
        <v>0</v>
      </c>
      <c r="C272" s="205"/>
      <c r="D272" s="190">
        <f t="shared" ref="D272:D290" si="14">B272*C272</f>
        <v>0</v>
      </c>
      <c r="E272" s="205"/>
      <c r="F272" s="262"/>
      <c r="G272" s="221"/>
      <c r="H272" s="5"/>
      <c r="I272" s="5"/>
      <c r="J272" s="5"/>
      <c r="K272" s="182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1">
        <f>'Données projet'!A246</f>
        <v>30</v>
      </c>
      <c r="B273" s="192">
        <f>'Données projet'!D246</f>
        <v>29</v>
      </c>
      <c r="C273" s="203">
        <v>10</v>
      </c>
      <c r="D273" s="190">
        <f t="shared" si="14"/>
        <v>290</v>
      </c>
      <c r="E273" s="205"/>
      <c r="F273" s="262"/>
      <c r="G273" s="221"/>
      <c r="H273" s="5"/>
      <c r="I273" s="5"/>
      <c r="J273" s="5"/>
      <c r="K273" s="182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1">
        <f>'Données projet'!A247</f>
        <v>35</v>
      </c>
      <c r="B274" s="192">
        <f>'Données projet'!D247</f>
        <v>0</v>
      </c>
      <c r="C274" s="203"/>
      <c r="D274" s="190">
        <f t="shared" si="14"/>
        <v>0</v>
      </c>
      <c r="E274" s="205"/>
      <c r="F274" s="262"/>
      <c r="G274" s="221"/>
      <c r="H274" s="5"/>
      <c r="I274" s="5"/>
      <c r="J274" s="5"/>
      <c r="K274" s="182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1">
        <f>'Données projet'!A248</f>
        <v>40</v>
      </c>
      <c r="B275" s="192">
        <f>'Données projet'!D248</f>
        <v>42</v>
      </c>
      <c r="C275" s="203">
        <v>10</v>
      </c>
      <c r="D275" s="190">
        <f t="shared" si="14"/>
        <v>420</v>
      </c>
      <c r="E275" s="205"/>
      <c r="F275" s="262"/>
      <c r="G275" s="221"/>
      <c r="H275" s="5"/>
      <c r="I275" s="5"/>
      <c r="J275" s="5"/>
      <c r="K275" s="182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1">
        <f>'Données projet'!A249</f>
        <v>45</v>
      </c>
      <c r="B276" s="192">
        <f>'Données projet'!D249</f>
        <v>0</v>
      </c>
      <c r="C276" s="203"/>
      <c r="D276" s="190">
        <f t="shared" si="14"/>
        <v>0</v>
      </c>
      <c r="E276" s="205"/>
      <c r="F276" s="262"/>
      <c r="G276" s="221"/>
      <c r="H276" s="5"/>
      <c r="I276" s="5"/>
      <c r="J276" s="5"/>
      <c r="K276" s="182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1">
        <f>'Données projet'!A250</f>
        <v>50</v>
      </c>
      <c r="B277" s="192">
        <f>'Données projet'!D250</f>
        <v>42</v>
      </c>
      <c r="C277" s="203">
        <v>15</v>
      </c>
      <c r="D277" s="190">
        <f t="shared" si="14"/>
        <v>630</v>
      </c>
      <c r="E277" s="205"/>
      <c r="F277" s="262"/>
      <c r="G277" s="222"/>
      <c r="H277" s="5"/>
      <c r="I277" s="5"/>
      <c r="J277" s="5"/>
      <c r="K277" s="182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1">
        <f>'Données projet'!A251</f>
        <v>55</v>
      </c>
      <c r="B278" s="192">
        <f>'Données projet'!D251</f>
        <v>0</v>
      </c>
      <c r="C278" s="203"/>
      <c r="D278" s="190">
        <f t="shared" si="14"/>
        <v>0</v>
      </c>
      <c r="E278" s="205"/>
      <c r="F278" s="262"/>
      <c r="G278" s="222"/>
      <c r="H278" s="5"/>
      <c r="I278" s="5"/>
      <c r="J278" s="5"/>
      <c r="K278" s="182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1">
        <f>'Données projet'!A252</f>
        <v>60</v>
      </c>
      <c r="B279" s="192">
        <f>'Données projet'!D252</f>
        <v>42</v>
      </c>
      <c r="C279" s="203">
        <v>20</v>
      </c>
      <c r="D279" s="190">
        <f t="shared" si="14"/>
        <v>840</v>
      </c>
      <c r="E279" s="205"/>
      <c r="F279" s="262"/>
      <c r="G279" s="222"/>
      <c r="H279" s="5"/>
      <c r="I279" s="5"/>
      <c r="J279" s="5"/>
      <c r="K279" s="182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1">
        <f>'Données projet'!A253</f>
        <v>65</v>
      </c>
      <c r="B280" s="192">
        <f>'Données projet'!D253</f>
        <v>0</v>
      </c>
      <c r="C280" s="203"/>
      <c r="D280" s="190">
        <f t="shared" si="14"/>
        <v>0</v>
      </c>
      <c r="E280" s="205"/>
      <c r="F280" s="262"/>
      <c r="G280" s="222"/>
      <c r="H280" s="5"/>
      <c r="I280" s="5"/>
      <c r="J280" s="5"/>
      <c r="K280" s="182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1">
        <f>'Données projet'!A254</f>
        <v>70</v>
      </c>
      <c r="B281" s="192">
        <f>'Données projet'!D254</f>
        <v>42</v>
      </c>
      <c r="C281" s="203">
        <v>25</v>
      </c>
      <c r="D281" s="190">
        <f t="shared" si="14"/>
        <v>1050</v>
      </c>
      <c r="E281" s="205"/>
      <c r="F281" s="262"/>
      <c r="G281" s="222"/>
      <c r="H281" s="5"/>
      <c r="I281" s="5"/>
      <c r="J281" s="5"/>
      <c r="K281" s="182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1">
        <f>'Données projet'!A255</f>
        <v>75</v>
      </c>
      <c r="B282" s="192">
        <f>'Données projet'!D255</f>
        <v>0</v>
      </c>
      <c r="C282" s="203"/>
      <c r="D282" s="190">
        <f t="shared" si="14"/>
        <v>0</v>
      </c>
      <c r="E282" s="205"/>
      <c r="F282" s="262"/>
      <c r="G282" s="222"/>
      <c r="H282" s="5"/>
      <c r="I282" s="5"/>
      <c r="J282" s="5"/>
      <c r="K282" s="182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1">
        <f>'Données projet'!A256</f>
        <v>80</v>
      </c>
      <c r="B283" s="192">
        <f>'Données projet'!D256</f>
        <v>42</v>
      </c>
      <c r="C283" s="203">
        <v>30</v>
      </c>
      <c r="D283" s="190">
        <f t="shared" si="14"/>
        <v>1260</v>
      </c>
      <c r="E283" s="205"/>
      <c r="F283" s="262"/>
      <c r="G283" s="222"/>
      <c r="H283" s="5"/>
      <c r="I283" s="5"/>
      <c r="J283" s="5"/>
      <c r="K283" s="182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1">
        <f>'Données projet'!A257</f>
        <v>90</v>
      </c>
      <c r="B284" s="192">
        <f>'Données projet'!D257</f>
        <v>42</v>
      </c>
      <c r="C284" s="203">
        <v>35</v>
      </c>
      <c r="D284" s="190">
        <f t="shared" si="14"/>
        <v>1470</v>
      </c>
      <c r="E284" s="205"/>
      <c r="F284" s="262"/>
      <c r="G284" s="222"/>
      <c r="H284" s="5"/>
      <c r="I284" s="5"/>
      <c r="J284" s="5"/>
      <c r="K284" s="182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1">
        <f>'Données projet'!A258</f>
        <v>100</v>
      </c>
      <c r="B285" s="192">
        <f>'Données projet'!D258</f>
        <v>42</v>
      </c>
      <c r="C285" s="203">
        <v>40</v>
      </c>
      <c r="D285" s="190">
        <f t="shared" si="14"/>
        <v>1680</v>
      </c>
      <c r="E285" s="205"/>
      <c r="F285" s="262"/>
      <c r="G285" s="222"/>
      <c r="H285" s="5"/>
      <c r="I285" s="5"/>
      <c r="J285" s="5"/>
      <c r="K285" s="182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1">
        <f>'Données projet'!A259</f>
        <v>110</v>
      </c>
      <c r="B286" s="192">
        <f>'Données projet'!D259</f>
        <v>39</v>
      </c>
      <c r="C286" s="203">
        <v>50</v>
      </c>
      <c r="D286" s="190">
        <f t="shared" si="14"/>
        <v>1950</v>
      </c>
      <c r="E286" s="205"/>
      <c r="F286" s="262"/>
      <c r="G286" s="222"/>
      <c r="H286" s="5"/>
      <c r="I286" s="5"/>
      <c r="J286" s="5"/>
      <c r="K286" s="182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1">
        <f>'Données projet'!A260</f>
        <v>120</v>
      </c>
      <c r="B287" s="192">
        <f>'Données projet'!D260</f>
        <v>35</v>
      </c>
      <c r="C287" s="203">
        <v>60</v>
      </c>
      <c r="D287" s="190">
        <f t="shared" si="14"/>
        <v>2100</v>
      </c>
      <c r="E287" s="205"/>
      <c r="F287" s="262"/>
      <c r="G287" s="222"/>
      <c r="H287" s="5"/>
      <c r="I287" s="5"/>
      <c r="J287" s="5"/>
      <c r="K287" s="182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1">
        <f>'Données projet'!A261</f>
        <v>130</v>
      </c>
      <c r="B288" s="192">
        <f>'Données projet'!D261</f>
        <v>31</v>
      </c>
      <c r="C288" s="203">
        <v>70</v>
      </c>
      <c r="D288" s="190">
        <f t="shared" si="14"/>
        <v>2170</v>
      </c>
      <c r="E288" s="205"/>
      <c r="F288" s="262"/>
      <c r="G288" s="222"/>
      <c r="H288" s="5"/>
      <c r="I288" s="5"/>
      <c r="J288" s="5"/>
      <c r="K288" s="182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1">
        <f>'Données projet'!A262</f>
        <v>140</v>
      </c>
      <c r="B289" s="192">
        <f>'Données projet'!D262</f>
        <v>27</v>
      </c>
      <c r="C289" s="203">
        <v>80</v>
      </c>
      <c r="D289" s="190">
        <f t="shared" si="14"/>
        <v>2160</v>
      </c>
      <c r="E289" s="205"/>
      <c r="F289" s="262"/>
      <c r="G289" s="222"/>
      <c r="H289" s="5"/>
      <c r="I289" s="5"/>
      <c r="J289" s="5"/>
      <c r="K289" s="182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1">
        <f>'Données projet'!A263</f>
        <v>150</v>
      </c>
      <c r="B290" s="192">
        <f>'Données projet'!D263</f>
        <v>293</v>
      </c>
      <c r="C290" s="208">
        <v>200</v>
      </c>
      <c r="D290" s="190">
        <f t="shared" si="14"/>
        <v>58600</v>
      </c>
      <c r="E290" s="205"/>
      <c r="F290" s="262"/>
      <c r="G290" s="222"/>
      <c r="H290" s="5"/>
      <c r="I290" s="5"/>
      <c r="J290" s="5"/>
      <c r="K290" s="182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2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2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5" t="str">
        <f>IF('Données projet'!$B$18="","",'Données projet'!$B$18)</f>
        <v>Tilleul</v>
      </c>
      <c r="C293" s="5"/>
      <c r="D293" s="5"/>
      <c r="E293" s="5"/>
      <c r="F293" s="260"/>
      <c r="G293" s="222"/>
      <c r="H293" s="5"/>
      <c r="I293" s="5"/>
      <c r="J293" s="5"/>
      <c r="K293" s="182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2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2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09">
        <v>0</v>
      </c>
      <c r="B296" s="212" t="s">
        <v>132</v>
      </c>
      <c r="C296" s="211" t="s">
        <v>132</v>
      </c>
      <c r="D296" s="210" t="s">
        <v>132</v>
      </c>
      <c r="E296" s="205"/>
      <c r="F296" s="261"/>
      <c r="G296" s="222"/>
      <c r="H296" s="5"/>
      <c r="I296" s="5"/>
      <c r="J296" s="5"/>
      <c r="K296" s="182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09">
        <v>1</v>
      </c>
      <c r="B297" s="212" t="s">
        <v>132</v>
      </c>
      <c r="C297" s="211" t="s">
        <v>132</v>
      </c>
      <c r="D297" s="210" t="s">
        <v>132</v>
      </c>
      <c r="E297" s="205"/>
      <c r="F297" s="261"/>
      <c r="G297" s="220"/>
      <c r="H297" s="5"/>
      <c r="I297" s="5"/>
      <c r="J297" s="5"/>
      <c r="K297" s="182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09">
        <v>2</v>
      </c>
      <c r="B298" s="212" t="s">
        <v>132</v>
      </c>
      <c r="C298" s="211" t="s">
        <v>132</v>
      </c>
      <c r="D298" s="210" t="s">
        <v>132</v>
      </c>
      <c r="E298" s="205"/>
      <c r="F298" s="261"/>
      <c r="G298" s="220"/>
      <c r="H298" s="5"/>
      <c r="I298" s="5"/>
      <c r="J298" s="5"/>
      <c r="K298" s="182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09">
        <v>3</v>
      </c>
      <c r="B299" s="212" t="s">
        <v>132</v>
      </c>
      <c r="C299" s="211" t="s">
        <v>132</v>
      </c>
      <c r="D299" s="210" t="s">
        <v>132</v>
      </c>
      <c r="E299" s="205"/>
      <c r="F299" s="261"/>
      <c r="G299" s="220"/>
      <c r="H299" s="5"/>
      <c r="I299" s="5"/>
      <c r="J299" s="5"/>
      <c r="K299" s="182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09">
        <v>4</v>
      </c>
      <c r="B300" s="212" t="s">
        <v>132</v>
      </c>
      <c r="C300" s="211" t="s">
        <v>132</v>
      </c>
      <c r="D300" s="210" t="s">
        <v>132</v>
      </c>
      <c r="E300" s="205"/>
      <c r="F300" s="261"/>
      <c r="G300" s="220"/>
      <c r="H300" s="5"/>
      <c r="I300" s="5"/>
      <c r="J300" s="5"/>
      <c r="K300" s="182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09">
        <v>5</v>
      </c>
      <c r="B301" s="212" t="s">
        <v>132</v>
      </c>
      <c r="C301" s="211" t="s">
        <v>132</v>
      </c>
      <c r="D301" s="210" t="s">
        <v>132</v>
      </c>
      <c r="E301" s="205"/>
      <c r="F301" s="261"/>
      <c r="G301" s="221"/>
      <c r="H301" s="5"/>
      <c r="I301" s="5"/>
      <c r="J301" s="5"/>
      <c r="K301" s="182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1">
        <f>'Données projet'!A270</f>
        <v>15</v>
      </c>
      <c r="B302" s="192">
        <f>'Données projet'!D270</f>
        <v>0</v>
      </c>
      <c r="C302" s="203"/>
      <c r="D302" s="193">
        <f>B302*C302</f>
        <v>0</v>
      </c>
      <c r="E302" s="205"/>
      <c r="F302" s="263"/>
      <c r="G302" s="221"/>
      <c r="H302" s="5"/>
      <c r="I302" s="5"/>
      <c r="J302" s="5"/>
      <c r="K302" s="182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1">
        <f>'Données projet'!A271</f>
        <v>20</v>
      </c>
      <c r="B303" s="192">
        <f>'Données projet'!D271</f>
        <v>24.358974358974358</v>
      </c>
      <c r="C303" s="203">
        <v>10</v>
      </c>
      <c r="D303" s="193">
        <f t="shared" ref="D303:D321" si="15">B303*C303</f>
        <v>243.58974358974359</v>
      </c>
      <c r="E303" s="205"/>
      <c r="F303" s="263"/>
      <c r="G303" s="221"/>
      <c r="H303" s="5"/>
      <c r="I303" s="5"/>
      <c r="J303" s="5"/>
      <c r="K303" s="182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1">
        <f>'Données projet'!A272</f>
        <v>25</v>
      </c>
      <c r="B304" s="192">
        <f>'Données projet'!D272</f>
        <v>0</v>
      </c>
      <c r="C304" s="203"/>
      <c r="D304" s="193">
        <f t="shared" si="15"/>
        <v>0</v>
      </c>
      <c r="E304" s="205"/>
      <c r="F304" s="263"/>
      <c r="G304" s="221"/>
      <c r="H304" s="5"/>
      <c r="I304" s="5"/>
      <c r="J304" s="5"/>
      <c r="K304" s="182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1">
        <f>'Données projet'!A273</f>
        <v>30</v>
      </c>
      <c r="B305" s="192">
        <f>'Données projet'!D273</f>
        <v>32.692307692307693</v>
      </c>
      <c r="C305" s="203">
        <v>10</v>
      </c>
      <c r="D305" s="193">
        <f t="shared" si="15"/>
        <v>326.92307692307691</v>
      </c>
      <c r="E305" s="205"/>
      <c r="F305" s="263"/>
      <c r="G305" s="221"/>
      <c r="H305" s="5"/>
      <c r="I305" s="5"/>
      <c r="J305" s="5"/>
      <c r="K305" s="182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1">
        <f>'Données projet'!A274</f>
        <v>35</v>
      </c>
      <c r="B306" s="192">
        <f>'Données projet'!D274</f>
        <v>0</v>
      </c>
      <c r="C306" s="203"/>
      <c r="D306" s="193">
        <f t="shared" si="15"/>
        <v>0</v>
      </c>
      <c r="E306" s="205"/>
      <c r="F306" s="263"/>
      <c r="G306" s="221"/>
      <c r="H306" s="5"/>
      <c r="I306" s="5"/>
      <c r="J306" s="5"/>
      <c r="K306" s="182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1">
        <f>'Données projet'!A275</f>
        <v>40</v>
      </c>
      <c r="B307" s="192">
        <f>'Données projet'!D275</f>
        <v>34.615384615384613</v>
      </c>
      <c r="C307" s="203">
        <v>15</v>
      </c>
      <c r="D307" s="193">
        <f t="shared" si="15"/>
        <v>519.23076923076917</v>
      </c>
      <c r="E307" s="205"/>
      <c r="F307" s="263"/>
      <c r="G307" s="221"/>
      <c r="H307" s="5"/>
      <c r="I307" s="5"/>
      <c r="J307" s="5"/>
      <c r="K307" s="182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1">
        <f>'Données projet'!A276</f>
        <v>45</v>
      </c>
      <c r="B308" s="192">
        <f>'Données projet'!D276</f>
        <v>0</v>
      </c>
      <c r="C308" s="203"/>
      <c r="D308" s="193">
        <f t="shared" si="15"/>
        <v>0</v>
      </c>
      <c r="E308" s="205"/>
      <c r="F308" s="263"/>
      <c r="G308" s="217"/>
      <c r="H308" s="5"/>
      <c r="I308" s="5"/>
      <c r="J308" s="5"/>
      <c r="K308" s="182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1">
        <f>'Données projet'!A277</f>
        <v>50</v>
      </c>
      <c r="B309" s="192">
        <f>'Données projet'!D277</f>
        <v>32.692307692307693</v>
      </c>
      <c r="C309" s="203">
        <v>20</v>
      </c>
      <c r="D309" s="193">
        <f t="shared" si="15"/>
        <v>653.84615384615381</v>
      </c>
      <c r="E309" s="205"/>
      <c r="F309" s="263"/>
      <c r="G309" s="217"/>
      <c r="H309" s="5"/>
      <c r="I309" s="5"/>
      <c r="J309" s="5"/>
      <c r="K309" s="182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1">
        <f>'Données projet'!A278</f>
        <v>55</v>
      </c>
      <c r="B310" s="192">
        <f>'Données projet'!D278</f>
        <v>0</v>
      </c>
      <c r="C310" s="203"/>
      <c r="D310" s="193">
        <f t="shared" si="15"/>
        <v>0</v>
      </c>
      <c r="E310" s="205"/>
      <c r="F310" s="263"/>
      <c r="G310" s="217"/>
      <c r="H310" s="5"/>
      <c r="I310" s="5"/>
      <c r="J310" s="5"/>
      <c r="K310" s="182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1">
        <f>'Données projet'!A279</f>
        <v>60</v>
      </c>
      <c r="B311" s="192">
        <f>'Données projet'!D279</f>
        <v>30.128205128205128</v>
      </c>
      <c r="C311" s="203">
        <v>25</v>
      </c>
      <c r="D311" s="193">
        <f t="shared" si="15"/>
        <v>753.20512820512818</v>
      </c>
      <c r="E311" s="205"/>
      <c r="F311" s="263"/>
      <c r="G311" s="217"/>
      <c r="H311" s="5"/>
      <c r="I311" s="5"/>
      <c r="J311" s="5"/>
      <c r="K311" s="182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1">
        <f>'Données projet'!A280</f>
        <v>65</v>
      </c>
      <c r="B312" s="192">
        <f>'Données projet'!D280</f>
        <v>0</v>
      </c>
      <c r="C312" s="203"/>
      <c r="D312" s="193">
        <f t="shared" si="15"/>
        <v>0</v>
      </c>
      <c r="E312" s="205"/>
      <c r="F312" s="263"/>
      <c r="G312" s="217"/>
      <c r="H312" s="5"/>
      <c r="I312" s="5"/>
      <c r="J312" s="5"/>
      <c r="K312" s="182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1">
        <f>'Données projet'!A281</f>
        <v>70</v>
      </c>
      <c r="B313" s="192">
        <f>'Données projet'!D281</f>
        <v>27.564102564102562</v>
      </c>
      <c r="C313" s="203">
        <v>30</v>
      </c>
      <c r="D313" s="193">
        <f t="shared" si="15"/>
        <v>826.92307692307691</v>
      </c>
      <c r="E313" s="205"/>
      <c r="F313" s="263"/>
      <c r="G313" s="217"/>
      <c r="H313" s="5"/>
      <c r="I313" s="5"/>
      <c r="J313" s="5"/>
      <c r="K313" s="182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1">
        <f>'Données projet'!A282</f>
        <v>75</v>
      </c>
      <c r="B314" s="192">
        <f>'Données projet'!D282</f>
        <v>0</v>
      </c>
      <c r="C314" s="203"/>
      <c r="D314" s="193">
        <f t="shared" si="15"/>
        <v>0</v>
      </c>
      <c r="E314" s="205"/>
      <c r="F314" s="263"/>
      <c r="G314" s="217"/>
      <c r="H314" s="5"/>
      <c r="I314" s="5"/>
      <c r="J314" s="5"/>
      <c r="K314" s="182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1">
        <f>'Données projet'!A283</f>
        <v>80</v>
      </c>
      <c r="B315" s="192">
        <f>'Données projet'!D283</f>
        <v>26.282051282051281</v>
      </c>
      <c r="C315" s="203">
        <v>35</v>
      </c>
      <c r="D315" s="193">
        <f t="shared" si="15"/>
        <v>919.8717948717948</v>
      </c>
      <c r="E315" s="205"/>
      <c r="F315" s="263"/>
      <c r="G315" s="217"/>
      <c r="H315" s="5"/>
      <c r="I315" s="5"/>
      <c r="J315" s="5"/>
      <c r="K315" s="182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1">
        <f>'Données projet'!A284</f>
        <v>85</v>
      </c>
      <c r="B316" s="192">
        <f>'Données projet'!D284</f>
        <v>0</v>
      </c>
      <c r="C316" s="203"/>
      <c r="D316" s="193">
        <f t="shared" si="15"/>
        <v>0</v>
      </c>
      <c r="E316" s="205"/>
      <c r="F316" s="263"/>
      <c r="G316" s="217"/>
      <c r="H316" s="5"/>
      <c r="I316" s="5"/>
      <c r="J316" s="5"/>
      <c r="K316" s="182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1">
        <f>'Données projet'!A285</f>
        <v>90</v>
      </c>
      <c r="B317" s="192">
        <f>'Données projet'!D285</f>
        <v>24.358974358974358</v>
      </c>
      <c r="C317" s="203">
        <v>40</v>
      </c>
      <c r="D317" s="193">
        <f t="shared" si="15"/>
        <v>974.35897435897436</v>
      </c>
      <c r="E317" s="205"/>
      <c r="F317" s="263"/>
      <c r="G317" s="217"/>
      <c r="H317" s="5"/>
      <c r="I317" s="5"/>
      <c r="J317" s="5"/>
      <c r="K317" s="182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1">
        <f>'Données projet'!A286</f>
        <v>95</v>
      </c>
      <c r="B318" s="192">
        <f>'Données projet'!D286</f>
        <v>0</v>
      </c>
      <c r="C318" s="203"/>
      <c r="D318" s="193">
        <f t="shared" si="15"/>
        <v>0</v>
      </c>
      <c r="E318" s="205"/>
      <c r="F318" s="263"/>
      <c r="G318" s="217"/>
      <c r="H318" s="5"/>
      <c r="I318" s="5"/>
      <c r="J318" s="5"/>
      <c r="K318" s="182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1">
        <f>'Données projet'!A287</f>
        <v>100</v>
      </c>
      <c r="B319" s="192">
        <f>'Données projet'!D287</f>
        <v>22.435897435897434</v>
      </c>
      <c r="C319" s="203">
        <v>50</v>
      </c>
      <c r="D319" s="193">
        <f t="shared" si="15"/>
        <v>1121.7948717948718</v>
      </c>
      <c r="E319" s="205"/>
      <c r="F319" s="263"/>
      <c r="G319" s="217"/>
      <c r="H319" s="5"/>
      <c r="I319" s="5"/>
      <c r="J319" s="5"/>
      <c r="K319" s="182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1">
        <f>'Données projet'!A288</f>
        <v>105</v>
      </c>
      <c r="B320" s="192">
        <f>'Données projet'!D288</f>
        <v>0</v>
      </c>
      <c r="C320" s="208"/>
      <c r="D320" s="193">
        <f t="shared" si="15"/>
        <v>0</v>
      </c>
      <c r="E320" s="205"/>
      <c r="F320" s="263"/>
      <c r="G320" s="217"/>
      <c r="H320" s="5"/>
      <c r="I320" s="5"/>
      <c r="J320" s="5"/>
      <c r="K320" s="182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1">
        <f>'Données projet'!A289</f>
        <v>110</v>
      </c>
      <c r="B321" s="192">
        <f>'Données projet'!D289</f>
        <v>317.94871794871796</v>
      </c>
      <c r="C321" s="208">
        <v>80</v>
      </c>
      <c r="D321" s="193">
        <f t="shared" si="15"/>
        <v>25435.897435897437</v>
      </c>
      <c r="E321" s="205"/>
      <c r="F321" s="263"/>
      <c r="G321" s="217"/>
      <c r="H321" s="5"/>
      <c r="I321" s="5"/>
      <c r="J321" s="5"/>
      <c r="K321" s="182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7"/>
      <c r="H322" s="5"/>
      <c r="I322" s="5"/>
      <c r="J322" s="5"/>
      <c r="K322" s="182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7"/>
      <c r="H323" s="5"/>
      <c r="I323" s="5"/>
      <c r="J323" s="5"/>
      <c r="K323" s="182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7"/>
      <c r="H324" s="5"/>
      <c r="I324" s="5"/>
      <c r="J324" s="5"/>
      <c r="K324" s="182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7"/>
      <c r="H325" s="5"/>
      <c r="I325" s="5"/>
      <c r="J325" s="5"/>
      <c r="K325" s="182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7"/>
      <c r="H326" s="5"/>
      <c r="I326" s="5"/>
      <c r="J326" s="5"/>
      <c r="K326" s="182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7"/>
      <c r="H327" s="5"/>
      <c r="I327" s="5"/>
      <c r="J327" s="5"/>
      <c r="K327" s="182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0"/>
      <c r="G370" s="70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0"/>
      <c r="G371" s="70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0"/>
      <c r="G372" s="70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0"/>
      <c r="G373" s="7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0"/>
      <c r="G374" s="70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0"/>
      <c r="G375" s="70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0"/>
      <c r="G376" s="70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0"/>
      <c r="G377" s="70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0"/>
      <c r="G378" s="70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0"/>
      <c r="G379" s="70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0"/>
      <c r="G380" s="70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0"/>
      <c r="G381" s="7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0"/>
      <c r="G382" s="70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0"/>
      <c r="G383" s="70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0"/>
      <c r="G384" s="70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0"/>
      <c r="G385" s="7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0"/>
      <c r="G386" s="70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0"/>
      <c r="G387" s="70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0"/>
      <c r="G388" s="70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0"/>
      <c r="G389" s="7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0"/>
      <c r="G390" s="70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0"/>
      <c r="G391" s="70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0"/>
      <c r="G392" s="70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0"/>
      <c r="G393" s="7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0"/>
      <c r="G394" s="70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0"/>
      <c r="G395" s="70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0"/>
      <c r="G396" s="70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0"/>
      <c r="G397" s="70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0"/>
      <c r="G398" s="70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0"/>
      <c r="G399" s="70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0"/>
      <c r="G400" s="70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0"/>
      <c r="G401" s="7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0"/>
      <c r="G402" s="70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0"/>
      <c r="G403" s="70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0"/>
      <c r="G404" s="70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0"/>
      <c r="G405" s="7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0"/>
      <c r="G406" s="70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0"/>
      <c r="G407" s="70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0"/>
      <c r="G408" s="70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0"/>
      <c r="G409" s="7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0"/>
      <c r="G410" s="70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0"/>
      <c r="G411" s="70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0"/>
      <c r="G412" s="70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0"/>
      <c r="G413" s="7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0"/>
      <c r="G414" s="70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0"/>
      <c r="G415" s="70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0"/>
      <c r="G416" s="70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0"/>
      <c r="G417" s="7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0"/>
      <c r="G418" s="70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0"/>
      <c r="G419" s="70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0"/>
      <c r="G420" s="70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0"/>
      <c r="G421" s="7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0"/>
      <c r="G422" s="70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0"/>
      <c r="G423" s="70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0"/>
      <c r="G424" s="70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0"/>
      <c r="G425" s="7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0"/>
      <c r="G426" s="70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0"/>
      <c r="G427" s="70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0"/>
      <c r="G428" s="70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0"/>
      <c r="G429" s="7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0"/>
      <c r="G430" s="70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0"/>
      <c r="G431" s="70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0"/>
      <c r="G432" s="70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0"/>
      <c r="G433" s="7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0"/>
      <c r="G434" s="70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0"/>
      <c r="G435" s="70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0"/>
      <c r="G436" s="70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0"/>
      <c r="G437" s="70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0"/>
      <c r="G438" s="70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0"/>
      <c r="G439" s="70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0"/>
      <c r="G440" s="70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0"/>
      <c r="G441" s="7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Olivier GLEIZES (CNPF - C+FOR)</cp:lastModifiedBy>
  <dcterms:created xsi:type="dcterms:W3CDTF">2021-02-01T08:22:39Z</dcterms:created>
  <dcterms:modified xsi:type="dcterms:W3CDTF">2024-08-26T08:51:50Z</dcterms:modified>
</cp:coreProperties>
</file>