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Manon Lopez\Boisement ML_Sérent (56)\Dossier d_instruction\"/>
    </mc:Choice>
  </mc:AlternateContent>
  <xr:revisionPtr revIDLastSave="0" documentId="13_ncr:1_{CC3D72FC-9D77-4A45-8595-2C1D493C807D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<sst xmlns="http://schemas.openxmlformats.org/spreadsheetml/2006/main" count="1173" uniqueCount="325">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</sst>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2.6857443895264725</c:v>
                </c:pt>
                <c:pt idx="2">
                  <c:v>3.1220341304199875</c:v>
                </c:pt>
                <c:pt idx="3">
                  <c:v>3.6294543062141567</c:v>
                </c:pt>
                <c:pt idx="4">
                  <c:v>4.2196411951084407</c:v>
                </c:pt>
                <c:pt idx="5">
                  <c:v>4.9061407301443341</c:v>
                </c:pt>
                <c:pt idx="6">
                  <c:v>5.7047228248639001</c:v>
                </c:pt>
                <c:pt idx="7">
                  <c:v>6.6337475778846082</c:v>
                </c:pt>
                <c:pt idx="8">
                  <c:v>7.7145919404261862</c:v>
                </c:pt>
                <c:pt idx="9">
                  <c:v>8.9721468544252065</c:v>
                </c:pt>
                <c:pt idx="10">
                  <c:v>10.435396529059952</c:v>
                </c:pt>
                <c:pt idx="11">
                  <c:v>12.138093459674375</c:v>
                </c:pt>
                <c:pt idx="12">
                  <c:v>14.119545051198001</c:v>
                </c:pt>
                <c:pt idx="13">
                  <c:v>16.4255303418396</c:v>
                </c:pt>
                <c:pt idx="14">
                  <c:v>19.109368394664738</c:v>
                </c:pt>
                <c:pt idx="15">
                  <c:v>22.233163507675101</c:v>
                </c:pt>
                <c:pt idx="16">
                  <c:v>25.869256572403671</c:v>
                </c:pt>
                <c:pt idx="17">
                  <c:v>30.101916786266017</c:v>
                </c:pt>
                <c:pt idx="18">
                  <c:v>35.02931361101075</c:v>
                </c:pt>
                <c:pt idx="19">
                  <c:v>40.76581550402522</c:v>
                </c:pt>
                <c:pt idx="20">
                  <c:v>47.444669689030597</c:v>
                </c:pt>
                <c:pt idx="21">
                  <c:v>55.221126262315693</c:v>
                </c:pt>
                <c:pt idx="22">
                  <c:v>64.276080465407489</c:v>
                </c:pt>
                <c:pt idx="23">
                  <c:v>74.820319246250889</c:v>
                </c:pt>
                <c:pt idx="24">
                  <c:v>87.099472571871843</c:v>
                </c:pt>
                <c:pt idx="25">
                  <c:v>101.39978668847898</c:v>
                </c:pt>
                <c:pt idx="26">
                  <c:v>118.05485604963188</c:v>
                </c:pt>
                <c:pt idx="27">
                  <c:v>137.45347341592444</c:v>
                </c:pt>
                <c:pt idx="28">
                  <c:v>160.04878421511191</c:v>
                </c:pt>
                <c:pt idx="29">
                  <c:v>186.36896227536917</c:v>
                </c:pt>
                <c:pt idx="30">
                  <c:v>217.02966024841331</c:v>
                </c:pt>
                <c:pt idx="31">
                  <c:v>248.5147520072193</c:v>
                </c:pt>
                <c:pt idx="32">
                  <c:v>279.90926923873639</c:v>
                </c:pt>
                <c:pt idx="33">
                  <c:v>311.22479582646861</c:v>
                </c:pt>
                <c:pt idx="34">
                  <c:v>342.47039160511548</c:v>
                </c:pt>
                <c:pt idx="35">
                  <c:v>300.58416421224246</c:v>
                </c:pt>
                <c:pt idx="36">
                  <c:v>327.30479284170025</c:v>
                </c:pt>
                <c:pt idx="37">
                  <c:v>353.97726243685503</c:v>
                </c:pt>
                <c:pt idx="38">
                  <c:v>380.60570876556682</c:v>
                </c:pt>
                <c:pt idx="39">
                  <c:v>407.19364188215781</c:v>
                </c:pt>
                <c:pt idx="40">
                  <c:v>433.74407631419837</c:v>
                </c:pt>
                <c:pt idx="41">
                  <c:v>460.25962768938729</c:v>
                </c:pt>
                <c:pt idx="42">
                  <c:v>486.7425859271213</c:v>
                </c:pt>
                <c:pt idx="43">
                  <c:v>407.21770337500601</c:v>
                </c:pt>
                <c:pt idx="44">
                  <c:v>434.17658984458564</c:v>
                </c:pt>
                <c:pt idx="45">
                  <c:v>461.09955102666851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541.67540838982086</c:v>
                </c:pt>
                <c:pt idx="49">
                  <c:v>568.47594999773617</c:v>
                </c:pt>
                <c:pt idx="50">
                  <c:v>595.25009656142765</c:v>
                </c:pt>
                <c:pt idx="51">
                  <c:v>493.7406791167171</c:v>
                </c:pt>
                <c:pt idx="52">
                  <c:v>519.72092525120149</c:v>
                </c:pt>
                <c:pt idx="53">
                  <c:v>545.67379571805816</c:v>
                </c:pt>
                <c:pt idx="54">
                  <c:v>571.60077407490235</c:v>
                </c:pt>
                <c:pt idx="55">
                  <c:v>597.50319847338153</c:v>
                </c:pt>
                <c:pt idx="56">
                  <c:v>623.38228172182801</c:v>
                </c:pt>
                <c:pt idx="57">
                  <c:v>649.23912784550691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1" zoomScale="80" zoomScaleNormal="80" workbookViewId="0">
      <selection activeCell="G25" sqref="G2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1.82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0.80013736260000001</v>
      </c>
      <c r="D9" s="33">
        <f t="shared" ref="D9:D18" si="0">C9*$C$5</f>
        <v>1.456249999932</v>
      </c>
      <c r="E9" s="265">
        <v>54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0.19986263739999999</v>
      </c>
      <c r="D10" s="33">
        <f t="shared" si="0"/>
        <v>0.36375000006800001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1.82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17</v>
      </c>
      <c r="B36" s="259">
        <v>172.88</v>
      </c>
      <c r="C36" s="259"/>
      <c r="D36" s="259"/>
      <c r="E36" s="260"/>
      <c r="F36" s="260"/>
      <c r="G36" s="260"/>
      <c r="H36" s="260"/>
      <c r="I36" s="49">
        <f>IFERROR(B36/A36,"")</f>
        <v>10.169411764705883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202.42</v>
      </c>
      <c r="C37" s="259">
        <v>1</v>
      </c>
      <c r="D37" s="259">
        <v>74.819999999999993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29.539999999999992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289.16000000000003</v>
      </c>
      <c r="C38" s="259">
        <v>2</v>
      </c>
      <c r="D38" s="259">
        <v>51.39</v>
      </c>
      <c r="E38" s="260"/>
      <c r="F38" s="260">
        <v>1</v>
      </c>
      <c r="G38" s="260"/>
      <c r="H38" s="260"/>
      <c r="I38" s="53">
        <f t="shared" si="1"/>
        <v>26.926666666666673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410.69</v>
      </c>
      <c r="C39" s="259">
        <v>3</v>
      </c>
      <c r="D39" s="259">
        <v>80.97</v>
      </c>
      <c r="E39" s="260"/>
      <c r="F39" s="260">
        <v>1</v>
      </c>
      <c r="G39" s="260"/>
      <c r="H39" s="260"/>
      <c r="I39" s="49">
        <f t="shared" si="1"/>
        <v>28.819999999999993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501.69</v>
      </c>
      <c r="C40" s="259">
        <v>4</v>
      </c>
      <c r="D40" s="259">
        <v>85.88</v>
      </c>
      <c r="E40" s="260">
        <v>1</v>
      </c>
      <c r="F40" s="260"/>
      <c r="G40" s="260"/>
      <c r="H40" s="260"/>
      <c r="I40" s="49">
        <f t="shared" si="1"/>
        <v>28.661666666666662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584.37</v>
      </c>
      <c r="C41" s="259">
        <v>5</v>
      </c>
      <c r="D41" s="259">
        <v>91.25</v>
      </c>
      <c r="E41" s="260">
        <v>1</v>
      </c>
      <c r="F41" s="260"/>
      <c r="G41" s="260"/>
      <c r="H41" s="260"/>
      <c r="I41" s="53">
        <f t="shared" si="1"/>
        <v>28.093333333333334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655.72</v>
      </c>
      <c r="C42" s="259">
        <v>6</v>
      </c>
      <c r="D42" s="259">
        <v>101.34</v>
      </c>
      <c r="E42" s="260">
        <v>1</v>
      </c>
      <c r="F42" s="260"/>
      <c r="G42" s="260"/>
      <c r="H42" s="260"/>
      <c r="I42" s="53">
        <f t="shared" si="1"/>
        <v>27.100000000000005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708.61</v>
      </c>
      <c r="C43" s="259">
        <v>7</v>
      </c>
      <c r="D43" s="259">
        <v>707.75</v>
      </c>
      <c r="E43" s="260">
        <v>1</v>
      </c>
      <c r="F43" s="260"/>
      <c r="G43" s="260"/>
      <c r="H43" s="260"/>
      <c r="I43" s="49">
        <f t="shared" si="1"/>
        <v>25.705000000000002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108.42307700000001</v>
      </c>
      <c r="C62" s="261"/>
      <c r="D62" s="261"/>
      <c r="E62" s="260"/>
      <c r="F62" s="260"/>
      <c r="G62" s="260"/>
      <c r="H62" s="260"/>
      <c r="I62" s="53">
        <f>IFERROR(B62/A62,"")</f>
        <v>3.6141025666666668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16.154230749999996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406.53547024676948</v>
      </c>
      <c r="T3" s="59">
        <f>IF('Données projet'!E9&gt;30,$R$33-$H$33,LOOKUP('Données projet'!$E$9,$A$3:$A$203,R3:R203)-LOOKUP('Données projet'!$E$9,$A$3:$A$203,$H$3:$H$203))</f>
        <v>534.37689844719353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700.22008320816781</v>
      </c>
      <c r="AO3" s="59">
        <f>IF('Données projet'!E10&gt;30,$AM$33-$H$33,LOOKUP('Données projet'!$E$10,$A$3:$A$203,AM3:AM203)-LOOKUP('Données projet'!$E$10,$A$3:$A$203,$H$3:$H$203))</f>
        <v>253.69632691507996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10.169411764705883</v>
      </c>
      <c r="N4" s="13">
        <f>IF('Données projet'!$A$36&gt;35,N3+M4-V3,IF(A4&lt;'Données projet'!$A$36,$K$205^A4,IF(A4='Données projet'!$A$36,'Données projet'!$B$36,N3+M4-V3)))</f>
        <v>1.3540417154604885</v>
      </c>
      <c r="O4" s="13">
        <f>N4*VLOOKUP('Données projet'!$B$9,Paramètres!$A$1:$I$89,3,0)*VLOOKUP('Données projet'!$B$9,Paramètres!$A$1:$I$89,5,0)</f>
        <v>0.75690931894241309</v>
      </c>
      <c r="P4" s="13">
        <f>EXP(-1.0587+0.8836*LN(O4)+0.284)</f>
        <v>0.36030908494947955</v>
      </c>
      <c r="Q4" s="20">
        <f t="shared" ref="Q4:Q34" si="2">(O4+P4)*0.475*44/12</f>
        <v>1.9458220534450461</v>
      </c>
      <c r="R4" s="59">
        <f t="shared" si="0"/>
        <v>259.83471094233391</v>
      </c>
      <c r="S4" s="59">
        <f ca="1">AVERAGE(OFFSET($R$3,0,0,'Données projet'!$E$9+1,1))-AVERAGE(OFFSET($H$3,0,0,'Données projet'!$E$9+1,1))</f>
        <v>406.53547024676948</v>
      </c>
      <c r="T4" s="59">
        <f>$T$3</f>
        <v>534.37689844719353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3.6141025666666668</v>
      </c>
      <c r="AI4" s="13">
        <f>IF('Données projet'!$A$62&gt;35,AI3+AH4-AQ3,IF(A4&lt;'Données projet'!$A$62,$AF$205^A4,IF(A4='Données projet'!$A$62,'Données projet'!$B$62,AI3+AH4-AQ3)))</f>
        <v>1.1690615876247106</v>
      </c>
      <c r="AJ4" s="13">
        <f>AI4*VLOOKUP('Données projet'!$B$10,Paramètres!$A$1:$I$89,3,0)*VLOOKUP('Données projet'!$B$10,Paramètres!$A$1:$I$89,5,0)</f>
        <v>1.057766924482838</v>
      </c>
      <c r="AK4" s="13">
        <f>EXP(-1.0587+0.8836*LN(AJ4)+0.284)</f>
        <v>0.48428727046059128</v>
      </c>
      <c r="AL4" s="20">
        <f t="shared" ref="AL4:AL67" si="4">(AJ4+AK4)*0.475*44/12</f>
        <v>2.6857443895264725</v>
      </c>
      <c r="AM4" s="59">
        <f t="shared" ref="AM4:AM67" si="5">AL4+(AD4+AE4)*44/12</f>
        <v>260.57463327841532</v>
      </c>
      <c r="AN4" s="59">
        <f ca="1">AVERAGE(OFFSET($AM$3,0,0,'Données projet'!$E$10+1,1))-AVERAGE(OFFSET($H$3,0,0,'Données projet'!$E$10+1,1))</f>
        <v>700.22008320816781</v>
      </c>
      <c r="AO4" s="59">
        <f>$AO$3</f>
        <v>253.69632691507996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10.169411764705883</v>
      </c>
      <c r="N5" s="13">
        <f>IF('Données projet'!$A$36&gt;35,N4+M5-V4,IF(A5&lt;'Données projet'!$A$36,$K$205^A5,IF(A5='Données projet'!$A$36,'Données projet'!$B$36,N4+M5-V4)))</f>
        <v>1.8334289672071824</v>
      </c>
      <c r="O5" s="13">
        <f>N5*VLOOKUP('Données projet'!$B$9,Paramètres!$A$1:$I$89,3,0)*VLOOKUP('Données projet'!$B$9,Paramètres!$A$1:$I$89,5,0)</f>
        <v>1.024886792668815</v>
      </c>
      <c r="P5" s="13">
        <f t="shared" ref="P5:P68" si="33">EXP(-1.0587+0.8836*LN(O5)+0.284)</f>
        <v>0.47096137102098057</v>
      </c>
      <c r="Q5" s="20">
        <f t="shared" si="2"/>
        <v>2.6052688850930608</v>
      </c>
      <c r="R5" s="59">
        <f t="shared" si="0"/>
        <v>261.71637999620418</v>
      </c>
      <c r="S5" s="59">
        <f ca="1">AVERAGE(OFFSET($R$3,0,0,'Données projet'!$E$9+1,1))-AVERAGE(OFFSET($H$3,0,0,'Données projet'!$E$9+1,1))</f>
        <v>406.53547024676948</v>
      </c>
      <c r="T5" s="59">
        <f t="shared" ref="T5:T68" si="34">$T$3</f>
        <v>534.37689844719353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3.6141025666666668</v>
      </c>
      <c r="AI5" s="13">
        <f>IF('Données projet'!$A$62&gt;35,AI4+AH5-AQ4,IF(A5&lt;'Données projet'!$A$62,$AF$205^A5,IF(A5='Données projet'!$A$62,'Données projet'!$B$62,AI4+AH5-AQ4)))</f>
        <v>1.3667049956596089</v>
      </c>
      <c r="AJ5" s="13">
        <f>AI5*VLOOKUP('Données projet'!$B$10,Paramètres!$A$1:$I$89,3,0)*VLOOKUP('Données projet'!$B$10,Paramètres!$A$1:$I$89,5,0)</f>
        <v>1.236594680072814</v>
      </c>
      <c r="AK5" s="13">
        <f t="shared" ref="AK5:AK68" si="35">EXP(-1.0587+0.8836*LN(AJ5)+0.284)</f>
        <v>0.55596080150804017</v>
      </c>
      <c r="AL5" s="20">
        <f t="shared" si="4"/>
        <v>3.1220341304199875</v>
      </c>
      <c r="AM5" s="59">
        <f t="shared" si="5"/>
        <v>262.23314524153113</v>
      </c>
      <c r="AN5" s="59">
        <f ca="1">AVERAGE(OFFSET($AM$3,0,0,'Données projet'!$E$10+1,1))-AVERAGE(OFFSET($H$3,0,0,'Données projet'!$E$10+1,1))</f>
        <v>700.22008320816781</v>
      </c>
      <c r="AO5" s="59">
        <f t="shared" ref="AO5:AO68" si="36">$AO$3</f>
        <v>253.69632691507996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10.169411764705883</v>
      </c>
      <c r="N6" s="13">
        <f>IF('Données projet'!$A$36&gt;35,N5+M6-V5,IF(A6&lt;'Données projet'!$A$36,$K$205^A6,IF(A6='Données projet'!$A$36,'Données projet'!$B$36,N5+M6-V5)))</f>
        <v>2.4825393039321648</v>
      </c>
      <c r="O6" s="13">
        <f>N6*VLOOKUP('Données projet'!$B$9,Paramètres!$A$1:$I$89,3,0)*VLOOKUP('Données projet'!$B$9,Paramètres!$A$1:$I$89,5,0)</f>
        <v>1.3877394708980801</v>
      </c>
      <c r="P6" s="13">
        <f t="shared" si="33"/>
        <v>0.61559539367446658</v>
      </c>
      <c r="Q6" s="20">
        <f t="shared" si="2"/>
        <v>3.4891415557971848</v>
      </c>
      <c r="R6" s="59">
        <f t="shared" si="0"/>
        <v>263.82247488913049</v>
      </c>
      <c r="S6" s="59">
        <f ca="1">AVERAGE(OFFSET($R$3,0,0,'Données projet'!$E$9+1,1))-AVERAGE(OFFSET($H$3,0,0,'Données projet'!$E$9+1,1))</f>
        <v>406.53547024676948</v>
      </c>
      <c r="T6" s="59">
        <f t="shared" si="34"/>
        <v>534.37689844719353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3.6141025666666668</v>
      </c>
      <c r="AI6" s="13">
        <f>IF('Données projet'!$A$62&gt;35,AI5+AH6-AQ5,IF(A6&lt;'Données projet'!$A$62,$AF$205^A6,IF(A6='Données projet'!$A$62,'Données projet'!$B$62,AI5+AH6-AQ5)))</f>
        <v>1.5977623120404456</v>
      </c>
      <c r="AJ6" s="13">
        <f>AI6*VLOOKUP('Données projet'!$B$10,Paramètres!$A$1:$I$89,3,0)*VLOOKUP('Données projet'!$B$10,Paramètres!$A$1:$I$89,5,0)</f>
        <v>1.4456553399341951</v>
      </c>
      <c r="AK6" s="13">
        <f t="shared" si="35"/>
        <v>0.63824186937536864</v>
      </c>
      <c r="AL6" s="20">
        <f t="shared" si="4"/>
        <v>3.6294543062141567</v>
      </c>
      <c r="AM6" s="59">
        <f t="shared" si="5"/>
        <v>263.96278763954746</v>
      </c>
      <c r="AN6" s="59">
        <f ca="1">AVERAGE(OFFSET($AM$3,0,0,'Données projet'!$E$10+1,1))-AVERAGE(OFFSET($H$3,0,0,'Données projet'!$E$10+1,1))</f>
        <v>700.22008320816781</v>
      </c>
      <c r="AO6" s="59">
        <f t="shared" si="36"/>
        <v>253.69632691507996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10.169411764705883</v>
      </c>
      <c r="N7" s="13">
        <f>IF('Données projet'!$A$36&gt;35,N6+M7-V6,IF(A7&lt;'Données projet'!$A$36,$K$205^A7,IF(A7='Données projet'!$A$36,'Données projet'!$B$36,N6+M7-V6)))</f>
        <v>3.3614617777943954</v>
      </c>
      <c r="O7" s="13">
        <f>N7*VLOOKUP('Données projet'!$B$9,Paramètres!$A$1:$I$89,3,0)*VLOOKUP('Données projet'!$B$9,Paramètres!$A$1:$I$89,5,0)</f>
        <v>1.8790571337870672</v>
      </c>
      <c r="P7" s="13">
        <f t="shared" si="33"/>
        <v>0.80464707305334315</v>
      </c>
      <c r="Q7" s="20">
        <f t="shared" si="2"/>
        <v>4.6741181602470476</v>
      </c>
      <c r="R7" s="59">
        <f t="shared" si="0"/>
        <v>266.22967371580262</v>
      </c>
      <c r="S7" s="59">
        <f ca="1">AVERAGE(OFFSET($R$3,0,0,'Données projet'!$E$9+1,1))-AVERAGE(OFFSET($H$3,0,0,'Données projet'!$E$9+1,1))</f>
        <v>406.53547024676948</v>
      </c>
      <c r="T7" s="59">
        <f t="shared" si="34"/>
        <v>534.37689844719353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3.6141025666666668</v>
      </c>
      <c r="AI7" s="13">
        <f>IF('Données projet'!$A$62&gt;35,AI6+AH7-AQ6,IF(A7&lt;'Données projet'!$A$62,$AF$205^A7,IF(A7='Données projet'!$A$62,'Données projet'!$B$62,AI6+AH7-AQ6)))</f>
        <v>1.8678825451609316</v>
      </c>
      <c r="AJ7" s="13">
        <f>AI7*VLOOKUP('Données projet'!$B$10,Paramètres!$A$1:$I$89,3,0)*VLOOKUP('Données projet'!$B$10,Paramètres!$A$1:$I$89,5,0)</f>
        <v>1.6900601268616107</v>
      </c>
      <c r="AK7" s="13">
        <f t="shared" si="35"/>
        <v>0.73270036793749393</v>
      </c>
      <c r="AL7" s="20">
        <f t="shared" si="4"/>
        <v>4.2196411951084407</v>
      </c>
      <c r="AM7" s="59">
        <f t="shared" si="5"/>
        <v>265.77519675066401</v>
      </c>
      <c r="AN7" s="59">
        <f ca="1">AVERAGE(OFFSET($AM$3,0,0,'Données projet'!$E$10+1,1))-AVERAGE(OFFSET($H$3,0,0,'Données projet'!$E$10+1,1))</f>
        <v>700.22008320816781</v>
      </c>
      <c r="AO7" s="59">
        <f t="shared" si="36"/>
        <v>253.69632691507996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10.169411764705883</v>
      </c>
      <c r="N8" s="13">
        <f>IF('Données projet'!$A$36&gt;35,N7+M8-V7,IF(A8&lt;'Données projet'!$A$36,$K$205^A8,IF(A8='Données projet'!$A$36,'Données projet'!$B$36,N7+M8-V7)))</f>
        <v>4.5515594720595862</v>
      </c>
      <c r="O8" s="13">
        <f>N8*VLOOKUP('Données projet'!$B$9,Paramètres!$A$1:$I$89,3,0)*VLOOKUP('Données projet'!$B$9,Paramètres!$A$1:$I$89,5,0)</f>
        <v>2.5443217448813087</v>
      </c>
      <c r="P8" s="13">
        <f t="shared" si="33"/>
        <v>1.051757239944024</v>
      </c>
      <c r="Q8" s="20">
        <f t="shared" si="2"/>
        <v>6.2631708985707881</v>
      </c>
      <c r="R8" s="59">
        <f t="shared" si="0"/>
        <v>269.04094867634853</v>
      </c>
      <c r="S8" s="59">
        <f ca="1">AVERAGE(OFFSET($R$3,0,0,'Données projet'!$E$9+1,1))-AVERAGE(OFFSET($H$3,0,0,'Données projet'!$E$9+1,1))</f>
        <v>406.53547024676948</v>
      </c>
      <c r="T8" s="59">
        <f t="shared" si="34"/>
        <v>534.37689844719353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3.6141025666666668</v>
      </c>
      <c r="AI8" s="13">
        <f>IF('Données projet'!$A$62&gt;35,AI7+AH8-AQ7,IF(A8&lt;'Données projet'!$A$62,$AF$205^A8,IF(A8='Données projet'!$A$62,'Données projet'!$B$62,AI7+AH8-AQ7)))</f>
        <v>2.1836697337423239</v>
      </c>
      <c r="AJ8" s="13">
        <f>AI8*VLOOKUP('Données projet'!$B$10,Paramètres!$A$1:$I$89,3,0)*VLOOKUP('Données projet'!$B$10,Paramètres!$A$1:$I$89,5,0)</f>
        <v>1.9757843750900543</v>
      </c>
      <c r="AK8" s="13">
        <f t="shared" si="35"/>
        <v>0.84113853216985046</v>
      </c>
      <c r="AL8" s="20">
        <f t="shared" si="4"/>
        <v>4.9061407301443341</v>
      </c>
      <c r="AM8" s="59">
        <f t="shared" si="5"/>
        <v>267.6839185079221</v>
      </c>
      <c r="AN8" s="59">
        <f ca="1">AVERAGE(OFFSET($AM$3,0,0,'Données projet'!$E$10+1,1))-AVERAGE(OFFSET($H$3,0,0,'Données projet'!$E$10+1,1))</f>
        <v>700.22008320816781</v>
      </c>
      <c r="AO8" s="59">
        <f t="shared" si="36"/>
        <v>253.69632691507996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10.169411764705883</v>
      </c>
      <c r="N9" s="13">
        <f>IF('Données projet'!$A$36&gt;35,N8+M9-V8,IF(A9&lt;'Données projet'!$A$36,$K$205^A9,IF(A9='Données projet'!$A$36,'Données projet'!$B$36,N8+M9-V8)))</f>
        <v>6.1630013955679974</v>
      </c>
      <c r="O9" s="13">
        <f>N9*VLOOKUP('Données projet'!$B$9,Paramètres!$A$1:$I$89,3,0)*VLOOKUP('Données projet'!$B$9,Paramètres!$A$1:$I$89,5,0)</f>
        <v>3.4451177801225104</v>
      </c>
      <c r="P9" s="13">
        <f t="shared" si="33"/>
        <v>1.3747558759855676</v>
      </c>
      <c r="Q9" s="20">
        <f t="shared" si="2"/>
        <v>8.3946132843882353</v>
      </c>
      <c r="R9" s="59">
        <f t="shared" si="0"/>
        <v>272.39461328438824</v>
      </c>
      <c r="S9" s="59">
        <f ca="1">AVERAGE(OFFSET($R$3,0,0,'Données projet'!$E$9+1,1))-AVERAGE(OFFSET($H$3,0,0,'Données projet'!$E$9+1,1))</f>
        <v>406.53547024676948</v>
      </c>
      <c r="T9" s="59">
        <f t="shared" si="34"/>
        <v>534.37689844719353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3.6141025666666668</v>
      </c>
      <c r="AI9" s="13">
        <f>IF('Données projet'!$A$62&gt;35,AI8+AH9-AQ8,IF(A9&lt;'Données projet'!$A$62,$AF$205^A9,IF(A9='Données projet'!$A$62,'Données projet'!$B$62,AI8+AH9-AQ8)))</f>
        <v>2.5528444057768302</v>
      </c>
      <c r="AJ9" s="13">
        <f>AI9*VLOOKUP('Données projet'!$B$10,Paramètres!$A$1:$I$89,3,0)*VLOOKUP('Données projet'!$B$10,Paramètres!$A$1:$I$89,5,0)</f>
        <v>2.309813618346876</v>
      </c>
      <c r="AK9" s="13">
        <f t="shared" si="35"/>
        <v>0.96562532415871261</v>
      </c>
      <c r="AL9" s="20">
        <f t="shared" si="4"/>
        <v>5.7047228248639001</v>
      </c>
      <c r="AM9" s="59">
        <f t="shared" si="5"/>
        <v>269.70472282486389</v>
      </c>
      <c r="AN9" s="59">
        <f ca="1">AVERAGE(OFFSET($AM$3,0,0,'Données projet'!$E$10+1,1))-AVERAGE(OFFSET($H$3,0,0,'Données projet'!$E$10+1,1))</f>
        <v>700.22008320816781</v>
      </c>
      <c r="AO9" s="59">
        <f t="shared" si="36"/>
        <v>253.69632691507996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10.169411764705883</v>
      </c>
      <c r="N10" s="13">
        <f>IF('Données projet'!$A$36&gt;35,N9+M10-V9,IF(A10&lt;'Données projet'!$A$36,$K$205^A10,IF(A10='Données projet'!$A$36,'Données projet'!$B$36,N9+M10-V9)))</f>
        <v>8.3449609820402753</v>
      </c>
      <c r="O10" s="13">
        <f>N10*VLOOKUP('Données projet'!$B$9,Paramètres!$A$1:$I$89,3,0)*VLOOKUP('Données projet'!$B$9,Paramètres!$A$1:$I$89,5,0)</f>
        <v>4.6648331889605137</v>
      </c>
      <c r="P10" s="13">
        <f t="shared" si="33"/>
        <v>1.7969486177793568</v>
      </c>
      <c r="Q10" s="20">
        <f t="shared" si="2"/>
        <v>11.254269980071941</v>
      </c>
      <c r="R10" s="59">
        <f t="shared" si="0"/>
        <v>276.4764922022942</v>
      </c>
      <c r="S10" s="59">
        <f ca="1">AVERAGE(OFFSET($R$3,0,0,'Données projet'!$E$9+1,1))-AVERAGE(OFFSET($H$3,0,0,'Données projet'!$E$9+1,1))</f>
        <v>406.53547024676948</v>
      </c>
      <c r="T10" s="59">
        <f t="shared" si="34"/>
        <v>534.37689844719353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3.6141025666666668</v>
      </c>
      <c r="AI10" s="13">
        <f>IF('Données projet'!$A$62&gt;35,AI9+AH10-AQ9,IF(A10&lt;'Données projet'!$A$62,$AF$205^A10,IF(A10='Données projet'!$A$62,'Données projet'!$B$62,AI9+AH10-AQ9)))</f>
        <v>2.9844323339763221</v>
      </c>
      <c r="AJ10" s="13">
        <f>AI10*VLOOKUP('Données projet'!$B$10,Paramètres!$A$1:$I$89,3,0)*VLOOKUP('Données projet'!$B$10,Paramètres!$A$1:$I$89,5,0)</f>
        <v>2.700314375781776</v>
      </c>
      <c r="AK10" s="13">
        <f t="shared" si="35"/>
        <v>1.108535908171109</v>
      </c>
      <c r="AL10" s="20">
        <f t="shared" si="4"/>
        <v>6.6337475778846082</v>
      </c>
      <c r="AM10" s="59">
        <f t="shared" si="5"/>
        <v>271.85596980010683</v>
      </c>
      <c r="AN10" s="59">
        <f ca="1">AVERAGE(OFFSET($AM$3,0,0,'Données projet'!$E$10+1,1))-AVERAGE(OFFSET($H$3,0,0,'Données projet'!$E$10+1,1))</f>
        <v>700.22008320816781</v>
      </c>
      <c r="AO10" s="59">
        <f t="shared" si="36"/>
        <v>253.69632691507996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10.169411764705883</v>
      </c>
      <c r="N11" s="13">
        <f>IF('Données projet'!$A$36&gt;35,N10+M11-V10,IF(A11&lt;'Données projet'!$A$36,$K$205^A11,IF(A11='Données projet'!$A$36,'Données projet'!$B$36,N10+M11-V10)))</f>
        <v>11.299425283572656</v>
      </c>
      <c r="O11" s="13">
        <f>N11*VLOOKUP('Données projet'!$B$9,Paramètres!$A$1:$I$89,3,0)*VLOOKUP('Données projet'!$B$9,Paramètres!$A$1:$I$89,5,0)</f>
        <v>6.3163787335171149</v>
      </c>
      <c r="P11" s="13">
        <f t="shared" si="33"/>
        <v>2.3487983512885449</v>
      </c>
      <c r="Q11" s="20">
        <f t="shared" si="2"/>
        <v>15.091850089369855</v>
      </c>
      <c r="R11" s="59">
        <f t="shared" si="0"/>
        <v>281.53629453381433</v>
      </c>
      <c r="S11" s="59">
        <f ca="1">AVERAGE(OFFSET($R$3,0,0,'Données projet'!$E$9+1,1))-AVERAGE(OFFSET($H$3,0,0,'Données projet'!$E$9+1,1))</f>
        <v>406.53547024676948</v>
      </c>
      <c r="T11" s="59">
        <f t="shared" si="34"/>
        <v>534.37689844719353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3.6141025666666668</v>
      </c>
      <c r="AI11" s="13">
        <f>IF('Données projet'!$A$62&gt;35,AI10+AH11-AQ10,IF(A11&lt;'Données projet'!$A$62,$AF$205^A11,IF(A11='Données projet'!$A$62,'Données projet'!$B$62,AI10+AH11-AQ10)))</f>
        <v>3.4889852025168797</v>
      </c>
      <c r="AJ11" s="13">
        <f>AI11*VLOOKUP('Données projet'!$B$10,Paramètres!$A$1:$I$89,3,0)*VLOOKUP('Données projet'!$B$10,Paramètres!$A$1:$I$89,5,0)</f>
        <v>3.1568338112372727</v>
      </c>
      <c r="AK11" s="13">
        <f t="shared" si="35"/>
        <v>1.2725969679547968</v>
      </c>
      <c r="AL11" s="20">
        <f t="shared" si="4"/>
        <v>7.7145919404261862</v>
      </c>
      <c r="AM11" s="59">
        <f t="shared" si="5"/>
        <v>274.15903638487066</v>
      </c>
      <c r="AN11" s="59">
        <f ca="1">AVERAGE(OFFSET($AM$3,0,0,'Données projet'!$E$10+1,1))-AVERAGE(OFFSET($H$3,0,0,'Données projet'!$E$10+1,1))</f>
        <v>700.22008320816781</v>
      </c>
      <c r="AO11" s="59">
        <f t="shared" si="36"/>
        <v>253.69632691507996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10.169411764705883</v>
      </c>
      <c r="N12" s="13">
        <f>IF('Données projet'!$A$36&gt;35,N11+M12-V11,IF(A12&lt;'Données projet'!$A$36,$K$205^A12,IF(A12='Données projet'!$A$36,'Données projet'!$B$36,N11+M12-V11)))</f>
        <v>15.299893194686335</v>
      </c>
      <c r="O12" s="13">
        <f>N12*VLOOKUP('Données projet'!$B$9,Paramètres!$A$1:$I$89,3,0)*VLOOKUP('Données projet'!$B$9,Paramètres!$A$1:$I$89,5,0)</f>
        <v>8.5526402958296615</v>
      </c>
      <c r="P12" s="13">
        <f t="shared" si="33"/>
        <v>3.0701232302532038</v>
      </c>
      <c r="Q12" s="20">
        <f t="shared" si="2"/>
        <v>20.242979807927657</v>
      </c>
      <c r="R12" s="59">
        <f t="shared" si="0"/>
        <v>287.90964647459435</v>
      </c>
      <c r="S12" s="59">
        <f ca="1">AVERAGE(OFFSET($R$3,0,0,'Données projet'!$E$9+1,1))-AVERAGE(OFFSET($H$3,0,0,'Données projet'!$E$9+1,1))</f>
        <v>406.53547024676948</v>
      </c>
      <c r="T12" s="59">
        <f t="shared" si="34"/>
        <v>534.37689844719353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3.6141025666666668</v>
      </c>
      <c r="AI12" s="13">
        <f>IF('Données projet'!$A$62&gt;35,AI11+AH12-AQ11,IF(A12&lt;'Données projet'!$A$62,$AF$205^A12,IF(A12='Données projet'!$A$62,'Données projet'!$B$62,AI11+AH12-AQ11)))</f>
        <v>4.0788385800535059</v>
      </c>
      <c r="AJ12" s="13">
        <f>AI12*VLOOKUP('Données projet'!$B$10,Paramètres!$A$1:$I$89,3,0)*VLOOKUP('Données projet'!$B$10,Paramètres!$A$1:$I$89,5,0)</f>
        <v>3.6905331472324123</v>
      </c>
      <c r="AK12" s="13">
        <f t="shared" si="35"/>
        <v>1.4609387309064623</v>
      </c>
      <c r="AL12" s="20">
        <f t="shared" si="4"/>
        <v>8.9721468544252065</v>
      </c>
      <c r="AM12" s="59">
        <f t="shared" si="5"/>
        <v>276.63881352109189</v>
      </c>
      <c r="AN12" s="59">
        <f ca="1">AVERAGE(OFFSET($AM$3,0,0,'Données projet'!$E$10+1,1))-AVERAGE(OFFSET($H$3,0,0,'Données projet'!$E$10+1,1))</f>
        <v>700.22008320816781</v>
      </c>
      <c r="AO12" s="59">
        <f t="shared" si="36"/>
        <v>253.69632691507996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10.169411764705883</v>
      </c>
      <c r="N13" s="13">
        <f>IF('Données projet'!$A$36&gt;35,N12+M13-V12,IF(A13&lt;'Données projet'!$A$36,$K$205^A13,IF(A13='Données projet'!$A$36,'Données projet'!$B$36,N12+M13-V12)))</f>
        <v>20.716693627695339</v>
      </c>
      <c r="O13" s="13">
        <f>N13*VLOOKUP('Données projet'!$B$9,Paramètres!$A$1:$I$89,3,0)*VLOOKUP('Données projet'!$B$9,Paramètres!$A$1:$I$89,5,0)</f>
        <v>11.580631737881694</v>
      </c>
      <c r="P13" s="13">
        <f t="shared" si="33"/>
        <v>4.0129697143943712</v>
      </c>
      <c r="Q13" s="20">
        <f t="shared" si="2"/>
        <v>27.158855862714148</v>
      </c>
      <c r="R13" s="59">
        <f t="shared" si="0"/>
        <v>296.04774475160298</v>
      </c>
      <c r="S13" s="59">
        <f ca="1">AVERAGE(OFFSET($R$3,0,0,'Données projet'!$E$9+1,1))-AVERAGE(OFFSET($H$3,0,0,'Données projet'!$E$9+1,1))</f>
        <v>406.53547024676948</v>
      </c>
      <c r="T13" s="59">
        <f t="shared" si="34"/>
        <v>534.37689844719353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3.6141025666666668</v>
      </c>
      <c r="AI13" s="13">
        <f>IF('Données projet'!$A$62&gt;35,AI12+AH13-AQ12,IF(A13&lt;'Données projet'!$A$62,$AF$205^A13,IF(A13='Données projet'!$A$62,'Données projet'!$B$62,AI12+AH13-AQ12)))</f>
        <v>4.7684135060622719</v>
      </c>
      <c r="AJ13" s="13">
        <f>AI13*VLOOKUP('Données projet'!$B$10,Paramètres!$A$1:$I$89,3,0)*VLOOKUP('Données projet'!$B$10,Paramètres!$A$1:$I$89,5,0)</f>
        <v>4.3144605402851433</v>
      </c>
      <c r="AK13" s="13">
        <f t="shared" si="35"/>
        <v>1.6771546917110023</v>
      </c>
      <c r="AL13" s="20">
        <f t="shared" si="4"/>
        <v>10.435396529059952</v>
      </c>
      <c r="AM13" s="59">
        <f t="shared" si="5"/>
        <v>279.32428541794883</v>
      </c>
      <c r="AN13" s="59">
        <f ca="1">AVERAGE(OFFSET($AM$3,0,0,'Données projet'!$E$10+1,1))-AVERAGE(OFFSET($H$3,0,0,'Données projet'!$E$10+1,1))</f>
        <v>700.22008320816781</v>
      </c>
      <c r="AO13" s="59">
        <f t="shared" si="36"/>
        <v>253.69632691507996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10.169411764705883</v>
      </c>
      <c r="N14" s="13">
        <f>IF('Données projet'!$A$36&gt;35,N13+M14-V13,IF(A14&lt;'Données projet'!$A$36,$K$205^A14,IF(A14='Données projet'!$A$36,'Données projet'!$B$36,N13+M14-V13)))</f>
        <v>28.051267378313966</v>
      </c>
      <c r="O14" s="13">
        <f>N14*VLOOKUP('Données projet'!$B$9,Paramètres!$A$1:$I$89,3,0)*VLOOKUP('Données projet'!$B$9,Paramètres!$A$1:$I$89,5,0)</f>
        <v>15.680658464477508</v>
      </c>
      <c r="P14" s="13">
        <f t="shared" si="33"/>
        <v>5.245367928543474</v>
      </c>
      <c r="Q14" s="20">
        <f t="shared" si="2"/>
        <v>36.446162634511545</v>
      </c>
      <c r="R14" s="59">
        <f t="shared" si="0"/>
        <v>306.55727374562269</v>
      </c>
      <c r="S14" s="59">
        <f ca="1">AVERAGE(OFFSET($R$3,0,0,'Données projet'!$E$9+1,1))-AVERAGE(OFFSET($H$3,0,0,'Données projet'!$E$9+1,1))</f>
        <v>406.53547024676948</v>
      </c>
      <c r="T14" s="59">
        <f t="shared" si="34"/>
        <v>534.37689844719353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3.6141025666666668</v>
      </c>
      <c r="AI14" s="13">
        <f>IF('Données projet'!$A$62&gt;35,AI13+AH14-AQ13,IF(A14&lt;'Données projet'!$A$62,$AF$205^A14,IF(A14='Données projet'!$A$62,'Données projet'!$B$62,AI13+AH14-AQ13)))</f>
        <v>5.5745690638482719</v>
      </c>
      <c r="AJ14" s="13">
        <f>AI14*VLOOKUP('Données projet'!$B$10,Paramètres!$A$1:$I$89,3,0)*VLOOKUP('Données projet'!$B$10,Paramètres!$A$1:$I$89,5,0)</f>
        <v>5.043870088969916</v>
      </c>
      <c r="AK14" s="13">
        <f t="shared" si="35"/>
        <v>1.9253701749579548</v>
      </c>
      <c r="AL14" s="20">
        <f t="shared" si="4"/>
        <v>12.138093459674375</v>
      </c>
      <c r="AM14" s="59">
        <f t="shared" si="5"/>
        <v>282.24920457078554</v>
      </c>
      <c r="AN14" s="59">
        <f ca="1">AVERAGE(OFFSET($AM$3,0,0,'Données projet'!$E$10+1,1))-AVERAGE(OFFSET($H$3,0,0,'Données projet'!$E$10+1,1))</f>
        <v>700.22008320816781</v>
      </c>
      <c r="AO14" s="59">
        <f t="shared" si="36"/>
        <v>253.69632691507996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10.169411764705883</v>
      </c>
      <c r="N15" s="13">
        <f>IF('Données projet'!$A$36&gt;35,N14+M15-V14,IF(A15&lt;'Données projet'!$A$36,$K$205^A15,IF(A15='Données projet'!$A$36,'Données projet'!$B$36,N14+M15-V14)))</f>
        <v>37.982586201773081</v>
      </c>
      <c r="O15" s="13">
        <f>N15*VLOOKUP('Données projet'!$B$9,Paramètres!$A$1:$I$89,3,0)*VLOOKUP('Données projet'!$B$9,Paramètres!$A$1:$I$89,5,0)</f>
        <v>21.232265686791155</v>
      </c>
      <c r="P15" s="13">
        <f t="shared" si="33"/>
        <v>6.8562403067985267</v>
      </c>
      <c r="Q15" s="20">
        <f t="shared" si="2"/>
        <v>48.920814605502024</v>
      </c>
      <c r="R15" s="59">
        <f t="shared" si="0"/>
        <v>320.25414793883533</v>
      </c>
      <c r="S15" s="59">
        <f ca="1">AVERAGE(OFFSET($R$3,0,0,'Données projet'!$E$9+1,1))-AVERAGE(OFFSET($H$3,0,0,'Données projet'!$E$9+1,1))</f>
        <v>406.53547024676948</v>
      </c>
      <c r="T15" s="59">
        <f t="shared" si="34"/>
        <v>534.37689844719353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3.6141025666666668</v>
      </c>
      <c r="AI15" s="13">
        <f>IF('Données projet'!$A$62&gt;35,AI14+AH15-AQ14,IF(A15&lt;'Données projet'!$A$62,$AF$205^A15,IF(A15='Données projet'!$A$62,'Données projet'!$B$62,AI14+AH15-AQ14)))</f>
        <v>6.5170145601060572</v>
      </c>
      <c r="AJ15" s="13">
        <f>AI15*VLOOKUP('Données projet'!$B$10,Paramètres!$A$1:$I$89,3,0)*VLOOKUP('Données projet'!$B$10,Paramètres!$A$1:$I$89,5,0)</f>
        <v>5.8965947739839608</v>
      </c>
      <c r="AK15" s="13">
        <f t="shared" si="35"/>
        <v>2.2103210448857054</v>
      </c>
      <c r="AL15" s="20">
        <f t="shared" si="4"/>
        <v>14.119545051198001</v>
      </c>
      <c r="AM15" s="59">
        <f t="shared" si="5"/>
        <v>285.45287838453129</v>
      </c>
      <c r="AN15" s="59">
        <f ca="1">AVERAGE(OFFSET($AM$3,0,0,'Données projet'!$E$10+1,1))-AVERAGE(OFFSET($H$3,0,0,'Données projet'!$E$10+1,1))</f>
        <v>700.22008320816781</v>
      </c>
      <c r="AO15" s="59">
        <f t="shared" si="36"/>
        <v>253.69632691507996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10.169411764705883</v>
      </c>
      <c r="N16" s="13">
        <f>IF('Données projet'!$A$36&gt;35,N15+M16-V15,IF(A16&lt;'Données projet'!$A$36,$K$205^A16,IF(A16='Données projet'!$A$36,'Données projet'!$B$36,N15+M16-V15)))</f>
        <v>51.430006178274702</v>
      </c>
      <c r="O16" s="13">
        <f>N16*VLOOKUP('Données projet'!$B$9,Paramètres!$A$1:$I$89,3,0)*VLOOKUP('Données projet'!$B$9,Paramètres!$A$1:$I$89,5,0)</f>
        <v>28.749373453655558</v>
      </c>
      <c r="P16" s="13">
        <f t="shared" si="33"/>
        <v>8.9618176999114372</v>
      </c>
      <c r="Q16" s="20">
        <f t="shared" si="2"/>
        <v>65.680324592462512</v>
      </c>
      <c r="R16" s="59">
        <f t="shared" si="0"/>
        <v>338.23588014801805</v>
      </c>
      <c r="S16" s="59">
        <f ca="1">AVERAGE(OFFSET($R$3,0,0,'Données projet'!$E$9+1,1))-AVERAGE(OFFSET($H$3,0,0,'Données projet'!$E$9+1,1))</f>
        <v>406.53547024676948</v>
      </c>
      <c r="T16" s="59">
        <f t="shared" si="34"/>
        <v>534.37689844719353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3.6141025666666668</v>
      </c>
      <c r="AI16" s="13">
        <f>IF('Données projet'!$A$62&gt;35,AI15+AH16-AQ15,IF(A16&lt;'Données projet'!$A$62,$AF$205^A16,IF(A16='Données projet'!$A$62,'Données projet'!$B$62,AI15+AH16-AQ15)))</f>
        <v>7.6187913882109424</v>
      </c>
      <c r="AJ16" s="13">
        <f>AI16*VLOOKUP('Données projet'!$B$10,Paramètres!$A$1:$I$89,3,0)*VLOOKUP('Données projet'!$B$10,Paramètres!$A$1:$I$89,5,0)</f>
        <v>6.8934824480532608</v>
      </c>
      <c r="AK16" s="13">
        <f t="shared" si="35"/>
        <v>2.5374440640077554</v>
      </c>
      <c r="AL16" s="20">
        <f t="shared" si="4"/>
        <v>16.4255303418396</v>
      </c>
      <c r="AM16" s="59">
        <f t="shared" si="5"/>
        <v>288.98108589739513</v>
      </c>
      <c r="AN16" s="59">
        <f ca="1">AVERAGE(OFFSET($AM$3,0,0,'Données projet'!$E$10+1,1))-AVERAGE(OFFSET($H$3,0,0,'Données projet'!$E$10+1,1))</f>
        <v>700.22008320816781</v>
      </c>
      <c r="AO16" s="59">
        <f t="shared" si="36"/>
        <v>253.69632691507996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10.169411764705883</v>
      </c>
      <c r="N17" s="13">
        <f>IF('Données projet'!$A$36&gt;35,N16+M17-V16,IF(A17&lt;'Données projet'!$A$36,$K$205^A17,IF(A17='Données projet'!$A$36,'Données projet'!$B$36,N16+M17-V16)))</f>
        <v>69.638373791774598</v>
      </c>
      <c r="O17" s="13">
        <f>N17*VLOOKUP('Données projet'!$B$9,Paramètres!$A$1:$I$89,3,0)*VLOOKUP('Données projet'!$B$9,Paramètres!$A$1:$I$89,5,0)</f>
        <v>38.927850949602004</v>
      </c>
      <c r="P17" s="13">
        <f t="shared" si="33"/>
        <v>11.71402589358018</v>
      </c>
      <c r="Q17" s="20">
        <f t="shared" si="2"/>
        <v>88.201268835208964</v>
      </c>
      <c r="R17" s="59">
        <f t="shared" si="0"/>
        <v>361.97904661298674</v>
      </c>
      <c r="S17" s="59">
        <f ca="1">AVERAGE(OFFSET($R$3,0,0,'Données projet'!$E$9+1,1))-AVERAGE(OFFSET($H$3,0,0,'Données projet'!$E$9+1,1))</f>
        <v>406.53547024676948</v>
      </c>
      <c r="T17" s="59">
        <f t="shared" si="34"/>
        <v>534.37689844719353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3.6141025666666668</v>
      </c>
      <c r="AI17" s="13">
        <f>IF('Données projet'!$A$62&gt;35,AI16+AH17-AQ16,IF(A17&lt;'Données projet'!$A$62,$AF$205^A17,IF(A17='Données projet'!$A$62,'Données projet'!$B$62,AI16+AH17-AQ16)))</f>
        <v>8.9068363560833568</v>
      </c>
      <c r="AJ17" s="13">
        <f>AI17*VLOOKUP('Données projet'!$B$10,Paramètres!$A$1:$I$89,3,0)*VLOOKUP('Données projet'!$B$10,Paramètres!$A$1:$I$89,5,0)</f>
        <v>8.0589055349842198</v>
      </c>
      <c r="AK17" s="13">
        <f t="shared" si="35"/>
        <v>2.9129806246318992</v>
      </c>
      <c r="AL17" s="20">
        <f t="shared" si="4"/>
        <v>19.109368394664738</v>
      </c>
      <c r="AM17" s="59">
        <f t="shared" si="5"/>
        <v>292.8871461724425</v>
      </c>
      <c r="AN17" s="59">
        <f ca="1">AVERAGE(OFFSET($AM$3,0,0,'Données projet'!$E$10+1,1))-AVERAGE(OFFSET($H$3,0,0,'Données projet'!$E$10+1,1))</f>
        <v>700.22008320816781</v>
      </c>
      <c r="AO17" s="59">
        <f t="shared" si="36"/>
        <v>253.69632691507996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10.169411764705883</v>
      </c>
      <c r="N18" s="13">
        <f>IF('Données projet'!$A$36&gt;35,N17+M18-V17,IF(A18&lt;'Données projet'!$A$36,$K$205^A18,IF(A18='Données projet'!$A$36,'Données projet'!$B$36,N17+M18-V17)))</f>
        <v>94.293263110893193</v>
      </c>
      <c r="O18" s="13">
        <f>N18*VLOOKUP('Données projet'!$B$9,Paramètres!$A$1:$I$89,3,0)*VLOOKUP('Données projet'!$B$9,Paramètres!$A$1:$I$89,5,0)</f>
        <v>52.709934078989292</v>
      </c>
      <c r="P18" s="13">
        <f t="shared" si="33"/>
        <v>15.311447658305164</v>
      </c>
      <c r="Q18" s="20">
        <f t="shared" si="2"/>
        <v>118.47057319245452</v>
      </c>
      <c r="R18" s="59">
        <f t="shared" si="0"/>
        <v>393.47057319245454</v>
      </c>
      <c r="S18" s="59">
        <f ca="1">AVERAGE(OFFSET($R$3,0,0,'Données projet'!$E$9+1,1))-AVERAGE(OFFSET($H$3,0,0,'Données projet'!$E$9+1,1))</f>
        <v>406.53547024676948</v>
      </c>
      <c r="T18" s="59">
        <f t="shared" si="34"/>
        <v>534.37689844719353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3.6141025666666668</v>
      </c>
      <c r="AI18" s="13">
        <f>IF('Données projet'!$A$62&gt;35,AI17+AH18-AQ17,IF(A18&lt;'Données projet'!$A$62,$AF$205^A18,IF(A18='Données projet'!$A$62,'Données projet'!$B$62,AI17+AH18-AQ17)))</f>
        <v>10.412640251156303</v>
      </c>
      <c r="AJ18" s="13">
        <f>AI18*VLOOKUP('Données projet'!$B$10,Paramètres!$A$1:$I$89,3,0)*VLOOKUP('Données projet'!$B$10,Paramètres!$A$1:$I$89,5,0)</f>
        <v>9.4213568992462235</v>
      </c>
      <c r="AK18" s="13">
        <f t="shared" si="35"/>
        <v>3.3440958324332613</v>
      </c>
      <c r="AL18" s="20">
        <f t="shared" si="4"/>
        <v>22.233163507675101</v>
      </c>
      <c r="AM18" s="59">
        <f t="shared" si="5"/>
        <v>297.2331635076751</v>
      </c>
      <c r="AN18" s="59">
        <f ca="1">AVERAGE(OFFSET($AM$3,0,0,'Données projet'!$E$10+1,1))-AVERAGE(OFFSET($H$3,0,0,'Données projet'!$E$10+1,1))</f>
        <v>700.22008320816781</v>
      </c>
      <c r="AO18" s="59">
        <f t="shared" si="36"/>
        <v>253.69632691507996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10.169411764705883</v>
      </c>
      <c r="N19" s="13">
        <f>IF('Données projet'!$A$36&gt;35,N18+M19-V18,IF(A19&lt;'Données projet'!$A$36,$K$205^A19,IF(A19='Données projet'!$A$36,'Données projet'!$B$36,N18+M19-V18)))</f>
        <v>127.67701173904101</v>
      </c>
      <c r="O19" s="13">
        <f>N19*VLOOKUP('Données projet'!$B$9,Paramètres!$A$1:$I$89,3,0)*VLOOKUP('Données projet'!$B$9,Paramètres!$A$1:$I$89,5,0)</f>
        <v>71.371449562123928</v>
      </c>
      <c r="P19" s="13">
        <f t="shared" si="33"/>
        <v>20.013651286318474</v>
      </c>
      <c r="Q19" s="20">
        <f t="shared" si="2"/>
        <v>159.16238397770385</v>
      </c>
      <c r="R19" s="59">
        <f t="shared" si="0"/>
        <v>435.38460619992611</v>
      </c>
      <c r="S19" s="59">
        <f ca="1">AVERAGE(OFFSET($R$3,0,0,'Données projet'!$E$9+1,1))-AVERAGE(OFFSET($H$3,0,0,'Données projet'!$E$9+1,1))</f>
        <v>406.53547024676948</v>
      </c>
      <c r="T19" s="59">
        <f t="shared" si="34"/>
        <v>534.37689844719353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3.6141025666666668</v>
      </c>
      <c r="AI19" s="13">
        <f>IF('Données projet'!$A$62&gt;35,AI18+AH19-AQ18,IF(A19&lt;'Données projet'!$A$62,$AF$205^A19,IF(A19='Données projet'!$A$62,'Données projet'!$B$62,AI18+AH19-AQ18)))</f>
        <v>12.173017743381752</v>
      </c>
      <c r="AJ19" s="13">
        <f>AI19*VLOOKUP('Données projet'!$B$10,Paramètres!$A$1:$I$89,3,0)*VLOOKUP('Données projet'!$B$10,Paramètres!$A$1:$I$89,5,0)</f>
        <v>11.014146454211808</v>
      </c>
      <c r="AK19" s="13">
        <f t="shared" si="35"/>
        <v>3.8390152141539375</v>
      </c>
      <c r="AL19" s="20">
        <f t="shared" si="4"/>
        <v>25.869256572403671</v>
      </c>
      <c r="AM19" s="59">
        <f t="shared" si="5"/>
        <v>302.09147879462591</v>
      </c>
      <c r="AN19" s="59">
        <f ca="1">AVERAGE(OFFSET($AM$3,0,0,'Données projet'!$E$10+1,1))-AVERAGE(OFFSET($H$3,0,0,'Données projet'!$E$10+1,1))</f>
        <v>700.22008320816781</v>
      </c>
      <c r="AO19" s="59">
        <f t="shared" si="36"/>
        <v>253.69632691507996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172.88</v>
      </c>
      <c r="L20" s="12">
        <f>VLOOKUP(A20,'Données projet'!$A$35:$I$55,9,0)</f>
        <v>10.169411764705883</v>
      </c>
      <c r="M20" s="12">
        <f t="array" ref="M20">INDEX(L:L,MIN(IF(ISNUMBER(L20:L216),ROW(L20:L216),"")))</f>
        <v>10.169411764705883</v>
      </c>
      <c r="N20" s="13">
        <f>IF('Données projet'!$A$36&gt;35,N19+M20-V19,IF(A20&lt;'Données projet'!$A$36,$K$205^A20,IF(A20='Données projet'!$A$36,'Données projet'!$B$36,N19+M20-V19)))</f>
        <v>172.88</v>
      </c>
      <c r="O20" s="13">
        <f>N20*VLOOKUP('Données projet'!$B$9,Paramètres!$A$1:$I$89,3,0)*VLOOKUP('Données projet'!$B$9,Paramètres!$A$1:$I$89,5,0)</f>
        <v>96.639919999999989</v>
      </c>
      <c r="P20" s="13">
        <f t="shared" si="33"/>
        <v>26.159919476529339</v>
      </c>
      <c r="Q20" s="20">
        <f t="shared" si="2"/>
        <v>213.87638708828857</v>
      </c>
      <c r="R20" s="59">
        <f t="shared" si="0"/>
        <v>491.320831532733</v>
      </c>
      <c r="S20" s="59">
        <f ca="1">AVERAGE(OFFSET($R$3,0,0,'Données projet'!$E$9+1,1))-AVERAGE(OFFSET($H$3,0,0,'Données projet'!$E$9+1,1))</f>
        <v>406.53547024676948</v>
      </c>
      <c r="T20" s="59">
        <f t="shared" si="34"/>
        <v>534.37689844719353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3.6141025666666668</v>
      </c>
      <c r="AI20" s="13">
        <f>IF('Données projet'!$A$62&gt;35,AI19+AH20-AQ19,IF(A20&lt;'Données projet'!$A$62,$AF$205^A20,IF(A20='Données projet'!$A$62,'Données projet'!$B$62,AI19+AH20-AQ19)))</f>
        <v>14.231007449261643</v>
      </c>
      <c r="AJ20" s="13">
        <f>AI20*VLOOKUP('Données projet'!$B$10,Paramètres!$A$1:$I$89,3,0)*VLOOKUP('Données projet'!$B$10,Paramètres!$A$1:$I$89,5,0)</f>
        <v>12.876215540091936</v>
      </c>
      <c r="AK20" s="13">
        <f t="shared" si="35"/>
        <v>4.4071816577641512</v>
      </c>
      <c r="AL20" s="20">
        <f t="shared" si="4"/>
        <v>30.101916786266017</v>
      </c>
      <c r="AM20" s="59">
        <f t="shared" si="5"/>
        <v>307.54636123071049</v>
      </c>
      <c r="AN20" s="59">
        <f ca="1">AVERAGE(OFFSET($AM$3,0,0,'Données projet'!$E$10+1,1))-AVERAGE(OFFSET($H$3,0,0,'Données projet'!$E$10+1,1))</f>
        <v>700.22008320816781</v>
      </c>
      <c r="AO20" s="59">
        <f t="shared" si="36"/>
        <v>253.69632691507996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202.42</v>
      </c>
      <c r="L21" s="12">
        <f>VLOOKUP(A21,'Données projet'!$A$35:$I$55,9,0)</f>
        <v>29.539999999999992</v>
      </c>
      <c r="M21" s="12">
        <f t="array" ref="M21">INDEX(L:L,MIN(IF(ISNUMBER(L21:L217),ROW(L21:L217),"")))</f>
        <v>29.539999999999992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528.1174986001804</v>
      </c>
      <c r="S21" s="59">
        <f ca="1">AVERAGE(OFFSET($R$3,0,0,'Données projet'!$E$9+1,1))-AVERAGE(OFFSET($H$3,0,0,'Données projet'!$E$9+1,1))</f>
        <v>406.53547024676948</v>
      </c>
      <c r="T21" s="59">
        <f t="shared" si="34"/>
        <v>534.37689844719353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47.354913860019963</v>
      </c>
      <c r="AC21" s="22">
        <f t="shared" si="3"/>
        <v>47.354913860019963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3.6141025666666668</v>
      </c>
      <c r="AI21" s="13">
        <f>IF('Données projet'!$A$62&gt;35,AI20+AH21-AQ20,IF(A21&lt;'Données projet'!$A$62,$AF$205^A21,IF(A21='Données projet'!$A$62,'Données projet'!$B$62,AI20+AH21-AQ20)))</f>
        <v>16.6369241621329</v>
      </c>
      <c r="AJ21" s="13">
        <f>AI21*VLOOKUP('Données projet'!$B$10,Paramètres!$A$1:$I$89,3,0)*VLOOKUP('Données projet'!$B$10,Paramètres!$A$1:$I$89,5,0)</f>
        <v>15.053088981897847</v>
      </c>
      <c r="AK21" s="13">
        <f t="shared" si="35"/>
        <v>5.0594355794480377</v>
      </c>
      <c r="AL21" s="20">
        <f t="shared" si="4"/>
        <v>35.02931361101075</v>
      </c>
      <c r="AM21" s="59">
        <f t="shared" si="5"/>
        <v>313.69598027767745</v>
      </c>
      <c r="AN21" s="59">
        <f ca="1">AVERAGE(OFFSET($AM$3,0,0,'Données projet'!$E$10+1,1))-AVERAGE(OFFSET($H$3,0,0,'Données projet'!$E$10+1,1))</f>
        <v>700.22008320816781</v>
      </c>
      <c r="AO21" s="59">
        <f t="shared" si="36"/>
        <v>253.69632691507996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26.926666666666673</v>
      </c>
      <c r="N22" s="13">
        <f>IF('Données projet'!$A$36&gt;35,N21+M22-V21,IF(A22&lt;'Données projet'!$A$36,$K$205^A22,IF(A22='Données projet'!$A$36,'Données projet'!$B$36,N21+M22-V21)))</f>
        <v>154.52666666666667</v>
      </c>
      <c r="O22" s="13">
        <f>N22*VLOOKUP('Données projet'!$B$9,Paramètres!$A$1:$I$89,3,0)*VLOOKUP('Données projet'!$B$9,Paramètres!$A$1:$I$89,5,0)</f>
        <v>86.380406666666673</v>
      </c>
      <c r="P22" s="13">
        <f t="shared" si="33"/>
        <v>23.690191684477199</v>
      </c>
      <c r="Q22" s="20">
        <f t="shared" si="2"/>
        <v>191.70629212824224</v>
      </c>
      <c r="R22" s="59">
        <f t="shared" si="0"/>
        <v>471.5951810171311</v>
      </c>
      <c r="S22" s="59">
        <f ca="1">AVERAGE(OFFSET($R$3,0,0,'Données projet'!$E$9+1,1))-AVERAGE(OFFSET($H$3,0,0,'Données projet'!$E$9+1,1))</f>
        <v>406.53547024676948</v>
      </c>
      <c r="T22" s="59">
        <f t="shared" si="34"/>
        <v>534.37689844719353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33.484980712924944</v>
      </c>
      <c r="AC22" s="22">
        <f t="shared" si="3"/>
        <v>33.484980712924944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3.6141025666666668</v>
      </c>
      <c r="AI22" s="13">
        <f>IF('Données projet'!$A$62&gt;35,AI21+AH22-AQ21,IF(A22&lt;'Données projet'!$A$62,$AF$205^A22,IF(A22='Données projet'!$A$62,'Données projet'!$B$62,AI21+AH22-AQ21)))</f>
        <v>19.449588974174997</v>
      </c>
      <c r="AJ22" s="13">
        <f>AI22*VLOOKUP('Données projet'!$B$10,Paramètres!$A$1:$I$89,3,0)*VLOOKUP('Données projet'!$B$10,Paramètres!$A$1:$I$89,5,0)</f>
        <v>17.597988103833536</v>
      </c>
      <c r="AK22" s="13">
        <f t="shared" si="35"/>
        <v>5.8082217549369233</v>
      </c>
      <c r="AL22" s="20">
        <f t="shared" si="4"/>
        <v>40.76581550402522</v>
      </c>
      <c r="AM22" s="59">
        <f t="shared" si="5"/>
        <v>320.65470439291408</v>
      </c>
      <c r="AN22" s="59">
        <f ca="1">AVERAGE(OFFSET($AM$3,0,0,'Données projet'!$E$10+1,1))-AVERAGE(OFFSET($H$3,0,0,'Données projet'!$E$10+1,1))</f>
        <v>700.22008320816781</v>
      </c>
      <c r="AO22" s="59">
        <f t="shared" si="36"/>
        <v>253.69632691507996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26.926666666666673</v>
      </c>
      <c r="N23" s="13">
        <f>IF('Données projet'!$A$36&gt;35,N22+M23-V22,IF(A23&lt;'Données projet'!$A$36,$K$205^A23,IF(A23='Données projet'!$A$36,'Données projet'!$B$36,N22+M23-V22)))</f>
        <v>181.45333333333335</v>
      </c>
      <c r="O23" s="13">
        <f>N23*VLOOKUP('Données projet'!$B$9,Paramètres!$A$1:$I$89,3,0)*VLOOKUP('Données projet'!$B$9,Paramètres!$A$1:$I$89,5,0)</f>
        <v>101.43241333333334</v>
      </c>
      <c r="P23" s="13">
        <f t="shared" si="33"/>
        <v>27.302967287299122</v>
      </c>
      <c r="Q23" s="20">
        <f t="shared" si="2"/>
        <v>224.21412124760153</v>
      </c>
      <c r="R23" s="59">
        <f t="shared" si="0"/>
        <v>505.3252323587127</v>
      </c>
      <c r="S23" s="59">
        <f ca="1">AVERAGE(OFFSET($R$3,0,0,'Données projet'!$E$9+1,1))-AVERAGE(OFFSET($H$3,0,0,'Données projet'!$E$9+1,1))</f>
        <v>406.53547024676948</v>
      </c>
      <c r="T23" s="59">
        <f t="shared" si="34"/>
        <v>534.37689844719353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23.677456930009985</v>
      </c>
      <c r="AC23" s="22">
        <f t="shared" si="3"/>
        <v>23.677456930009985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3.6141025666666668</v>
      </c>
      <c r="AI23" s="13">
        <f>IF('Données projet'!$A$62&gt;35,AI22+AH23-AQ22,IF(A23&lt;'Données projet'!$A$62,$AF$205^A23,IF(A23='Données projet'!$A$62,'Données projet'!$B$62,AI22+AH23-AQ22)))</f>
        <v>22.737767364797087</v>
      </c>
      <c r="AJ23" s="13">
        <f>AI23*VLOOKUP('Données projet'!$B$10,Paramètres!$A$1:$I$89,3,0)*VLOOKUP('Données projet'!$B$10,Paramètres!$A$1:$I$89,5,0)</f>
        <v>20.573131911668401</v>
      </c>
      <c r="AK23" s="13">
        <f t="shared" si="35"/>
        <v>6.6678267614592155</v>
      </c>
      <c r="AL23" s="20">
        <f t="shared" si="4"/>
        <v>47.444669689030597</v>
      </c>
      <c r="AM23" s="59">
        <f t="shared" si="5"/>
        <v>328.55578080014175</v>
      </c>
      <c r="AN23" s="59">
        <f ca="1">AVERAGE(OFFSET($AM$3,0,0,'Données projet'!$E$10+1,1))-AVERAGE(OFFSET($H$3,0,0,'Données projet'!$E$10+1,1))</f>
        <v>700.22008320816781</v>
      </c>
      <c r="AO23" s="59">
        <f t="shared" si="36"/>
        <v>253.69632691507996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26.926666666666673</v>
      </c>
      <c r="N24" s="13">
        <f>IF('Données projet'!$A$36&gt;35,N23+M24-V23,IF(A24&lt;'Données projet'!$A$36,$K$205^A24,IF(A24='Données projet'!$A$36,'Données projet'!$B$36,N23+M24-V23)))</f>
        <v>208.38000000000002</v>
      </c>
      <c r="O24" s="13">
        <f>N24*VLOOKUP('Données projet'!$B$9,Paramètres!$A$1:$I$89,3,0)*VLOOKUP('Données projet'!$B$9,Paramètres!$A$1:$I$89,5,0)</f>
        <v>116.48442000000001</v>
      </c>
      <c r="P24" s="13">
        <f t="shared" si="33"/>
        <v>30.853634445731519</v>
      </c>
      <c r="Q24" s="20">
        <f t="shared" si="2"/>
        <v>256.61377815964903</v>
      </c>
      <c r="R24" s="59">
        <f t="shared" si="0"/>
        <v>538.94711149298234</v>
      </c>
      <c r="S24" s="59">
        <f ca="1">AVERAGE(OFFSET($R$3,0,0,'Données projet'!$E$9+1,1))-AVERAGE(OFFSET($H$3,0,0,'Données projet'!$E$9+1,1))</f>
        <v>406.53547024676948</v>
      </c>
      <c r="T24" s="59">
        <f t="shared" si="34"/>
        <v>534.37689844719353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16.742490356462476</v>
      </c>
      <c r="AC24" s="22">
        <f t="shared" si="3"/>
        <v>16.742490356462476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3.6141025666666668</v>
      </c>
      <c r="AI24" s="13">
        <f>IF('Données projet'!$A$62&gt;35,AI23+AH24-AQ23,IF(A24&lt;'Données projet'!$A$62,$AF$205^A24,IF(A24='Données projet'!$A$62,'Données projet'!$B$62,AI23+AH24-AQ23)))</f>
        <v>26.581850414531015</v>
      </c>
      <c r="AJ24" s="13">
        <f>AI24*VLOOKUP('Données projet'!$B$10,Paramètres!$A$1:$I$89,3,0)*VLOOKUP('Données projet'!$B$10,Paramètres!$A$1:$I$89,5,0)</f>
        <v>24.051258255067662</v>
      </c>
      <c r="AK24" s="13">
        <f t="shared" si="35"/>
        <v>7.6546515606159922</v>
      </c>
      <c r="AL24" s="20">
        <f t="shared" si="4"/>
        <v>55.221126262315693</v>
      </c>
      <c r="AM24" s="59">
        <f t="shared" si="5"/>
        <v>337.55445959564901</v>
      </c>
      <c r="AN24" s="59">
        <f ca="1">AVERAGE(OFFSET($AM$3,0,0,'Données projet'!$E$10+1,1))-AVERAGE(OFFSET($H$3,0,0,'Données projet'!$E$10+1,1))</f>
        <v>700.22008320816781</v>
      </c>
      <c r="AO24" s="59">
        <f t="shared" si="36"/>
        <v>253.69632691507996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26.926666666666673</v>
      </c>
      <c r="N25" s="13">
        <f>IF('Données projet'!$A$36&gt;35,N24+M25-V24,IF(A25&lt;'Données projet'!$A$36,$K$205^A25,IF(A25='Données projet'!$A$36,'Données projet'!$B$36,N24+M25-V24)))</f>
        <v>235.3066666666667</v>
      </c>
      <c r="O25" s="13">
        <f>N25*VLOOKUP('Données projet'!$B$9,Paramètres!$A$1:$I$89,3,0)*VLOOKUP('Données projet'!$B$9,Paramètres!$A$1:$I$89,5,0)</f>
        <v>131.5364266666667</v>
      </c>
      <c r="P25" s="13">
        <f t="shared" si="33"/>
        <v>34.351139290423262</v>
      </c>
      <c r="Q25" s="20">
        <f t="shared" si="2"/>
        <v>288.92084404193173</v>
      </c>
      <c r="R25" s="59">
        <f t="shared" si="0"/>
        <v>572.47639959748722</v>
      </c>
      <c r="S25" s="59">
        <f ca="1">AVERAGE(OFFSET($R$3,0,0,'Données projet'!$E$9+1,1))-AVERAGE(OFFSET($H$3,0,0,'Données projet'!$E$9+1,1))</f>
        <v>406.53547024676948</v>
      </c>
      <c r="T25" s="59">
        <f t="shared" si="34"/>
        <v>534.37689844719353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11.838728465004994</v>
      </c>
      <c r="AC25" s="22">
        <f t="shared" si="3"/>
        <v>11.838728465004994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3.6141025666666668</v>
      </c>
      <c r="AI25" s="13">
        <f>IF('Données projet'!$A$62&gt;35,AI24+AH25-AQ24,IF(A25&lt;'Données projet'!$A$62,$AF$205^A25,IF(A25='Données projet'!$A$62,'Données projet'!$B$62,AI24+AH25-AQ24)))</f>
        <v>31.0758202476142</v>
      </c>
      <c r="AJ25" s="13">
        <f>AI25*VLOOKUP('Données projet'!$B$10,Paramètres!$A$1:$I$89,3,0)*VLOOKUP('Données projet'!$B$10,Paramètres!$A$1:$I$89,5,0)</f>
        <v>28.117402160041326</v>
      </c>
      <c r="AK25" s="13">
        <f t="shared" si="35"/>
        <v>8.7875244229677616</v>
      </c>
      <c r="AL25" s="20">
        <f t="shared" si="4"/>
        <v>64.276080465407489</v>
      </c>
      <c r="AM25" s="59">
        <f t="shared" si="5"/>
        <v>347.83163602096306</v>
      </c>
      <c r="AN25" s="59">
        <f ca="1">AVERAGE(OFFSET($AM$3,0,0,'Données projet'!$E$10+1,1))-AVERAGE(OFFSET($H$3,0,0,'Données projet'!$E$10+1,1))</f>
        <v>700.22008320816781</v>
      </c>
      <c r="AO25" s="59">
        <f t="shared" si="36"/>
        <v>253.69632691507996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26.926666666666673</v>
      </c>
      <c r="N26" s="13">
        <f>IF('Données projet'!$A$36&gt;35,N25+M26-V25,IF(A26&lt;'Données projet'!$A$36,$K$205^A26,IF(A26='Données projet'!$A$36,'Données projet'!$B$36,N25+M26-V25)))</f>
        <v>262.23333333333335</v>
      </c>
      <c r="O26" s="13">
        <f>N26*VLOOKUP('Données projet'!$B$9,Paramètres!$A$1:$I$89,3,0)*VLOOKUP('Données projet'!$B$9,Paramètres!$A$1:$I$89,5,0)</f>
        <v>146.58843333333334</v>
      </c>
      <c r="P26" s="13">
        <f t="shared" si="33"/>
        <v>37.80225981907045</v>
      </c>
      <c r="Q26" s="20">
        <f t="shared" si="2"/>
        <v>321.14712390710332</v>
      </c>
      <c r="R26" s="59">
        <f t="shared" si="0"/>
        <v>605.92490168488109</v>
      </c>
      <c r="S26" s="59">
        <f ca="1">AVERAGE(OFFSET($R$3,0,0,'Données projet'!$E$9+1,1))-AVERAGE(OFFSET($H$3,0,0,'Données projet'!$E$9+1,1))</f>
        <v>406.53547024676948</v>
      </c>
      <c r="T26" s="59">
        <f t="shared" si="34"/>
        <v>534.37689844719353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8.3712451782312378</v>
      </c>
      <c r="AC26" s="22">
        <f t="shared" si="3"/>
        <v>8.3712451782312378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3.6141025666666668</v>
      </c>
      <c r="AI26" s="13">
        <f>IF('Données projet'!$A$62&gt;35,AI25+AH26-AQ25,IF(A26&lt;'Données projet'!$A$62,$AF$205^A26,IF(A26='Données projet'!$A$62,'Données projet'!$B$62,AI25+AH26-AQ25)))</f>
        <v>36.329547755415987</v>
      </c>
      <c r="AJ26" s="13">
        <f>AI26*VLOOKUP('Données projet'!$B$10,Paramètres!$A$1:$I$89,3,0)*VLOOKUP('Données projet'!$B$10,Paramètres!$A$1:$I$89,5,0)</f>
        <v>32.870974809100382</v>
      </c>
      <c r="AK26" s="13">
        <f t="shared" si="35"/>
        <v>10.088060164823585</v>
      </c>
      <c r="AL26" s="20">
        <f t="shared" si="4"/>
        <v>74.820319246250889</v>
      </c>
      <c r="AM26" s="59">
        <f t="shared" si="5"/>
        <v>359.59809702402868</v>
      </c>
      <c r="AN26" s="59">
        <f ca="1">AVERAGE(OFFSET($AM$3,0,0,'Données projet'!$E$10+1,1))-AVERAGE(OFFSET($H$3,0,0,'Données projet'!$E$10+1,1))</f>
        <v>700.22008320816781</v>
      </c>
      <c r="AO26" s="59">
        <f t="shared" si="36"/>
        <v>253.69632691507996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289.16000000000003</v>
      </c>
      <c r="L27" s="12">
        <f>VLOOKUP(A27,'Données projet'!$A$35:$I$55,9,0)</f>
        <v>26.926666666666673</v>
      </c>
      <c r="M27" s="12">
        <f t="array" ref="M27">INDEX(L:L,MIN(IF(ISNUMBER(L27:L223),ROW(L27:L223),"")))</f>
        <v>26.926666666666673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639.30185772822506</v>
      </c>
      <c r="S27" s="59">
        <f ca="1">AVERAGE(OFFSET($R$3,0,0,'Données projet'!$E$9+1,1))-AVERAGE(OFFSET($H$3,0,0,'Données projet'!$E$9+1,1))</f>
        <v>406.53547024676948</v>
      </c>
      <c r="T27" s="59">
        <f t="shared" si="34"/>
        <v>534.37689844719353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20.877001064528184</v>
      </c>
      <c r="AB27" s="21">
        <f>EXP(-LN(2)/2)*AB26+(1-EXP(-LN(2)/2))/(LN(2)/2)*V27*Y27*VLOOKUP('Données projet'!$B$9,Paramètres!$A$1:$I$89,3,0)*0.475*44/12</f>
        <v>5.9193642325024971</v>
      </c>
      <c r="AC27" s="22">
        <f t="shared" si="3"/>
        <v>26.796365297030682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3.6141025666666668</v>
      </c>
      <c r="AI27" s="13">
        <f>IF('Données projet'!$A$62&gt;35,AI26+AH27-AQ26,IF(A27&lt;'Données projet'!$A$62,$AF$205^A27,IF(A27='Données projet'!$A$62,'Données projet'!$B$62,AI26+AH27-AQ26)))</f>
        <v>42.471478776634356</v>
      </c>
      <c r="AJ27" s="13">
        <f>AI27*VLOOKUP('Données projet'!$B$10,Paramètres!$A$1:$I$89,3,0)*VLOOKUP('Données projet'!$B$10,Paramètres!$A$1:$I$89,5,0)</f>
        <v>38.428193997098766</v>
      </c>
      <c r="AK27" s="13">
        <f t="shared" si="35"/>
        <v>11.581072551344398</v>
      </c>
      <c r="AL27" s="20">
        <f t="shared" si="4"/>
        <v>87.099472571871843</v>
      </c>
      <c r="AM27" s="59">
        <f t="shared" si="5"/>
        <v>373.09947257187184</v>
      </c>
      <c r="AN27" s="59">
        <f ca="1">AVERAGE(OFFSET($AM$3,0,0,'Données projet'!$E$10+1,1))-AVERAGE(OFFSET($H$3,0,0,'Données projet'!$E$10+1,1))</f>
        <v>700.22008320816781</v>
      </c>
      <c r="AO27" s="59">
        <f t="shared" si="36"/>
        <v>253.69632691507996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28.819999999999993</v>
      </c>
      <c r="N28" s="13">
        <f>IF('Données projet'!$A$36&gt;35,N27+M28-V27,IF(A28&lt;'Données projet'!$A$36,$K$205^A28,IF(A28='Données projet'!$A$36,'Données projet'!$B$36,N27+M28-V27)))</f>
        <v>266.59000000000003</v>
      </c>
      <c r="O28" s="13">
        <f>N28*VLOOKUP('Données projet'!$B$9,Paramètres!$A$1:$I$89,3,0)*VLOOKUP('Données projet'!$B$9,Paramètres!$A$1:$I$89,5,0)</f>
        <v>149.02381000000003</v>
      </c>
      <c r="P28" s="13">
        <f t="shared" si="33"/>
        <v>38.356658710715394</v>
      </c>
      <c r="Q28" s="20">
        <f t="shared" si="2"/>
        <v>326.3543163378294</v>
      </c>
      <c r="R28" s="59">
        <f t="shared" si="0"/>
        <v>613.57653856005163</v>
      </c>
      <c r="S28" s="59">
        <f ca="1">AVERAGE(OFFSET($R$3,0,0,'Données projet'!$E$9+1,1))-AVERAGE(OFFSET($H$3,0,0,'Données projet'!$E$9+1,1))</f>
        <v>406.53547024676948</v>
      </c>
      <c r="T28" s="59">
        <f t="shared" si="34"/>
        <v>534.37689844719353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20.306118372544891</v>
      </c>
      <c r="AB28" s="21">
        <f>EXP(-LN(2)/2)*AB27+(1-EXP(-LN(2)/2))/(LN(2)/2)*V28*Y28*VLOOKUP('Données projet'!$B$9,Paramètres!$A$1:$I$89,3,0)*0.475*44/12</f>
        <v>4.1856225891156189</v>
      </c>
      <c r="AC28" s="22">
        <f t="shared" si="3"/>
        <v>24.491740961660511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3.6141025666666668</v>
      </c>
      <c r="AI28" s="13">
        <f>IF('Données projet'!$A$62&gt;35,AI27+AH28-AQ27,IF(A28&lt;'Données projet'!$A$62,$AF$205^A28,IF(A28='Données projet'!$A$62,'Données projet'!$B$62,AI27+AH28-AQ27)))</f>
        <v>49.65177440738136</v>
      </c>
      <c r="AJ28" s="13">
        <f>AI28*VLOOKUP('Données projet'!$B$10,Paramètres!$A$1:$I$89,3,0)*VLOOKUP('Données projet'!$B$10,Paramètres!$A$1:$I$89,5,0)</f>
        <v>44.924925483798653</v>
      </c>
      <c r="AK28" s="13">
        <f t="shared" si="35"/>
        <v>13.295047734466801</v>
      </c>
      <c r="AL28" s="20">
        <f t="shared" si="4"/>
        <v>101.39978668847898</v>
      </c>
      <c r="AM28" s="59">
        <f t="shared" si="5"/>
        <v>388.6220089107012</v>
      </c>
      <c r="AN28" s="59">
        <f ca="1">AVERAGE(OFFSET($AM$3,0,0,'Données projet'!$E$10+1,1))-AVERAGE(OFFSET($H$3,0,0,'Données projet'!$E$10+1,1))</f>
        <v>700.22008320816781</v>
      </c>
      <c r="AO28" s="59">
        <f t="shared" si="36"/>
        <v>253.69632691507996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28.819999999999993</v>
      </c>
      <c r="N29" s="13">
        <f>IF('Données projet'!$A$36&gt;35,N28+M29-V28,IF(A29&lt;'Données projet'!$A$36,$K$205^A29,IF(A29='Données projet'!$A$36,'Données projet'!$B$36,N28+M29-V28)))</f>
        <v>295.41000000000003</v>
      </c>
      <c r="O29" s="13">
        <f>N29*VLOOKUP('Données projet'!$B$9,Paramètres!$A$1:$I$89,3,0)*VLOOKUP('Données projet'!$B$9,Paramètres!$A$1:$I$89,5,0)</f>
        <v>165.13419000000002</v>
      </c>
      <c r="P29" s="13">
        <f t="shared" si="33"/>
        <v>41.998408993833188</v>
      </c>
      <c r="Q29" s="20">
        <f t="shared" si="2"/>
        <v>360.75594324759282</v>
      </c>
      <c r="R29" s="59">
        <f t="shared" si="0"/>
        <v>649.20038769203734</v>
      </c>
      <c r="S29" s="59">
        <f ca="1">AVERAGE(OFFSET($R$3,0,0,'Données projet'!$E$9+1,1))-AVERAGE(OFFSET($H$3,0,0,'Données projet'!$E$9+1,1))</f>
        <v>406.53547024676948</v>
      </c>
      <c r="T29" s="59">
        <f t="shared" si="34"/>
        <v>534.37689844719353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19.750846497795294</v>
      </c>
      <c r="AB29" s="21">
        <f>EXP(-LN(2)/2)*AB28+(1-EXP(-LN(2)/2))/(LN(2)/2)*V29*Y29*VLOOKUP('Données projet'!$B$9,Paramètres!$A$1:$I$89,3,0)*0.475*44/12</f>
        <v>2.9596821162512486</v>
      </c>
      <c r="AC29" s="22">
        <f t="shared" si="3"/>
        <v>22.710528614046542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3.6141025666666668</v>
      </c>
      <c r="AI29" s="13">
        <f>IF('Données projet'!$A$62&gt;35,AI28+AH29-AQ28,IF(A29&lt;'Données projet'!$A$62,$AF$205^A29,IF(A29='Données projet'!$A$62,'Données projet'!$B$62,AI28+AH29-AQ28)))</f>
        <v>58.045982217077224</v>
      </c>
      <c r="AJ29" s="13">
        <f>AI29*VLOOKUP('Données projet'!$B$10,Paramètres!$A$1:$I$89,3,0)*VLOOKUP('Données projet'!$B$10,Paramètres!$A$1:$I$89,5,0)</f>
        <v>52.52000471001147</v>
      </c>
      <c r="AK29" s="13">
        <f t="shared" si="35"/>
        <v>15.262687758676694</v>
      </c>
      <c r="AL29" s="20">
        <f t="shared" si="4"/>
        <v>118.05485604963188</v>
      </c>
      <c r="AM29" s="59">
        <f t="shared" si="5"/>
        <v>406.49930049407635</v>
      </c>
      <c r="AN29" s="59">
        <f ca="1">AVERAGE(OFFSET($AM$3,0,0,'Données projet'!$E$10+1,1))-AVERAGE(OFFSET($H$3,0,0,'Données projet'!$E$10+1,1))</f>
        <v>700.22008320816781</v>
      </c>
      <c r="AO29" s="59">
        <f t="shared" si="36"/>
        <v>253.69632691507996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28.819999999999993</v>
      </c>
      <c r="N30" s="13">
        <f>IF('Données projet'!$A$36&gt;35,N29+M30-V29,IF(A30&lt;'Données projet'!$A$36,$K$205^A30,IF(A30='Données projet'!$A$36,'Données projet'!$B$36,N29+M30-V29)))</f>
        <v>324.23</v>
      </c>
      <c r="O30" s="13">
        <f>N30*VLOOKUP('Données projet'!$B$9,Paramètres!$A$1:$I$89,3,0)*VLOOKUP('Données projet'!$B$9,Paramètres!$A$1:$I$89,5,0)</f>
        <v>181.24457000000001</v>
      </c>
      <c r="P30" s="13">
        <f t="shared" si="33"/>
        <v>45.598968922238527</v>
      </c>
      <c r="Q30" s="20">
        <f t="shared" si="2"/>
        <v>395.08583028956542</v>
      </c>
      <c r="R30" s="59">
        <f t="shared" si="0"/>
        <v>684.75249695623211</v>
      </c>
      <c r="S30" s="59">
        <f ca="1">AVERAGE(OFFSET($R$3,0,0,'Données projet'!$E$9+1,1))-AVERAGE(OFFSET($H$3,0,0,'Données projet'!$E$9+1,1))</f>
        <v>406.53547024676948</v>
      </c>
      <c r="T30" s="59">
        <f t="shared" si="34"/>
        <v>534.37689844719353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19.210758561661205</v>
      </c>
      <c r="AB30" s="21">
        <f>EXP(-LN(2)/2)*AB29+(1-EXP(-LN(2)/2))/(LN(2)/2)*V30*Y30*VLOOKUP('Données projet'!$B$9,Paramètres!$A$1:$I$89,3,0)*0.475*44/12</f>
        <v>2.0928112945578095</v>
      </c>
      <c r="AC30" s="22">
        <f t="shared" si="3"/>
        <v>21.303569856219013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3.6141025666666668</v>
      </c>
      <c r="AI30" s="13">
        <f>IF('Données projet'!$A$62&gt;35,AI29+AH30-AQ29,IF(A30&lt;'Données projet'!$A$62,$AF$205^A30,IF(A30='Données projet'!$A$62,'Données projet'!$B$62,AI29+AH30-AQ29)))</f>
        <v>67.859328125932024</v>
      </c>
      <c r="AJ30" s="13">
        <f>AI30*VLOOKUP('Données projet'!$B$10,Paramètres!$A$1:$I$89,3,0)*VLOOKUP('Données projet'!$B$10,Paramètres!$A$1:$I$89,5,0)</f>
        <v>61.399120088343295</v>
      </c>
      <c r="AK30" s="13">
        <f t="shared" si="35"/>
        <v>17.521534504531967</v>
      </c>
      <c r="AL30" s="20">
        <f t="shared" si="4"/>
        <v>137.45347341592444</v>
      </c>
      <c r="AM30" s="59">
        <f t="shared" si="5"/>
        <v>427.12014008259109</v>
      </c>
      <c r="AN30" s="59">
        <f ca="1">AVERAGE(OFFSET($AM$3,0,0,'Données projet'!$E$10+1,1))-AVERAGE(OFFSET($H$3,0,0,'Données projet'!$E$10+1,1))</f>
        <v>700.22008320816781</v>
      </c>
      <c r="AO30" s="59">
        <f t="shared" si="36"/>
        <v>253.69632691507996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28.819999999999993</v>
      </c>
      <c r="N31" s="13">
        <f>IF('Données projet'!$A$36&gt;35,N30+M31-V30,IF(A31&lt;'Données projet'!$A$36,$K$205^A31,IF(A31='Données projet'!$A$36,'Données projet'!$B$36,N30+M31-V30)))</f>
        <v>353.05</v>
      </c>
      <c r="O31" s="13">
        <f>N31*VLOOKUP('Données projet'!$B$9,Paramètres!$A$1:$I$89,3,0)*VLOOKUP('Données projet'!$B$9,Paramètres!$A$1:$I$89,5,0)</f>
        <v>197.35495</v>
      </c>
      <c r="P31" s="13">
        <f t="shared" si="33"/>
        <v>49.162416141827357</v>
      </c>
      <c r="Q31" s="20">
        <f t="shared" si="2"/>
        <v>429.35107936368263</v>
      </c>
      <c r="R31" s="59">
        <f t="shared" si="0"/>
        <v>720.23996825257154</v>
      </c>
      <c r="S31" s="59">
        <f ca="1">AVERAGE(OFFSET($R$3,0,0,'Données projet'!$E$9+1,1))-AVERAGE(OFFSET($H$3,0,0,'Données projet'!$E$9+1,1))</f>
        <v>406.53547024676948</v>
      </c>
      <c r="T31" s="59">
        <f t="shared" si="34"/>
        <v>534.37689844719353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18.685439358542695</v>
      </c>
      <c r="AB31" s="21">
        <f>EXP(-LN(2)/2)*AB30+(1-EXP(-LN(2)/2))/(LN(2)/2)*V31*Y31*VLOOKUP('Données projet'!$B$9,Paramètres!$A$1:$I$89,3,0)*0.475*44/12</f>
        <v>1.4798410581256243</v>
      </c>
      <c r="AC31" s="22">
        <f t="shared" si="3"/>
        <v>20.16528041666832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3.6141025666666668</v>
      </c>
      <c r="AI31" s="13">
        <f>IF('Données projet'!$A$62&gt;35,AI30+AH31-AQ30,IF(A31&lt;'Données projet'!$A$62,$AF$205^A31,IF(A31='Données projet'!$A$62,'Données projet'!$B$62,AI30+AH31-AQ30)))</f>
        <v>79.331733874048254</v>
      </c>
      <c r="AJ31" s="13">
        <f>AI31*VLOOKUP('Données projet'!$B$10,Paramètres!$A$1:$I$89,3,0)*VLOOKUP('Données projet'!$B$10,Paramètres!$A$1:$I$89,5,0)</f>
        <v>71.779352809238858</v>
      </c>
      <c r="AK31" s="13">
        <f t="shared" si="35"/>
        <v>20.114685974557457</v>
      </c>
      <c r="AL31" s="20">
        <f t="shared" si="4"/>
        <v>160.04878421511191</v>
      </c>
      <c r="AM31" s="59">
        <f t="shared" si="5"/>
        <v>450.93767310400074</v>
      </c>
      <c r="AN31" s="59">
        <f ca="1">AVERAGE(OFFSET($AM$3,0,0,'Données projet'!$E$10+1,1))-AVERAGE(OFFSET($H$3,0,0,'Données projet'!$E$10+1,1))</f>
        <v>700.22008320816781</v>
      </c>
      <c r="AO31" s="59">
        <f t="shared" si="36"/>
        <v>253.69632691507996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28.819999999999993</v>
      </c>
      <c r="N32" s="13">
        <f>IF('Données projet'!$A$36&gt;35,N31+M32-V31,IF(A32&lt;'Données projet'!$A$36,$K$205^A32,IF(A32='Données projet'!$A$36,'Données projet'!$B$36,N31+M32-V31)))</f>
        <v>381.87</v>
      </c>
      <c r="O32" s="13">
        <f>N32*VLOOKUP('Données projet'!$B$9,Paramètres!$A$1:$I$89,3,0)*VLOOKUP('Données projet'!$B$9,Paramètres!$A$1:$I$89,5,0)</f>
        <v>213.46533000000002</v>
      </c>
      <c r="P32" s="13">
        <f t="shared" si="33"/>
        <v>52.692124649376929</v>
      </c>
      <c r="Q32" s="20">
        <f t="shared" si="2"/>
        <v>463.55756684766487</v>
      </c>
      <c r="R32" s="59">
        <f t="shared" si="0"/>
        <v>755.66867795877602</v>
      </c>
      <c r="S32" s="59">
        <f ca="1">AVERAGE(OFFSET($R$3,0,0,'Données projet'!$E$9+1,1))-AVERAGE(OFFSET($H$3,0,0,'Données projet'!$E$9+1,1))</f>
        <v>406.53547024676948</v>
      </c>
      <c r="T32" s="59">
        <f t="shared" si="34"/>
        <v>534.37689844719353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18.174485036658794</v>
      </c>
      <c r="AB32" s="21">
        <f>EXP(-LN(2)/2)*AB31+(1-EXP(-LN(2)/2))/(LN(2)/2)*V32*Y32*VLOOKUP('Données projet'!$B$9,Paramètres!$A$1:$I$89,3,0)*0.475*44/12</f>
        <v>1.0464056472789047</v>
      </c>
      <c r="AC32" s="22">
        <f t="shared" si="3"/>
        <v>19.2208906839377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3.6141025666666668</v>
      </c>
      <c r="AI32" s="13">
        <f>IF('Données projet'!$A$62&gt;35,AI31+AH32-AQ31,IF(A32&lt;'Données projet'!$A$62,$AF$205^A32,IF(A32='Données projet'!$A$62,'Données projet'!$B$62,AI31+AH32-AQ31)))</f>
        <v>92.743682751815896</v>
      </c>
      <c r="AJ32" s="13">
        <f>AI32*VLOOKUP('Données projet'!$B$10,Paramètres!$A$1:$I$89,3,0)*VLOOKUP('Données projet'!$B$10,Paramètres!$A$1:$I$89,5,0)</f>
        <v>83.91448415384302</v>
      </c>
      <c r="AK32" s="13">
        <f t="shared" si="35"/>
        <v>23.091618587995725</v>
      </c>
      <c r="AL32" s="20">
        <f t="shared" si="4"/>
        <v>186.36896227536917</v>
      </c>
      <c r="AM32" s="59">
        <f t="shared" si="5"/>
        <v>478.48007338648029</v>
      </c>
      <c r="AN32" s="59">
        <f ca="1">AVERAGE(OFFSET($AM$3,0,0,'Données projet'!$E$10+1,1))-AVERAGE(OFFSET($H$3,0,0,'Données projet'!$E$10+1,1))</f>
        <v>700.22008320816781</v>
      </c>
      <c r="AO32" s="59">
        <f t="shared" si="36"/>
        <v>253.69632691507996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28.819999999999993</v>
      </c>
      <c r="M33" s="12">
        <f t="array" ref="M33">INDEX(L:L,MIN(IF(ISNUMBER(L33:L229),ROW(L33:L229),"")))</f>
        <v>28.819999999999993</v>
      </c>
      <c r="N33" s="13">
        <f>IF('Données projet'!$A$36&gt;35,N32+M33-V32,IF(A33&lt;'Données projet'!$A$36,$K$205^A33,IF(A33='Données projet'!$A$36,'Données projet'!$B$36,N32+M33-V32)))</f>
        <v>410.69</v>
      </c>
      <c r="O33" s="13">
        <f>N33*VLOOKUP('Données projet'!$B$9,Paramètres!$A$1:$I$89,3,0)*VLOOKUP('Données projet'!$B$9,Paramètres!$A$1:$I$89,5,0)</f>
        <v>229.57571000000002</v>
      </c>
      <c r="P33" s="13">
        <f t="shared" si="33"/>
        <v>56.190930256761952</v>
      </c>
      <c r="Q33" s="20">
        <f t="shared" si="2"/>
        <v>497.71023178052701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406.53547024676948</v>
      </c>
      <c r="T33" s="59">
        <f t="shared" si="34"/>
        <v>534.37689844719353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50.571271540152075</v>
      </c>
      <c r="AB33" s="21">
        <f>EXP(-LN(2)/2)*AB32+(1-EXP(-LN(2)/2))/(LN(2)/2)*V33*Y33*VLOOKUP('Données projet'!$B$9,Paramètres!$A$1:$I$89,3,0)*0.475*44/12</f>
        <v>0.73992052906281214</v>
      </c>
      <c r="AC33" s="22">
        <f t="shared" si="3"/>
        <v>51.31119206921489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108.42307700000001</v>
      </c>
      <c r="AG33" s="12">
        <f>VLOOKUP(A33,'Données projet'!$A$61:$I$81,9,0)</f>
        <v>3.6141025666666668</v>
      </c>
      <c r="AH33" s="12">
        <f t="array" ref="AH33">INDEX(AG:AG,MIN(IF(ISNUMBER(AG33:AG229),ROW(AG33:AG229),"")))</f>
        <v>3.6141025666666668</v>
      </c>
      <c r="AI33" s="13">
        <f>IF('Données projet'!$A$62&gt;35,AI32+AH33-AQ32,IF(A33&lt;'Données projet'!$A$62,$AF$205^A33,IF(A33='Données projet'!$A$62,'Données projet'!$B$62,AI32+AH33-AQ32)))</f>
        <v>108.42307700000001</v>
      </c>
      <c r="AJ33" s="13">
        <f>AI33*VLOOKUP('Données projet'!$B$10,Paramètres!$A$1:$I$89,3,0)*VLOOKUP('Données projet'!$B$10,Paramètres!$A$1:$I$89,5,0)</f>
        <v>98.101200069599997</v>
      </c>
      <c r="AK33" s="13">
        <f t="shared" si="35"/>
        <v>26.509131173508138</v>
      </c>
      <c r="AL33" s="20">
        <f t="shared" si="4"/>
        <v>217.02966024841331</v>
      </c>
      <c r="AM33" s="59">
        <f t="shared" si="5"/>
        <v>510.36299358174665</v>
      </c>
      <c r="AN33" s="59">
        <f ca="1">AVERAGE(OFFSET($AM$3,0,0,'Données projet'!$E$10+1,1))-AVERAGE(OFFSET($H$3,0,0,'Données projet'!$E$10+1,1))</f>
        <v>700.22008320816781</v>
      </c>
      <c r="AO33" s="59">
        <f t="shared" si="36"/>
        <v>253.69632691507996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28.661666666666662</v>
      </c>
      <c r="N34" s="13">
        <f>IF('Données projet'!$A$36&gt;35,N33+M34-V33,IF(A34&lt;'Données projet'!$A$36,$K$205^A34,IF(A34='Données projet'!$A$36,'Données projet'!$B$36,N33+M34-V33)))</f>
        <v>358.38166666666666</v>
      </c>
      <c r="O34" s="13">
        <f>N34*VLOOKUP('Données projet'!$B$9,Paramètres!$A$1:$I$89,3,0)*VLOOKUP('Données projet'!$B$9,Paramètres!$A$1:$I$89,5,0)</f>
        <v>200.33535166666667</v>
      </c>
      <c r="P34" s="13">
        <f t="shared" si="33"/>
        <v>49.817860683914162</v>
      </c>
      <c r="Q34" s="20">
        <f t="shared" si="2"/>
        <v>435.68351151059488</v>
      </c>
      <c r="R34" s="59">
        <f t="shared" si="0"/>
        <v>729.0168448439282</v>
      </c>
      <c r="S34" s="59">
        <f ca="1">AVERAGE(OFFSET($R$3,0,0,'Données projet'!$E$9+1,1))-AVERAGE(OFFSET($H$3,0,0,'Données projet'!$E$9+1,1))</f>
        <v>406.53547024676948</v>
      </c>
      <c r="T34" s="59">
        <f t="shared" si="34"/>
        <v>534.37689844719353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49.188397460459029</v>
      </c>
      <c r="AB34" s="21">
        <f>EXP(-LN(2)/2)*AB33+(1-EXP(-LN(2)/2))/(LN(2)/2)*V34*Y34*VLOOKUP('Données projet'!$B$9,Paramètres!$A$1:$I$89,3,0)*0.475*44/12</f>
        <v>0.52320282363945236</v>
      </c>
      <c r="AC34" s="22">
        <f t="shared" si="3"/>
        <v>49.711600284098481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16.154230749999996</v>
      </c>
      <c r="AI34" s="13">
        <f>IF('Données projet'!$A$62&gt;35,AI33+AH34-AQ33,IF(A34&lt;'Données projet'!$A$62,$AF$205^A34,IF(A34='Données projet'!$A$62,'Données projet'!$B$62,AI33+AH34-AQ33)))</f>
        <v>124.57730775</v>
      </c>
      <c r="AJ34" s="13">
        <f>AI34*VLOOKUP('Données projet'!$B$10,Paramètres!$A$1:$I$89,3,0)*VLOOKUP('Données projet'!$B$10,Paramètres!$A$1:$I$89,5,0)</f>
        <v>112.7175480522</v>
      </c>
      <c r="AK34" s="13">
        <f t="shared" si="35"/>
        <v>29.97034783711252</v>
      </c>
      <c r="AL34" s="20">
        <f t="shared" si="4"/>
        <v>248.5147520072193</v>
      </c>
      <c r="AM34" s="59">
        <f t="shared" si="5"/>
        <v>541.84808534055264</v>
      </c>
      <c r="AN34" s="59">
        <f ca="1">AVERAGE(OFFSET($AM$3,0,0,'Données projet'!$E$10+1,1))-AVERAGE(OFFSET($H$3,0,0,'Données projet'!$E$10+1,1))</f>
        <v>700.22008320816781</v>
      </c>
      <c r="AO34" s="59">
        <f t="shared" si="36"/>
        <v>253.69632691507996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28.661666666666662</v>
      </c>
      <c r="N35" s="13">
        <f>IF('Données projet'!$A$36&gt;35,N34+M35-V34,IF(A35&lt;'Données projet'!$A$36,$K$205^A35,IF(A35='Données projet'!$A$36,'Données projet'!$B$36,N34+M35-V34)))</f>
        <v>387.04333333333329</v>
      </c>
      <c r="O35" s="13">
        <f>N35*VLOOKUP('Données projet'!$B$9,Paramètres!$A$1:$I$89,3,0)*VLOOKUP('Données projet'!$B$9,Paramètres!$A$1:$I$89,5,0)</f>
        <v>216.35722333333334</v>
      </c>
      <c r="P35" s="13">
        <f t="shared" si="33"/>
        <v>53.322378483830668</v>
      </c>
      <c r="Q35" s="20">
        <f t="shared" ref="Q35:Q66" si="53">(O35+P35)*0.475*44/12</f>
        <v>469.69197316489391</v>
      </c>
      <c r="R35" s="59">
        <f t="shared" si="0"/>
        <v>763.02530649822722</v>
      </c>
      <c r="S35" s="59">
        <f ca="1">AVERAGE(OFFSET($R$3,0,0,'Données projet'!$E$9+1,1))-AVERAGE(OFFSET($H$3,0,0,'Données projet'!$E$9+1,1))</f>
        <v>406.53547024676948</v>
      </c>
      <c r="T35" s="59">
        <f t="shared" si="34"/>
        <v>534.37689844719353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47.843338145197379</v>
      </c>
      <c r="AB35" s="21">
        <f>EXP(-LN(2)/2)*AB34+(1-EXP(-LN(2)/2))/(LN(2)/2)*V35*Y35*VLOOKUP('Données projet'!$B$9,Paramètres!$A$1:$I$89,3,0)*0.475*44/12</f>
        <v>0.36996026453140607</v>
      </c>
      <c r="AC35" s="22">
        <f t="shared" si="3"/>
        <v>48.213298409728786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16.154230749999996</v>
      </c>
      <c r="AI35" s="13">
        <f>IF('Données projet'!$A$62&gt;35,AI34+AH35-AQ34,IF(A35&lt;'Données projet'!$A$62,$AF$205^A35,IF(A35='Données projet'!$A$62,'Données projet'!$B$62,AI34+AH35-AQ34)))</f>
        <v>140.7315385</v>
      </c>
      <c r="AJ35" s="13">
        <f>AI35*VLOOKUP('Données projet'!$B$10,Paramètres!$A$1:$I$89,3,0)*VLOOKUP('Données projet'!$B$10,Paramètres!$A$1:$I$89,5,0)</f>
        <v>127.33389603479999</v>
      </c>
      <c r="AK35" s="13">
        <f t="shared" si="35"/>
        <v>33.379559987440992</v>
      </c>
      <c r="AL35" s="20">
        <f t="shared" si="4"/>
        <v>279.90926923873639</v>
      </c>
      <c r="AM35" s="59">
        <f t="shared" si="5"/>
        <v>573.2426025720697</v>
      </c>
      <c r="AN35" s="59">
        <f ca="1">AVERAGE(OFFSET($AM$3,0,0,'Données projet'!$E$10+1,1))-AVERAGE(OFFSET($H$3,0,0,'Données projet'!$E$10+1,1))</f>
        <v>700.22008320816781</v>
      </c>
      <c r="AO35" s="59">
        <f t="shared" si="36"/>
        <v>253.69632691507996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28.661666666666662</v>
      </c>
      <c r="N36" s="13">
        <f>IF('Données projet'!$A$36&gt;35,N35+M36-V35,IF(A36&lt;'Données projet'!$A$36,$K$205^A36,IF(A36='Données projet'!$A$36,'Données projet'!$B$36,N35+M36-V35)))</f>
        <v>415.70499999999993</v>
      </c>
      <c r="O36" s="13">
        <f>N36*VLOOKUP('Données projet'!$B$9,Paramètres!$A$1:$I$89,3,0)*VLOOKUP('Données projet'!$B$9,Paramètres!$A$1:$I$89,5,0)</f>
        <v>232.37909499999998</v>
      </c>
      <c r="P36" s="13">
        <f t="shared" si="33"/>
        <v>56.796788993130136</v>
      </c>
      <c r="Q36" s="20">
        <f t="shared" si="53"/>
        <v>503.64799795470162</v>
      </c>
      <c r="R36" s="59">
        <f t="shared" si="0"/>
        <v>796.98133128803488</v>
      </c>
      <c r="S36" s="59">
        <f ca="1">AVERAGE(OFFSET($R$3,0,0,'Données projet'!$E$9+1,1))-AVERAGE(OFFSET($H$3,0,0,'Données projet'!$E$9+1,1))</f>
        <v>406.53547024676948</v>
      </c>
      <c r="T36" s="59">
        <f t="shared" si="34"/>
        <v>534.37689844719353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46.535059547645147</v>
      </c>
      <c r="AB36" s="21">
        <f>EXP(-LN(2)/2)*AB35+(1-EXP(-LN(2)/2))/(LN(2)/2)*V36*Y36*VLOOKUP('Données projet'!$B$9,Paramètres!$A$1:$I$89,3,0)*0.475*44/12</f>
        <v>0.26160141181972618</v>
      </c>
      <c r="AC36" s="22">
        <f t="shared" si="3"/>
        <v>46.796660959464873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16.154230749999996</v>
      </c>
      <c r="AI36" s="13">
        <f>IF('Données projet'!$A$62&gt;35,AI35+AH36-AQ35,IF(A36&lt;'Données projet'!$A$62,$AF$205^A36,IF(A36='Données projet'!$A$62,'Données projet'!$B$62,AI35+AH36-AQ35)))</f>
        <v>156.88576925000001</v>
      </c>
      <c r="AJ36" s="13">
        <f>AI36*VLOOKUP('Données projet'!$B$10,Paramètres!$A$1:$I$89,3,0)*VLOOKUP('Données projet'!$B$10,Paramètres!$A$1:$I$89,5,0)</f>
        <v>141.95024401740002</v>
      </c>
      <c r="AK36" s="13">
        <f t="shared" si="35"/>
        <v>36.743418658084359</v>
      </c>
      <c r="AL36" s="20">
        <f t="shared" si="4"/>
        <v>311.22479582646861</v>
      </c>
      <c r="AM36" s="59">
        <f t="shared" si="5"/>
        <v>604.55812915980187</v>
      </c>
      <c r="AN36" s="59">
        <f ca="1">AVERAGE(OFFSET($AM$3,0,0,'Données projet'!$E$10+1,1))-AVERAGE(OFFSET($H$3,0,0,'Données projet'!$E$10+1,1))</f>
        <v>700.22008320816781</v>
      </c>
      <c r="AO36" s="59">
        <f t="shared" si="36"/>
        <v>253.69632691507996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28.661666666666662</v>
      </c>
      <c r="N37" s="13">
        <f>IF('Données projet'!$A$36&gt;35,N36+M37-V36,IF(A37&lt;'Données projet'!$A$36,$K$205^A37,IF(A37='Données projet'!$A$36,'Données projet'!$B$36,N36+M37-V36)))</f>
        <v>444.36666666666656</v>
      </c>
      <c r="O37" s="13">
        <f>N37*VLOOKUP('Données projet'!$B$9,Paramètres!$A$1:$I$89,3,0)*VLOOKUP('Données projet'!$B$9,Paramètres!$A$1:$I$89,5,0)</f>
        <v>248.40096666666662</v>
      </c>
      <c r="P37" s="13">
        <f t="shared" si="33"/>
        <v>60.243404162664191</v>
      </c>
      <c r="Q37" s="20">
        <f t="shared" si="53"/>
        <v>537.55561252775112</v>
      </c>
      <c r="R37" s="59">
        <f t="shared" si="0"/>
        <v>830.88894586108449</v>
      </c>
      <c r="S37" s="59">
        <f ca="1">AVERAGE(OFFSET($R$3,0,0,'Données projet'!$E$9+1,1))-AVERAGE(OFFSET($H$3,0,0,'Données projet'!$E$9+1,1))</f>
        <v>406.53547024676948</v>
      </c>
      <c r="T37" s="59">
        <f t="shared" si="34"/>
        <v>534.37689844719353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45.26255589714237</v>
      </c>
      <c r="AB37" s="21">
        <f>EXP(-LN(2)/2)*AB36+(1-EXP(-LN(2)/2))/(LN(2)/2)*V37*Y37*VLOOKUP('Données projet'!$B$9,Paramètres!$A$1:$I$89,3,0)*0.475*44/12</f>
        <v>0.18498013226570303</v>
      </c>
      <c r="AC37" s="22">
        <f t="shared" si="3"/>
        <v>45.44753602940807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16.154230749999996</v>
      </c>
      <c r="AH37" s="12">
        <f t="array" ref="AH37">INDEX(AG:AG,MIN(IF(ISNUMBER(AG37:AG233),ROW(AG37:AG233),"")))</f>
        <v>16.154230749999996</v>
      </c>
      <c r="AI37" s="13">
        <f>IF('Données projet'!$A$62&gt;35,AI36+AH37-AQ36,IF(A37&lt;'Données projet'!$A$62,$AF$205^A37,IF(A37='Données projet'!$A$62,'Données projet'!$B$62,AI36+AH37-AQ36)))</f>
        <v>173.04000000000002</v>
      </c>
      <c r="AJ37" s="13">
        <f>AI37*VLOOKUP('Données projet'!$B$10,Paramètres!$A$1:$I$89,3,0)*VLOOKUP('Données projet'!$B$10,Paramètres!$A$1:$I$89,5,0)</f>
        <v>156.56659200000001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635.8037249384488</v>
      </c>
      <c r="AN37" s="59">
        <f ca="1">AVERAGE(OFFSET($AM$3,0,0,'Données projet'!$E$10+1,1))-AVERAGE(OFFSET($H$3,0,0,'Données projet'!$E$10+1,1))</f>
        <v>700.22008320816781</v>
      </c>
      <c r="AO37" s="59">
        <f t="shared" si="36"/>
        <v>253.69632691507996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28.661666666666662</v>
      </c>
      <c r="N38" s="13">
        <f>IF('Données projet'!$A$36&gt;35,N37+M38-V37,IF(A38&lt;'Données projet'!$A$36,$K$205^A38,IF(A38='Données projet'!$A$36,'Données projet'!$B$36,N37+M38-V37)))</f>
        <v>473.02833333333319</v>
      </c>
      <c r="O38" s="13">
        <f>N38*VLOOKUP('Données projet'!$B$9,Paramètres!$A$1:$I$89,3,0)*VLOOKUP('Données projet'!$B$9,Paramètres!$A$1:$I$89,5,0)</f>
        <v>264.42283833333329</v>
      </c>
      <c r="P38" s="13">
        <f t="shared" si="33"/>
        <v>63.664220837814945</v>
      </c>
      <c r="Q38" s="20">
        <f t="shared" si="53"/>
        <v>571.41829472308314</v>
      </c>
      <c r="R38" s="59">
        <f t="shared" si="0"/>
        <v>864.75162805641639</v>
      </c>
      <c r="S38" s="59">
        <f ca="1">AVERAGE(OFFSET($R$3,0,0,'Données projet'!$E$9+1,1))-AVERAGE(OFFSET($H$3,0,0,'Données projet'!$E$9+1,1))</f>
        <v>406.53547024676948</v>
      </c>
      <c r="T38" s="59">
        <f t="shared" si="34"/>
        <v>534.37689844719353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44.024848925880647</v>
      </c>
      <c r="AB38" s="21">
        <f>EXP(-LN(2)/2)*AB37+(1-EXP(-LN(2)/2))/(LN(2)/2)*V38*Y38*VLOOKUP('Données projet'!$B$9,Paramètres!$A$1:$I$89,3,0)*0.475*44/12</f>
        <v>0.13080070590986309</v>
      </c>
      <c r="AC38" s="22">
        <f t="shared" si="3"/>
        <v>44.15564963179051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151.39250000000004</v>
      </c>
      <c r="AJ38" s="13">
        <f>AI38*VLOOKUP('Données projet'!$B$10,Paramètres!$A$1:$I$89,3,0)*VLOOKUP('Données projet'!$B$10,Paramètres!$A$1:$I$89,5,0)</f>
        <v>136.97993400000004</v>
      </c>
      <c r="AK38" s="13">
        <f t="shared" si="35"/>
        <v>35.60427511707698</v>
      </c>
      <c r="AL38" s="20">
        <f t="shared" si="4"/>
        <v>300.58416421224246</v>
      </c>
      <c r="AM38" s="59">
        <f t="shared" si="5"/>
        <v>593.91749754557577</v>
      </c>
      <c r="AN38" s="59">
        <f ca="1">AVERAGE(OFFSET($AM$3,0,0,'Données projet'!$E$10+1,1))-AVERAGE(OFFSET($H$3,0,0,'Données projet'!$E$10+1,1))</f>
        <v>700.22008320816781</v>
      </c>
      <c r="AO38" s="59">
        <f t="shared" si="36"/>
        <v>253.69632691507996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28.661666666666662</v>
      </c>
      <c r="M39" s="12">
        <f t="array" ref="M39">INDEX(L:L,MIN(IF(ISNUMBER(L39:L235),ROW(L39:L235),"")))</f>
        <v>28.661666666666662</v>
      </c>
      <c r="N39" s="13">
        <f>IF('Données projet'!$A$36&gt;35,N38+M39-V38,IF(A39&lt;'Données projet'!$A$36,$K$205^A39,IF(A39='Données projet'!$A$36,'Données projet'!$B$36,N38+M39-V38)))</f>
        <v>501.68999999999983</v>
      </c>
      <c r="O39" s="13">
        <f>N39*VLOOKUP('Données projet'!$B$9,Paramètres!$A$1:$I$89,3,0)*VLOOKUP('Données projet'!$B$9,Paramètres!$A$1:$I$89,5,0)</f>
        <v>280.44470999999987</v>
      </c>
      <c r="P39" s="13">
        <f t="shared" si="33"/>
        <v>67.06098020598759</v>
      </c>
      <c r="Q39" s="20">
        <f t="shared" si="53"/>
        <v>605.23907710876153</v>
      </c>
      <c r="R39" s="59">
        <f t="shared" si="0"/>
        <v>898.57241044209491</v>
      </c>
      <c r="S39" s="59">
        <f ca="1">AVERAGE(OFFSET($R$3,0,0,'Données projet'!$E$9+1,1))-AVERAGE(OFFSET($H$3,0,0,'Données projet'!$E$9+1,1))</f>
        <v>406.53547024676948</v>
      </c>
      <c r="T39" s="59">
        <f t="shared" si="34"/>
        <v>534.37689844719353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0.55000000000000004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35.026350527921267</v>
      </c>
      <c r="AA39" s="21">
        <f>EXP(-LN(2)/25)*AA38+(1-EXP(-LN(2)/25))/(LN(2)/25)*Calculateur!V39*Calculateur!X39*VLOOKUP('Données projet'!$B$9,Paramètres!$A$1:$I$89,3,0)*0.475*44/12</f>
        <v>42.820987116836257</v>
      </c>
      <c r="AB39" s="21">
        <f>EXP(-LN(2)/2)*AB38+(1-EXP(-LN(2)/2))/(LN(2)/2)*V39*Y39*VLOOKUP('Données projet'!$B$9,Paramètres!$A$1:$I$89,3,0)*0.475*44/12</f>
        <v>9.2490066132851517E-2</v>
      </c>
      <c r="AC39" s="22">
        <f t="shared" si="3"/>
        <v>77.93982771089037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165.19500000000005</v>
      </c>
      <c r="AJ39" s="13">
        <f>AI39*VLOOKUP('Données projet'!$B$10,Paramètres!$A$1:$I$89,3,0)*VLOOKUP('Données projet'!$B$10,Paramètres!$A$1:$I$89,5,0)</f>
        <v>149.46843600000003</v>
      </c>
      <c r="AK39" s="13">
        <f t="shared" si="35"/>
        <v>38.457760846909231</v>
      </c>
      <c r="AL39" s="20">
        <f t="shared" si="4"/>
        <v>327.30479284170025</v>
      </c>
      <c r="AM39" s="59">
        <f t="shared" si="5"/>
        <v>620.63812617503356</v>
      </c>
      <c r="AN39" s="59">
        <f ca="1">AVERAGE(OFFSET($AM$3,0,0,'Données projet'!$E$10+1,1))-AVERAGE(OFFSET($H$3,0,0,'Données projet'!$E$10+1,1))</f>
        <v>700.22008320816781</v>
      </c>
      <c r="AO39" s="59">
        <f t="shared" si="36"/>
        <v>253.69632691507996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28.093333333333334</v>
      </c>
      <c r="N40" s="13">
        <f>IF('Données projet'!$A$36&gt;35,N39+M40-V39,IF(A40&lt;'Données projet'!$A$36,$K$205^A40,IF(A40='Données projet'!$A$36,'Données projet'!$B$36,N39+M40-V39)))</f>
        <v>443.90333333333319</v>
      </c>
      <c r="O40" s="13">
        <f>N40*VLOOKUP('Données projet'!$B$9,Paramètres!$A$1:$I$89,3,0)*VLOOKUP('Données projet'!$B$9,Paramètres!$A$1:$I$89,5,0)</f>
        <v>248.14196333333328</v>
      </c>
      <c r="P40" s="13">
        <f t="shared" si="33"/>
        <v>60.187897687681328</v>
      </c>
      <c r="Q40" s="20">
        <f t="shared" si="53"/>
        <v>537.00784127826716</v>
      </c>
      <c r="R40" s="59">
        <f t="shared" si="0"/>
        <v>830.34117461160054</v>
      </c>
      <c r="S40" s="59">
        <f ca="1">AVERAGE(OFFSET($R$3,0,0,'Données projet'!$E$9+1,1))-AVERAGE(OFFSET($H$3,0,0,'Données projet'!$E$9+1,1))</f>
        <v>406.53547024676948</v>
      </c>
      <c r="T40" s="59">
        <f t="shared" si="34"/>
        <v>534.37689844719353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34.339505158033035</v>
      </c>
      <c r="AA40" s="21">
        <f>EXP(-LN(2)/25)*AA39+(1-EXP(-LN(2)/25))/(LN(2)/25)*Calculateur!V40*Calculateur!X40*VLOOKUP('Données projet'!$B$9,Paramètres!$A$1:$I$89,3,0)*0.475*44/12</f>
        <v>41.650044972268525</v>
      </c>
      <c r="AB40" s="21">
        <f>EXP(-LN(2)/2)*AB39+(1-EXP(-LN(2)/2))/(LN(2)/2)*V40*Y40*VLOOKUP('Données projet'!$B$9,Paramètres!$A$1:$I$89,3,0)*0.475*44/12</f>
        <v>6.5400352954931545E-2</v>
      </c>
      <c r="AC40" s="22">
        <f t="shared" si="3"/>
        <v>76.054950483256491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178.99750000000006</v>
      </c>
      <c r="AJ40" s="13">
        <f>AI40*VLOOKUP('Données projet'!$B$10,Paramètres!$A$1:$I$89,3,0)*VLOOKUP('Données projet'!$B$10,Paramètres!$A$1:$I$89,5,0)</f>
        <v>161.95693800000006</v>
      </c>
      <c r="AK40" s="13">
        <f t="shared" si="35"/>
        <v>41.283595456567447</v>
      </c>
      <c r="AL40" s="20">
        <f t="shared" si="4"/>
        <v>353.97726243685503</v>
      </c>
      <c r="AM40" s="59">
        <f t="shared" si="5"/>
        <v>647.31059577018834</v>
      </c>
      <c r="AN40" s="59">
        <f ca="1">AVERAGE(OFFSET($AM$3,0,0,'Données projet'!$E$10+1,1))-AVERAGE(OFFSET($H$3,0,0,'Données projet'!$E$10+1,1))</f>
        <v>700.22008320816781</v>
      </c>
      <c r="AO40" s="59">
        <f t="shared" si="36"/>
        <v>253.69632691507996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28.093333333333334</v>
      </c>
      <c r="N41" s="13">
        <f>IF('Données projet'!$A$36&gt;35,N40+M41-V40,IF(A41&lt;'Données projet'!$A$36,$K$205^A41,IF(A41='Données projet'!$A$36,'Données projet'!$B$36,N40+M41-V40)))</f>
        <v>471.99666666666656</v>
      </c>
      <c r="O41" s="13">
        <f>N41*VLOOKUP('Données projet'!$B$9,Paramètres!$A$1:$I$89,3,0)*VLOOKUP('Données projet'!$B$9,Paramètres!$A$1:$I$89,5,0)</f>
        <v>263.84613666666661</v>
      </c>
      <c r="P41" s="13">
        <f t="shared" si="33"/>
        <v>63.541516886809745</v>
      </c>
      <c r="Q41" s="20">
        <f t="shared" si="53"/>
        <v>570.20016327230462</v>
      </c>
      <c r="R41" s="59">
        <f t="shared" si="0"/>
        <v>863.53349660563799</v>
      </c>
      <c r="S41" s="59">
        <f ca="1">AVERAGE(OFFSET($R$3,0,0,'Données projet'!$E$9+1,1))-AVERAGE(OFFSET($H$3,0,0,'Données projet'!$E$9+1,1))</f>
        <v>406.53547024676948</v>
      </c>
      <c r="T41" s="59">
        <f t="shared" si="34"/>
        <v>534.37689844719353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33.666128406914005</v>
      </c>
      <c r="AA41" s="21">
        <f>EXP(-LN(2)/25)*AA40+(1-EXP(-LN(2)/25))/(LN(2)/25)*Calculateur!V41*Calculateur!X41*VLOOKUP('Données projet'!$B$9,Paramètres!$A$1:$I$89,3,0)*0.475*44/12</f>
        <v>40.511122302221168</v>
      </c>
      <c r="AB41" s="21">
        <f>EXP(-LN(2)/2)*AB40+(1-EXP(-LN(2)/2))/(LN(2)/2)*V41*Y41*VLOOKUP('Données projet'!$B$9,Paramètres!$A$1:$I$89,3,0)*0.475*44/12</f>
        <v>4.6245033066425759E-2</v>
      </c>
      <c r="AC41" s="22">
        <f t="shared" si="3"/>
        <v>74.223495742201592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192.80000000000007</v>
      </c>
      <c r="AJ41" s="13">
        <f>AI41*VLOOKUP('Données projet'!$B$10,Paramètres!$A$1:$I$89,3,0)*VLOOKUP('Données projet'!$B$10,Paramètres!$A$1:$I$89,5,0)</f>
        <v>174.44544000000005</v>
      </c>
      <c r="AK41" s="13">
        <f t="shared" si="35"/>
        <v>44.084153549607706</v>
      </c>
      <c r="AL41" s="20">
        <f t="shared" si="4"/>
        <v>380.60570876556682</v>
      </c>
      <c r="AM41" s="59">
        <f t="shared" si="5"/>
        <v>673.93904209890013</v>
      </c>
      <c r="AN41" s="59">
        <f ca="1">AVERAGE(OFFSET($AM$3,0,0,'Données projet'!$E$10+1,1))-AVERAGE(OFFSET($H$3,0,0,'Données projet'!$E$10+1,1))</f>
        <v>700.22008320816781</v>
      </c>
      <c r="AO41" s="59">
        <f t="shared" si="36"/>
        <v>253.69632691507996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28.093333333333334</v>
      </c>
      <c r="N42" s="13">
        <f>IF('Données projet'!$A$36&gt;35,N41+M42-V41,IF(A42&lt;'Données projet'!$A$36,$K$205^A42,IF(A42='Données projet'!$A$36,'Données projet'!$B$36,N41+M42-V41)))</f>
        <v>500.08999999999992</v>
      </c>
      <c r="O42" s="13">
        <f>N42*VLOOKUP('Données projet'!$B$9,Paramètres!$A$1:$I$89,3,0)*VLOOKUP('Données projet'!$B$9,Paramètres!$A$1:$I$89,5,0)</f>
        <v>279.55030999999997</v>
      </c>
      <c r="P42" s="13">
        <f t="shared" si="33"/>
        <v>66.871967568934934</v>
      </c>
      <c r="Q42" s="20">
        <f t="shared" si="53"/>
        <v>603.35213343256157</v>
      </c>
      <c r="R42" s="59">
        <f t="shared" si="0"/>
        <v>896.68546676589494</v>
      </c>
      <c r="S42" s="59">
        <f ca="1">AVERAGE(OFFSET($R$3,0,0,'Données projet'!$E$9+1,1))-AVERAGE(OFFSET($H$3,0,0,'Données projet'!$E$9+1,1))</f>
        <v>406.53547024676948</v>
      </c>
      <c r="T42" s="59">
        <f t="shared" si="34"/>
        <v>534.37689844719353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33.005956163165152</v>
      </c>
      <c r="AA42" s="21">
        <f>EXP(-LN(2)/25)*AA41+(1-EXP(-LN(2)/25))/(LN(2)/25)*Calculateur!V42*Calculateur!X42*VLOOKUP('Données projet'!$B$9,Paramètres!$A$1:$I$89,3,0)*0.475*44/12</f>
        <v>39.403343532479596</v>
      </c>
      <c r="AB42" s="21">
        <f>EXP(-LN(2)/2)*AB41+(1-EXP(-LN(2)/2))/(LN(2)/2)*V42*Y42*VLOOKUP('Données projet'!$B$9,Paramètres!$A$1:$I$89,3,0)*0.475*44/12</f>
        <v>3.2700176477465773E-2</v>
      </c>
      <c r="AC42" s="22">
        <f t="shared" si="3"/>
        <v>72.44199987212221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206.60250000000008</v>
      </c>
      <c r="AJ42" s="13">
        <f>AI42*VLOOKUP('Données projet'!$B$10,Paramètres!$A$1:$I$89,3,0)*VLOOKUP('Données projet'!$B$10,Paramètres!$A$1:$I$89,5,0)</f>
        <v>186.93394200000006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700.52697521549112</v>
      </c>
      <c r="AN42" s="59">
        <f ca="1">AVERAGE(OFFSET($AM$3,0,0,'Données projet'!$E$10+1,1))-AVERAGE(OFFSET($H$3,0,0,'Données projet'!$E$10+1,1))</f>
        <v>700.22008320816781</v>
      </c>
      <c r="AO42" s="59">
        <f t="shared" si="36"/>
        <v>253.69632691507996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28.093333333333334</v>
      </c>
      <c r="N43" s="13">
        <f>IF('Données projet'!$A$36&gt;35,N42+M43-V42,IF(A43&lt;'Données projet'!$A$36,$K$205^A43,IF(A43='Données projet'!$A$36,'Données projet'!$B$36,N42+M43-V42)))</f>
        <v>528.18333333333328</v>
      </c>
      <c r="O43" s="13">
        <f>N43*VLOOKUP('Données projet'!$B$9,Paramètres!$A$1:$I$89,3,0)*VLOOKUP('Données projet'!$B$9,Paramètres!$A$1:$I$89,5,0)</f>
        <v>295.25448333333333</v>
      </c>
      <c r="P43" s="13">
        <f t="shared" si="33"/>
        <v>70.180699585942122</v>
      </c>
      <c r="Q43" s="20">
        <f t="shared" si="53"/>
        <v>636.46627691773801</v>
      </c>
      <c r="R43" s="59">
        <f t="shared" si="0"/>
        <v>929.79961025107127</v>
      </c>
      <c r="S43" s="59">
        <f ca="1">AVERAGE(OFFSET($R$3,0,0,'Données projet'!$E$9+1,1))-AVERAGE(OFFSET($H$3,0,0,'Données projet'!$E$9+1,1))</f>
        <v>406.53547024676948</v>
      </c>
      <c r="T43" s="59">
        <f t="shared" si="34"/>
        <v>534.37689844719353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32.358729494450905</v>
      </c>
      <c r="AA43" s="21">
        <f>EXP(-LN(2)/25)*AA42+(1-EXP(-LN(2)/25))/(LN(2)/25)*Calculateur!V43*Calculateur!X43*VLOOKUP('Données projet'!$B$9,Paramètres!$A$1:$I$89,3,0)*0.475*44/12</f>
        <v>38.325857031452159</v>
      </c>
      <c r="AB43" s="21">
        <f>EXP(-LN(2)/2)*AB42+(1-EXP(-LN(2)/2))/(LN(2)/2)*V43*Y43*VLOOKUP('Données projet'!$B$9,Paramètres!$A$1:$I$89,3,0)*0.475*44/12</f>
        <v>2.3122516533212879E-2</v>
      </c>
      <c r="AC43" s="22">
        <f t="shared" si="3"/>
        <v>70.707709042436264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220.40500000000009</v>
      </c>
      <c r="AJ43" s="13">
        <f>AI43*VLOOKUP('Données projet'!$B$10,Paramètres!$A$1:$I$89,3,0)*VLOOKUP('Données projet'!$B$10,Paramètres!$A$1:$I$89,5,0)</f>
        <v>199.42244400000007</v>
      </c>
      <c r="AK43" s="13">
        <f t="shared" si="35"/>
        <v>49.617217041644913</v>
      </c>
      <c r="AL43" s="20">
        <f t="shared" si="4"/>
        <v>433.74407631419837</v>
      </c>
      <c r="AM43" s="59">
        <f t="shared" si="5"/>
        <v>727.07740964753168</v>
      </c>
      <c r="AN43" s="59">
        <f ca="1">AVERAGE(OFFSET($AM$3,0,0,'Données projet'!$E$10+1,1))-AVERAGE(OFFSET($H$3,0,0,'Données projet'!$E$10+1,1))</f>
        <v>700.22008320816781</v>
      </c>
      <c r="AO43" s="59">
        <f t="shared" si="36"/>
        <v>253.69632691507996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28.093333333333334</v>
      </c>
      <c r="N44" s="13">
        <f>IF('Données projet'!$A$36&gt;35,N43+M44-V43,IF(A44&lt;'Données projet'!$A$36,$K$205^A44,IF(A44='Données projet'!$A$36,'Données projet'!$B$36,N43+M44-V43)))</f>
        <v>556.27666666666664</v>
      </c>
      <c r="O44" s="13">
        <f>N44*VLOOKUP('Données projet'!$B$9,Paramètres!$A$1:$I$89,3,0)*VLOOKUP('Données projet'!$B$9,Paramètres!$A$1:$I$89,5,0)</f>
        <v>310.95865666666663</v>
      </c>
      <c r="P44" s="13">
        <f t="shared" si="33"/>
        <v>73.468999847738303</v>
      </c>
      <c r="Q44" s="20">
        <f t="shared" si="53"/>
        <v>669.54483509592194</v>
      </c>
      <c r="R44" s="59">
        <f t="shared" si="0"/>
        <v>962.87816842925531</v>
      </c>
      <c r="S44" s="59">
        <f ca="1">AVERAGE(OFFSET($R$3,0,0,'Données projet'!$E$9+1,1))-AVERAGE(OFFSET($H$3,0,0,'Données projet'!$E$9+1,1))</f>
        <v>406.53547024676948</v>
      </c>
      <c r="T44" s="59">
        <f t="shared" si="34"/>
        <v>534.37689844719353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31.724194545940861</v>
      </c>
      <c r="AA44" s="21">
        <f>EXP(-LN(2)/25)*AA43+(1-EXP(-LN(2)/25))/(LN(2)/25)*Calculateur!V44*Calculateur!X44*VLOOKUP('Données projet'!$B$9,Paramètres!$A$1:$I$89,3,0)*0.475*44/12</f>
        <v>37.277834455457871</v>
      </c>
      <c r="AB44" s="21">
        <f>EXP(-LN(2)/2)*AB43+(1-EXP(-LN(2)/2))/(LN(2)/2)*V44*Y44*VLOOKUP('Données projet'!$B$9,Paramètres!$A$1:$I$89,3,0)*0.475*44/12</f>
        <v>1.6350088238732886E-2</v>
      </c>
      <c r="AC44" s="22">
        <f t="shared" si="3"/>
        <v>69.018379089637477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234.2075000000001</v>
      </c>
      <c r="AJ44" s="13">
        <f>AI44*VLOOKUP('Données projet'!$B$10,Paramètres!$A$1:$I$89,3,0)*VLOOKUP('Données projet'!$B$10,Paramètres!$A$1:$I$89,5,0)</f>
        <v>211.91094600000011</v>
      </c>
      <c r="AK44" s="13">
        <f t="shared" si="35"/>
        <v>52.352955065676831</v>
      </c>
      <c r="AL44" s="20">
        <f t="shared" si="4"/>
        <v>460.25962768938729</v>
      </c>
      <c r="AM44" s="59">
        <f t="shared" si="5"/>
        <v>753.5929610227206</v>
      </c>
      <c r="AN44" s="59">
        <f ca="1">AVERAGE(OFFSET($AM$3,0,0,'Données projet'!$E$10+1,1))-AVERAGE(OFFSET($H$3,0,0,'Données projet'!$E$10+1,1))</f>
        <v>700.22008320816781</v>
      </c>
      <c r="AO44" s="59">
        <f t="shared" si="36"/>
        <v>253.69632691507996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28.093333333333334</v>
      </c>
      <c r="M45" s="12">
        <f t="array" ref="M45">INDEX(L:L,MIN(IF(ISNUMBER(L45:L241),ROW(L45:L241),"")))</f>
        <v>28.093333333333334</v>
      </c>
      <c r="N45" s="13">
        <f>IF('Données projet'!$A$36&gt;35,N44+M45-V44,IF(A45&lt;'Données projet'!$A$36,$K$205^A45,IF(A45='Données projet'!$A$36,'Données projet'!$B$36,N44+M45-V44)))</f>
        <v>584.37</v>
      </c>
      <c r="O45" s="13">
        <f>N45*VLOOKUP('Données projet'!$B$9,Paramètres!$A$1:$I$89,3,0)*VLOOKUP('Données projet'!$B$9,Paramètres!$A$1:$I$89,5,0)</f>
        <v>326.66282999999999</v>
      </c>
      <c r="P45" s="13">
        <f t="shared" si="33"/>
        <v>76.738017937615012</v>
      </c>
      <c r="Q45" s="20">
        <f t="shared" si="53"/>
        <v>702.58981015801282</v>
      </c>
      <c r="R45" s="59">
        <f t="shared" si="0"/>
        <v>995.92314349134608</v>
      </c>
      <c r="S45" s="59">
        <f ca="1">AVERAGE(OFFSET($R$3,0,0,'Données projet'!$E$9+1,1))-AVERAGE(OFFSET($H$3,0,0,'Données projet'!$E$9+1,1))</f>
        <v>406.53547024676948</v>
      </c>
      <c r="T45" s="59">
        <f t="shared" si="34"/>
        <v>534.37689844719353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68.31861950726389</v>
      </c>
      <c r="AA45" s="21">
        <f>EXP(-LN(2)/25)*AA44+(1-EXP(-LN(2)/25))/(LN(2)/25)*Calculateur!V45*Calculateur!X45*VLOOKUP('Données projet'!$B$9,Paramètres!$A$1:$I$89,3,0)*0.475*44/12</f>
        <v>36.258470111917262</v>
      </c>
      <c r="AB45" s="21">
        <f>EXP(-LN(2)/2)*AB44+(1-EXP(-LN(2)/2))/(LN(2)/2)*V45*Y45*VLOOKUP('Données projet'!$B$9,Paramètres!$A$1:$I$89,3,0)*0.475*44/12</f>
        <v>1.156125826660644E-2</v>
      </c>
      <c r="AC45" s="22">
        <f t="shared" si="3"/>
        <v>104.58865087744776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248.0100000000001</v>
      </c>
      <c r="AJ45" s="13">
        <f>AI45*VLOOKUP('Données projet'!$B$10,Paramètres!$A$1:$I$89,3,0)*VLOOKUP('Données projet'!$B$10,Paramètres!$A$1:$I$89,5,0)</f>
        <v>224.39944800000009</v>
      </c>
      <c r="AK45" s="13">
        <f t="shared" si="35"/>
        <v>55.0699793265767</v>
      </c>
      <c r="AL45" s="20">
        <f t="shared" si="4"/>
        <v>486.7425859271213</v>
      </c>
      <c r="AM45" s="59">
        <f t="shared" si="5"/>
        <v>780.07591926045461</v>
      </c>
      <c r="AN45" s="59">
        <f ca="1">AVERAGE(OFFSET($AM$3,0,0,'Données projet'!$E$10+1,1))-AVERAGE(OFFSET($H$3,0,0,'Données projet'!$E$10+1,1))</f>
        <v>700.22008320816781</v>
      </c>
      <c r="AO45" s="59">
        <f t="shared" si="36"/>
        <v>253.69632691507996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27.100000000000005</v>
      </c>
      <c r="N46" s="13">
        <f>IF('Données projet'!$A$36&gt;35,N45+M46-V45,IF(A46&lt;'Données projet'!$A$36,$K$205^A46,IF(A46='Données projet'!$A$36,'Données projet'!$B$36,N45+M46-V45)))</f>
        <v>520.22</v>
      </c>
      <c r="O46" s="13">
        <f>N46*VLOOKUP('Données projet'!$B$9,Paramètres!$A$1:$I$89,3,0)*VLOOKUP('Données projet'!$B$9,Paramètres!$A$1:$I$89,5,0)</f>
        <v>290.80298000000005</v>
      </c>
      <c r="P46" s="13">
        <f t="shared" si="33"/>
        <v>69.24493486102223</v>
      </c>
      <c r="Q46" s="20">
        <f t="shared" si="53"/>
        <v>627.08345171628036</v>
      </c>
      <c r="R46" s="59">
        <f t="shared" si="0"/>
        <v>920.41678504961374</v>
      </c>
      <c r="S46" s="59">
        <f ca="1">AVERAGE(OFFSET($R$3,0,0,'Données projet'!$E$9+1,1))-AVERAGE(OFFSET($H$3,0,0,'Données projet'!$E$9+1,1))</f>
        <v>406.53547024676948</v>
      </c>
      <c r="T46" s="59">
        <f t="shared" si="34"/>
        <v>534.37689844719353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66.978933048969751</v>
      </c>
      <c r="AA46" s="21">
        <f>EXP(-LN(2)/25)*AA45+(1-EXP(-LN(2)/25))/(LN(2)/25)*Calculateur!V46*Calculateur!X46*VLOOKUP('Données projet'!$B$9,Paramètres!$A$1:$I$89,3,0)*0.475*44/12</f>
        <v>35.26698033995681</v>
      </c>
      <c r="AB46" s="21">
        <f>EXP(-LN(2)/2)*AB45+(1-EXP(-LN(2)/2))/(LN(2)/2)*V46*Y46*VLOOKUP('Données projet'!$B$9,Paramètres!$A$1:$I$89,3,0)*0.475*44/12</f>
        <v>8.1750441193664432E-3</v>
      </c>
      <c r="AC46" s="22">
        <f t="shared" si="3"/>
        <v>102.25408843304594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206.61500000000009</v>
      </c>
      <c r="AJ46" s="13">
        <f>AI46*VLOOKUP('Données projet'!$B$10,Paramètres!$A$1:$I$89,3,0)*VLOOKUP('Données projet'!$B$10,Paramètres!$A$1:$I$89,5,0)</f>
        <v>186.9452520000001</v>
      </c>
      <c r="AK46" s="13">
        <f t="shared" si="35"/>
        <v>46.863955679429196</v>
      </c>
      <c r="AL46" s="20">
        <f t="shared" si="4"/>
        <v>407.21770337500601</v>
      </c>
      <c r="AM46" s="59">
        <f t="shared" si="5"/>
        <v>700.55103670833932</v>
      </c>
      <c r="AN46" s="59">
        <f ca="1">AVERAGE(OFFSET($AM$3,0,0,'Données projet'!$E$10+1,1))-AVERAGE(OFFSET($H$3,0,0,'Données projet'!$E$10+1,1))</f>
        <v>700.22008320816781</v>
      </c>
      <c r="AO46" s="59">
        <f t="shared" si="36"/>
        <v>253.69632691507996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27.100000000000005</v>
      </c>
      <c r="N47" s="13">
        <f>IF('Données projet'!$A$36&gt;35,N46+M47-V46,IF(A47&lt;'Données projet'!$A$36,$K$205^A47,IF(A47='Données projet'!$A$36,'Données projet'!$B$36,N46+M47-V46)))</f>
        <v>547.32000000000005</v>
      </c>
      <c r="O47" s="13">
        <f>N47*VLOOKUP('Données projet'!$B$9,Paramètres!$A$1:$I$89,3,0)*VLOOKUP('Données projet'!$B$9,Paramètres!$A$1:$I$89,5,0)</f>
        <v>305.95188000000007</v>
      </c>
      <c r="P47" s="13">
        <f t="shared" si="33"/>
        <v>72.422775940029837</v>
      </c>
      <c r="Q47" s="20">
        <f t="shared" si="53"/>
        <v>659.00252576221885</v>
      </c>
      <c r="R47" s="59">
        <f t="shared" si="0"/>
        <v>952.33585909555222</v>
      </c>
      <c r="S47" s="59">
        <f ca="1">AVERAGE(OFFSET($R$3,0,0,'Données projet'!$E$9+1,1))-AVERAGE(OFFSET($H$3,0,0,'Données projet'!$E$9+1,1))</f>
        <v>406.53547024676948</v>
      </c>
      <c r="T47" s="59">
        <f t="shared" si="34"/>
        <v>534.37689844719353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65.665517024994699</v>
      </c>
      <c r="AA47" s="21">
        <f>EXP(-LN(2)/25)*AA46+(1-EXP(-LN(2)/25))/(LN(2)/25)*Calculateur!V47*Calculateur!X47*VLOOKUP('Données projet'!$B$9,Paramètres!$A$1:$I$89,3,0)*0.475*44/12</f>
        <v>34.302602907950799</v>
      </c>
      <c r="AB47" s="21">
        <f>EXP(-LN(2)/2)*AB46+(1-EXP(-LN(2)/2))/(LN(2)/2)*V47*Y47*VLOOKUP('Données projet'!$B$9,Paramètres!$A$1:$I$89,3,0)*0.475*44/12</f>
        <v>5.7806291333032198E-3</v>
      </c>
      <c r="AC47" s="22">
        <f t="shared" si="3"/>
        <v>99.973900562078796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220.63000000000011</v>
      </c>
      <c r="AJ47" s="13">
        <f>AI47*VLOOKUP('Données projet'!$B$10,Paramètres!$A$1:$I$89,3,0)*VLOOKUP('Données projet'!$B$10,Paramètres!$A$1:$I$89,5,0)</f>
        <v>199.62602400000009</v>
      </c>
      <c r="AK47" s="13">
        <f t="shared" si="35"/>
        <v>49.661970169140027</v>
      </c>
      <c r="AL47" s="20">
        <f t="shared" si="4"/>
        <v>434.17658984458564</v>
      </c>
      <c r="AM47" s="59">
        <f t="shared" si="5"/>
        <v>727.50992317791895</v>
      </c>
      <c r="AN47" s="59">
        <f ca="1">AVERAGE(OFFSET($AM$3,0,0,'Données projet'!$E$10+1,1))-AVERAGE(OFFSET($H$3,0,0,'Données projet'!$E$10+1,1))</f>
        <v>700.22008320816781</v>
      </c>
      <c r="AO47" s="59">
        <f t="shared" si="36"/>
        <v>253.69632691507996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27.100000000000005</v>
      </c>
      <c r="N48" s="13">
        <f>IF('Données projet'!$A$36&gt;35,N47+M48-V47,IF(A48&lt;'Données projet'!$A$36,$K$205^A48,IF(A48='Données projet'!$A$36,'Données projet'!$B$36,N47+M48-V47)))</f>
        <v>574.42000000000007</v>
      </c>
      <c r="O48" s="13">
        <f>N48*VLOOKUP('Données projet'!$B$9,Paramètres!$A$1:$I$89,3,0)*VLOOKUP('Données projet'!$B$9,Paramètres!$A$1:$I$89,5,0)</f>
        <v>321.10078000000004</v>
      </c>
      <c r="P48" s="13">
        <f t="shared" si="33"/>
        <v>75.582346553628341</v>
      </c>
      <c r="Q48" s="20">
        <f t="shared" si="53"/>
        <v>690.88977874756938</v>
      </c>
      <c r="R48" s="59">
        <f t="shared" si="0"/>
        <v>984.22311208090264</v>
      </c>
      <c r="S48" s="59">
        <f ca="1">AVERAGE(OFFSET($R$3,0,0,'Données projet'!$E$9+1,1))-AVERAGE(OFFSET($H$3,0,0,'Données projet'!$E$9+1,1))</f>
        <v>406.53547024676948</v>
      </c>
      <c r="T48" s="59">
        <f t="shared" si="34"/>
        <v>534.37689844719353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64.377856288145125</v>
      </c>
      <c r="AA48" s="21">
        <f>EXP(-LN(2)/25)*AA47+(1-EXP(-LN(2)/25))/(LN(2)/25)*Calculateur!V48*Calculateur!X48*VLOOKUP('Données projet'!$B$9,Paramètres!$A$1:$I$89,3,0)*0.475*44/12</f>
        <v>33.3645964275374</v>
      </c>
      <c r="AB48" s="21">
        <f>EXP(-LN(2)/2)*AB47+(1-EXP(-LN(2)/2))/(LN(2)/2)*V48*Y48*VLOOKUP('Données projet'!$B$9,Paramètres!$A$1:$I$89,3,0)*0.475*44/12</f>
        <v>4.0875220596832216E-3</v>
      </c>
      <c r="AC48" s="22">
        <f t="shared" si="3"/>
        <v>97.746540237742209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234.64500000000012</v>
      </c>
      <c r="AJ48" s="13">
        <f>AI48*VLOOKUP('Données projet'!$B$10,Paramètres!$A$1:$I$89,3,0)*VLOOKUP('Données projet'!$B$10,Paramètres!$A$1:$I$89,5,0)</f>
        <v>212.30679600000011</v>
      </c>
      <c r="AK48" s="13">
        <f t="shared" si="35"/>
        <v>52.439357699522503</v>
      </c>
      <c r="AL48" s="20">
        <f t="shared" si="4"/>
        <v>461.09955102666851</v>
      </c>
      <c r="AM48" s="59">
        <f t="shared" si="5"/>
        <v>754.43288436000182</v>
      </c>
      <c r="AN48" s="59">
        <f ca="1">AVERAGE(OFFSET($AM$3,0,0,'Données projet'!$E$10+1,1))-AVERAGE(OFFSET($H$3,0,0,'Données projet'!$E$10+1,1))</f>
        <v>700.22008320816781</v>
      </c>
      <c r="AO48" s="59">
        <f t="shared" si="36"/>
        <v>253.69632691507996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27.100000000000005</v>
      </c>
      <c r="N49" s="13">
        <f>IF('Données projet'!$A$36&gt;35,N48+M49-V48,IF(A49&lt;'Données projet'!$A$36,$K$205^A49,IF(A49='Données projet'!$A$36,'Données projet'!$B$36,N48+M49-V48)))</f>
        <v>601.5200000000001</v>
      </c>
      <c r="O49" s="13">
        <f>N49*VLOOKUP('Données projet'!$B$9,Paramètres!$A$1:$I$89,3,0)*VLOOKUP('Données projet'!$B$9,Paramètres!$A$1:$I$89,5,0)</f>
        <v>336.24968000000007</v>
      </c>
      <c r="P49" s="13">
        <f t="shared" si="33"/>
        <v>78.724607090157278</v>
      </c>
      <c r="Q49" s="20">
        <f t="shared" si="53"/>
        <v>722.74688334869063</v>
      </c>
      <c r="R49" s="59">
        <f t="shared" si="0"/>
        <v>1016.080216682024</v>
      </c>
      <c r="S49" s="59">
        <f ca="1">AVERAGE(OFFSET($R$3,0,0,'Données projet'!$E$9+1,1))-AVERAGE(OFFSET($H$3,0,0,'Données projet'!$E$9+1,1))</f>
        <v>406.53547024676948</v>
      </c>
      <c r="T49" s="59">
        <f t="shared" si="34"/>
        <v>534.37689844719353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63.115445792949679</v>
      </c>
      <c r="AA49" s="21">
        <f>EXP(-LN(2)/25)*AA48+(1-EXP(-LN(2)/25))/(LN(2)/25)*Calculateur!V49*Calculateur!X49*VLOOKUP('Données projet'!$B$9,Paramètres!$A$1:$I$89,3,0)*0.475*44/12</f>
        <v>32.45223978365852</v>
      </c>
      <c r="AB49" s="21">
        <f>EXP(-LN(2)/2)*AB48+(1-EXP(-LN(2)/2))/(LN(2)/2)*V49*Y49*VLOOKUP('Données projet'!$B$9,Paramètres!$A$1:$I$89,3,0)*0.475*44/12</f>
        <v>2.8903145666516099E-3</v>
      </c>
      <c r="AC49" s="22">
        <f t="shared" si="3"/>
        <v>95.570575891174855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248.66000000000014</v>
      </c>
      <c r="AJ49" s="13">
        <f>AI49*VLOOKUP('Données projet'!$B$10,Paramètres!$A$1:$I$89,3,0)*VLOOKUP('Données projet'!$B$10,Paramètres!$A$1:$I$89,5,0)</f>
        <v>224.9875680000001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781.32231040354463</v>
      </c>
      <c r="AN49" s="59">
        <f ca="1">AVERAGE(OFFSET($AM$3,0,0,'Données projet'!$E$10+1,1))-AVERAGE(OFFSET($H$3,0,0,'Données projet'!$E$10+1,1))</f>
        <v>700.22008320816781</v>
      </c>
      <c r="AO49" s="59">
        <f t="shared" si="36"/>
        <v>253.69632691507996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27.100000000000005</v>
      </c>
      <c r="N50" s="13">
        <f>IF('Données projet'!$A$36&gt;35,N49+M50-V49,IF(A50&lt;'Données projet'!$A$36,$K$205^A50,IF(A50='Données projet'!$A$36,'Données projet'!$B$36,N49+M50-V49)))</f>
        <v>628.62000000000012</v>
      </c>
      <c r="O50" s="13">
        <f>N50*VLOOKUP('Données projet'!$B$9,Paramètres!$A$1:$I$89,3,0)*VLOOKUP('Données projet'!$B$9,Paramètres!$A$1:$I$89,5,0)</f>
        <v>351.39858000000009</v>
      </c>
      <c r="P50" s="13">
        <f t="shared" si="33"/>
        <v>81.850426510165747</v>
      </c>
      <c r="Q50" s="20">
        <f t="shared" si="53"/>
        <v>754.57535300520556</v>
      </c>
      <c r="R50" s="59">
        <f t="shared" si="0"/>
        <v>1047.9086863385389</v>
      </c>
      <c r="S50" s="59">
        <f ca="1">AVERAGE(OFFSET($R$3,0,0,'Données projet'!$E$9+1,1))-AVERAGE(OFFSET($H$3,0,0,'Données projet'!$E$9+1,1))</f>
        <v>406.53547024676948</v>
      </c>
      <c r="T50" s="59">
        <f t="shared" si="34"/>
        <v>534.37689844719353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61.877790397570642</v>
      </c>
      <c r="AA50" s="21">
        <f>EXP(-LN(2)/25)*AA49+(1-EXP(-LN(2)/25))/(LN(2)/25)*Calculateur!V50*Calculateur!X50*VLOOKUP('Données projet'!$B$9,Paramètres!$A$1:$I$89,3,0)*0.475*44/12</f>
        <v>31.56483158018526</v>
      </c>
      <c r="AB50" s="21">
        <f>EXP(-LN(2)/2)*AB49+(1-EXP(-LN(2)/2))/(LN(2)/2)*V50*Y50*VLOOKUP('Données projet'!$B$9,Paramètres!$A$1:$I$89,3,0)*0.475*44/12</f>
        <v>2.0437610298416108E-3</v>
      </c>
      <c r="AC50" s="22">
        <f t="shared" si="3"/>
        <v>93.444665738785744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262.67500000000013</v>
      </c>
      <c r="AJ50" s="13">
        <f>AI50*VLOOKUP('Données projet'!$B$10,Paramètres!$A$1:$I$89,3,0)*VLOOKUP('Données projet'!$B$10,Paramètres!$A$1:$I$89,5,0)</f>
        <v>237.66834000000011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808.18030681243567</v>
      </c>
      <c r="AN50" s="59">
        <f ca="1">AVERAGE(OFFSET($AM$3,0,0,'Données projet'!$E$10+1,1))-AVERAGE(OFFSET($H$3,0,0,'Données projet'!$E$10+1,1))</f>
        <v>700.22008320816781</v>
      </c>
      <c r="AO50" s="59">
        <f t="shared" si="36"/>
        <v>253.69632691507996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27.100000000000005</v>
      </c>
      <c r="M51" s="12">
        <f t="array" ref="M51">INDEX(L:L,MIN(IF(ISNUMBER(L51:L247),ROW(L51:L247),"")))</f>
        <v>27.100000000000005</v>
      </c>
      <c r="N51" s="13">
        <f>IF('Données projet'!$A$36&gt;35,N50+M51-V50,IF(A51&lt;'Données projet'!$A$36,$K$205^A51,IF(A51='Données projet'!$A$36,'Données projet'!$B$36,N50+M51-V50)))</f>
        <v>655.72000000000014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406.53547024676948</v>
      </c>
      <c r="T51" s="59">
        <f t="shared" si="34"/>
        <v>534.37689844719353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0.55000000000000004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101.99615085613375</v>
      </c>
      <c r="AA51" s="21">
        <f>EXP(-LN(2)/25)*AA50+(1-EXP(-LN(2)/25))/(LN(2)/25)*Calculateur!V51*Calculateur!X51*VLOOKUP('Données projet'!$B$9,Paramètres!$A$1:$I$89,3,0)*0.475*44/12</f>
        <v>30.701689600702743</v>
      </c>
      <c r="AB51" s="21">
        <f>EXP(-LN(2)/2)*AB50+(1-EXP(-LN(2)/2))/(LN(2)/2)*V51*Y51*VLOOKUP('Données projet'!$B$9,Paramètres!$A$1:$I$89,3,0)*0.475*44/12</f>
        <v>1.445157283325805E-3</v>
      </c>
      <c r="AC51" s="22">
        <f t="shared" si="3"/>
        <v>132.69928561411982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276.69000000000011</v>
      </c>
      <c r="AJ51" s="13">
        <f>AI51*VLOOKUP('Données projet'!$B$10,Paramètres!$A$1:$I$89,3,0)*VLOOKUP('Données projet'!$B$10,Paramètres!$A$1:$I$89,5,0)</f>
        <v>250.3491120000001</v>
      </c>
      <c r="AK51" s="13">
        <f t="shared" si="35"/>
        <v>60.660691860184151</v>
      </c>
      <c r="AL51" s="20">
        <f t="shared" si="4"/>
        <v>541.67540838982086</v>
      </c>
      <c r="AM51" s="59">
        <f t="shared" si="5"/>
        <v>835.00874172315412</v>
      </c>
      <c r="AN51" s="59">
        <f ca="1">AVERAGE(OFFSET($AM$3,0,0,'Données projet'!$E$10+1,1))-AVERAGE(OFFSET($H$3,0,0,'Données projet'!$E$10+1,1))</f>
        <v>700.22008320816781</v>
      </c>
      <c r="AO51" s="59">
        <f t="shared" si="36"/>
        <v>253.69632691507996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25.705000000000002</v>
      </c>
      <c r="N52" s="13">
        <f>IF('Données projet'!$A$36&gt;35,N51+M52-V51,IF(A52&lt;'Données projet'!$A$36,$K$205^A52,IF(A52='Données projet'!$A$36,'Données projet'!$B$36,N51+M52-V51)))</f>
        <v>580.08500000000015</v>
      </c>
      <c r="O52" s="13">
        <f>N52*VLOOKUP('Données projet'!$B$9,Paramètres!$A$1:$I$89,3,0)*VLOOKUP('Données projet'!$B$9,Paramètres!$A$1:$I$89,5,0)</f>
        <v>324.26751500000012</v>
      </c>
      <c r="P52" s="13">
        <f t="shared" si="33"/>
        <v>76.240607370612722</v>
      </c>
      <c r="Q52" s="20">
        <f t="shared" si="53"/>
        <v>697.55164646215064</v>
      </c>
      <c r="R52" s="59">
        <f t="shared" si="0"/>
        <v>990.88497979548401</v>
      </c>
      <c r="S52" s="59">
        <f ca="1">AVERAGE(OFFSET($R$3,0,0,'Données projet'!$E$9+1,1))-AVERAGE(OFFSET($H$3,0,0,'Données projet'!$E$9+1,1))</f>
        <v>406.53547024676948</v>
      </c>
      <c r="T52" s="59">
        <f t="shared" si="34"/>
        <v>534.37689844719353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99.996068549354121</v>
      </c>
      <c r="AA52" s="21">
        <f>EXP(-LN(2)/25)*AA51+(1-EXP(-LN(2)/25))/(LN(2)/25)*Calculateur!V52*Calculateur!X52*VLOOKUP('Données projet'!$B$9,Paramètres!$A$1:$I$89,3,0)*0.475*44/12</f>
        <v>29.862150284039839</v>
      </c>
      <c r="AB52" s="21">
        <f>EXP(-LN(2)/2)*AB51+(1-EXP(-LN(2)/2))/(LN(2)/2)*V52*Y52*VLOOKUP('Données projet'!$B$9,Paramètres!$A$1:$I$89,3,0)*0.475*44/12</f>
        <v>1.0218805149208054E-3</v>
      </c>
      <c r="AC52" s="22">
        <f t="shared" si="3"/>
        <v>129.85924071390886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290.7050000000001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861.80928333106954</v>
      </c>
      <c r="AN52" s="59">
        <f ca="1">AVERAGE(OFFSET($AM$3,0,0,'Données projet'!$E$10+1,1))-AVERAGE(OFFSET($H$3,0,0,'Données projet'!$E$10+1,1))</f>
        <v>700.22008320816781</v>
      </c>
      <c r="AO52" s="59">
        <f t="shared" si="36"/>
        <v>253.69632691507996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25.705000000000002</v>
      </c>
      <c r="N53" s="13">
        <f>IF('Données projet'!$A$36&gt;35,N52+M53-V52,IF(A53&lt;'Données projet'!$A$36,$K$205^A53,IF(A53='Données projet'!$A$36,'Données projet'!$B$36,N52+M53-V52)))</f>
        <v>605.79000000000019</v>
      </c>
      <c r="O53" s="13">
        <f>N53*VLOOKUP('Données projet'!$B$9,Paramètres!$A$1:$I$89,3,0)*VLOOKUP('Données projet'!$B$9,Paramètres!$A$1:$I$89,5,0)</f>
        <v>338.63661000000013</v>
      </c>
      <c r="P53" s="13">
        <f t="shared" si="33"/>
        <v>79.218195577662726</v>
      </c>
      <c r="Q53" s="20">
        <f t="shared" si="53"/>
        <v>727.76378638109611</v>
      </c>
      <c r="R53" s="59">
        <f t="shared" si="0"/>
        <v>1021.0971197144295</v>
      </c>
      <c r="S53" s="59">
        <f ca="1">AVERAGE(OFFSET($R$3,0,0,'Données projet'!$E$9+1,1))-AVERAGE(OFFSET($H$3,0,0,'Données projet'!$E$9+1,1))</f>
        <v>406.53547024676948</v>
      </c>
      <c r="T53" s="59">
        <f t="shared" si="34"/>
        <v>534.37689844719353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98.035206636680684</v>
      </c>
      <c r="AA53" s="21">
        <f>EXP(-LN(2)/25)*AA52+(1-EXP(-LN(2)/25))/(LN(2)/25)*Calculateur!V53*Calculateur!X53*VLOOKUP('Données projet'!$B$9,Paramètres!$A$1:$I$89,3,0)*0.475*44/12</f>
        <v>29.045568214140538</v>
      </c>
      <c r="AB53" s="21">
        <f>EXP(-LN(2)/2)*AB52+(1-EXP(-LN(2)/2))/(LN(2)/2)*V53*Y53*VLOOKUP('Données projet'!$B$9,Paramètres!$A$1:$I$89,3,0)*0.475*44/12</f>
        <v>7.2257864166290248E-4</v>
      </c>
      <c r="AC53" s="22">
        <f t="shared" si="3"/>
        <v>127.08149742946289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304.72000000000008</v>
      </c>
      <c r="AJ53" s="13">
        <f>AI53*VLOOKUP('Données projet'!$B$10,Paramètres!$A$1:$I$89,3,0)*VLOOKUP('Données projet'!$B$10,Paramètres!$A$1:$I$89,5,0)</f>
        <v>275.71065600000009</v>
      </c>
      <c r="AK53" s="13">
        <f t="shared" si="35"/>
        <v>66.059734370197603</v>
      </c>
      <c r="AL53" s="20">
        <f t="shared" si="4"/>
        <v>595.25009656142765</v>
      </c>
      <c r="AM53" s="59">
        <f t="shared" si="5"/>
        <v>888.58342989476091</v>
      </c>
      <c r="AN53" s="59">
        <f ca="1">AVERAGE(OFFSET($AM$3,0,0,'Données projet'!$E$10+1,1))-AVERAGE(OFFSET($H$3,0,0,'Données projet'!$E$10+1,1))</f>
        <v>700.22008320816781</v>
      </c>
      <c r="AO53" s="59">
        <f t="shared" si="36"/>
        <v>253.69632691507996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25.705000000000002</v>
      </c>
      <c r="N54" s="13">
        <f>IF('Données projet'!$A$36&gt;35,N53+M54-V53,IF(A54&lt;'Données projet'!$A$36,$K$205^A54,IF(A54='Données projet'!$A$36,'Données projet'!$B$36,N53+M54-V53)))</f>
        <v>631.49500000000023</v>
      </c>
      <c r="O54" s="13">
        <f>N54*VLOOKUP('Données projet'!$B$9,Paramètres!$A$1:$I$89,3,0)*VLOOKUP('Données projet'!$B$9,Paramètres!$A$1:$I$89,5,0)</f>
        <v>353.00570500000015</v>
      </c>
      <c r="P54" s="13">
        <f t="shared" si="33"/>
        <v>82.181108764690435</v>
      </c>
      <c r="Q54" s="20">
        <f t="shared" si="53"/>
        <v>757.95036730683603</v>
      </c>
      <c r="R54" s="59">
        <f t="shared" si="0"/>
        <v>1051.2837006401694</v>
      </c>
      <c r="S54" s="59">
        <f ca="1">AVERAGE(OFFSET($R$3,0,0,'Données projet'!$E$9+1,1))-AVERAGE(OFFSET($H$3,0,0,'Données projet'!$E$9+1,1))</f>
        <v>406.53547024676948</v>
      </c>
      <c r="T54" s="59">
        <f t="shared" si="34"/>
        <v>534.37689844719353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96.112796030107106</v>
      </c>
      <c r="AA54" s="21">
        <f>EXP(-LN(2)/25)*AA53+(1-EXP(-LN(2)/25))/(LN(2)/25)*Calculateur!V54*Calculateur!X54*VLOOKUP('Données projet'!$B$9,Paramètres!$A$1:$I$89,3,0)*0.475*44/12</f>
        <v>28.251315623884818</v>
      </c>
      <c r="AB54" s="21">
        <f>EXP(-LN(2)/2)*AB53+(1-EXP(-LN(2)/2))/(LN(2)/2)*V54*Y54*VLOOKUP('Données projet'!$B$9,Paramètres!$A$1:$I$89,3,0)*0.475*44/12</f>
        <v>5.109402574604027E-4</v>
      </c>
      <c r="AC54" s="22">
        <f t="shared" si="3"/>
        <v>124.36462259424938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251.66000000000008</v>
      </c>
      <c r="AJ54" s="13">
        <f>AI54*VLOOKUP('Données projet'!$B$10,Paramètres!$A$1:$I$89,3,0)*VLOOKUP('Données projet'!$B$10,Paramètres!$A$1:$I$89,5,0)</f>
        <v>227.70196800000008</v>
      </c>
      <c r="AK54" s="13">
        <f t="shared" si="35"/>
        <v>55.785503263186797</v>
      </c>
      <c r="AL54" s="20">
        <f t="shared" si="4"/>
        <v>493.7406791167171</v>
      </c>
      <c r="AM54" s="59">
        <f t="shared" si="5"/>
        <v>787.07401245005042</v>
      </c>
      <c r="AN54" s="59">
        <f ca="1">AVERAGE(OFFSET($AM$3,0,0,'Données projet'!$E$10+1,1))-AVERAGE(OFFSET($H$3,0,0,'Données projet'!$E$10+1,1))</f>
        <v>700.22008320816781</v>
      </c>
      <c r="AO54" s="59">
        <f t="shared" si="36"/>
        <v>253.69632691507996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25.705000000000002</v>
      </c>
      <c r="N55" s="13">
        <f>IF('Données projet'!$A$36&gt;35,N54+M55-V54,IF(A55&lt;'Données projet'!$A$36,$K$205^A55,IF(A55='Données projet'!$A$36,'Données projet'!$B$36,N54+M55-V54)))</f>
        <v>657.20000000000027</v>
      </c>
      <c r="O55" s="13">
        <f>N55*VLOOKUP('Données projet'!$B$9,Paramètres!$A$1:$I$89,3,0)*VLOOKUP('Données projet'!$B$9,Paramètres!$A$1:$I$89,5,0)</f>
        <v>367.37480000000016</v>
      </c>
      <c r="P55" s="13">
        <f t="shared" si="33"/>
        <v>85.13001260681672</v>
      </c>
      <c r="Q55" s="20">
        <f t="shared" si="53"/>
        <v>788.11254862353928</v>
      </c>
      <c r="R55" s="59">
        <f t="shared" si="0"/>
        <v>1081.4458819568727</v>
      </c>
      <c r="S55" s="59">
        <f ca="1">AVERAGE(OFFSET($R$3,0,0,'Données projet'!$E$9+1,1))-AVERAGE(OFFSET($H$3,0,0,'Données projet'!$E$9+1,1))</f>
        <v>406.53547024676948</v>
      </c>
      <c r="T55" s="59">
        <f t="shared" si="34"/>
        <v>534.37689844719353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94.228082722973738</v>
      </c>
      <c r="AA55" s="21">
        <f>EXP(-LN(2)/25)*AA54+(1-EXP(-LN(2)/25))/(LN(2)/25)*Calculateur!V55*Calculateur!X55*VLOOKUP('Données projet'!$B$9,Paramètres!$A$1:$I$89,3,0)*0.475*44/12</f>
        <v>27.478781912477569</v>
      </c>
      <c r="AB55" s="21">
        <f>EXP(-LN(2)/2)*AB54+(1-EXP(-LN(2)/2))/(LN(2)/2)*V55*Y55*VLOOKUP('Données projet'!$B$9,Paramètres!$A$1:$I$89,3,0)*0.475*44/12</f>
        <v>3.6128932083145124E-4</v>
      </c>
      <c r="AC55" s="22">
        <f t="shared" si="3"/>
        <v>121.70722592477215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265.22000000000008</v>
      </c>
      <c r="AJ55" s="13">
        <f>AI55*VLOOKUP('Données projet'!$B$10,Paramètres!$A$1:$I$89,3,0)*VLOOKUP('Données projet'!$B$10,Paramètres!$A$1:$I$89,5,0)</f>
        <v>239.97105600000009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813.05425858453486</v>
      </c>
      <c r="AN55" s="59">
        <f ca="1">AVERAGE(OFFSET($AM$3,0,0,'Données projet'!$E$10+1,1))-AVERAGE(OFFSET($H$3,0,0,'Données projet'!$E$10+1,1))</f>
        <v>700.22008320816781</v>
      </c>
      <c r="AO55" s="59">
        <f t="shared" si="36"/>
        <v>253.69632691507996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25.705000000000002</v>
      </c>
      <c r="N56" s="13">
        <f>IF('Données projet'!$A$36&gt;35,N55+M56-V55,IF(A56&lt;'Données projet'!$A$36,$K$205^A56,IF(A56='Données projet'!$A$36,'Données projet'!$B$36,N55+M56-V55)))</f>
        <v>682.90500000000031</v>
      </c>
      <c r="O56" s="13">
        <f>N56*VLOOKUP('Données projet'!$B$9,Paramètres!$A$1:$I$89,3,0)*VLOOKUP('Données projet'!$B$9,Paramètres!$A$1:$I$89,5,0)</f>
        <v>381.74389500000018</v>
      </c>
      <c r="P56" s="13">
        <f t="shared" si="33"/>
        <v>88.065517757867923</v>
      </c>
      <c r="Q56" s="20">
        <f t="shared" si="53"/>
        <v>818.25139388662035</v>
      </c>
      <c r="R56" s="59">
        <f t="shared" si="0"/>
        <v>1111.5847272199537</v>
      </c>
      <c r="S56" s="59">
        <f ca="1">AVERAGE(OFFSET($R$3,0,0,'Données projet'!$E$9+1,1))-AVERAGE(OFFSET($H$3,0,0,'Données projet'!$E$9+1,1))</f>
        <v>406.53547024676948</v>
      </c>
      <c r="T56" s="59">
        <f t="shared" si="34"/>
        <v>534.37689844719353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92.380327494231651</v>
      </c>
      <c r="AA56" s="21">
        <f>EXP(-LN(2)/25)*AA55+(1-EXP(-LN(2)/25))/(LN(2)/25)*Calculateur!V56*Calculateur!X56*VLOOKUP('Données projet'!$B$9,Paramètres!$A$1:$I$89,3,0)*0.475*44/12</f>
        <v>26.727373176034533</v>
      </c>
      <c r="AB56" s="21">
        <f>EXP(-LN(2)/2)*AB55+(1-EXP(-LN(2)/2))/(LN(2)/2)*V56*Y56*VLOOKUP('Données projet'!$B$9,Paramètres!$A$1:$I$89,3,0)*0.475*44/12</f>
        <v>2.5547012873020135E-4</v>
      </c>
      <c r="AC56" s="22">
        <f t="shared" si="3"/>
        <v>119.10795614039492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278.78000000000009</v>
      </c>
      <c r="AJ56" s="13">
        <f>AI56*VLOOKUP('Données projet'!$B$10,Paramètres!$A$1:$I$89,3,0)*VLOOKUP('Données projet'!$B$10,Paramètres!$A$1:$I$89,5,0)</f>
        <v>252.24014400000007</v>
      </c>
      <c r="AK56" s="13">
        <f t="shared" si="35"/>
        <v>61.065384641947205</v>
      </c>
      <c r="AL56" s="20">
        <f t="shared" si="4"/>
        <v>545.67379571805816</v>
      </c>
      <c r="AM56" s="59">
        <f t="shared" si="5"/>
        <v>839.00712905139153</v>
      </c>
      <c r="AN56" s="59">
        <f ca="1">AVERAGE(OFFSET($AM$3,0,0,'Données projet'!$E$10+1,1))-AVERAGE(OFFSET($H$3,0,0,'Données projet'!$E$10+1,1))</f>
        <v>700.22008320816781</v>
      </c>
      <c r="AO56" s="59">
        <f t="shared" si="36"/>
        <v>253.69632691507996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25.705000000000002</v>
      </c>
      <c r="M57" s="12">
        <f t="array" ref="M57">INDEX(L:L,MIN(IF(ISNUMBER(L57:L253),ROW(L57:L253),"")))</f>
        <v>25.705000000000002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406.53547024676948</v>
      </c>
      <c r="T57" s="59">
        <f t="shared" si="34"/>
        <v>534.37689844719353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0.55000000000000004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379.22622977006932</v>
      </c>
      <c r="AA57" s="21">
        <f>EXP(-LN(2)/25)*AA56+(1-EXP(-LN(2)/25))/(LN(2)/25)*Calculateur!V57*Calculateur!X57*VLOOKUP('Données projet'!$B$9,Paramètres!$A$1:$I$89,3,0)*0.475*44/12</f>
        <v>25.996511751004398</v>
      </c>
      <c r="AB57" s="21">
        <f>EXP(-LN(2)/2)*AB56+(1-EXP(-LN(2)/2))/(LN(2)/2)*V57*Y57*VLOOKUP('Données projet'!$B$9,Paramètres!$A$1:$I$89,3,0)*0.475*44/12</f>
        <v>1.8064466041572562E-4</v>
      </c>
      <c r="AC57" s="22">
        <f t="shared" si="3"/>
        <v>405.22292216573413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292.34000000000009</v>
      </c>
      <c r="AJ57" s="13">
        <f>AI57*VLOOKUP('Données projet'!$B$10,Paramètres!$A$1:$I$89,3,0)*VLOOKUP('Données projet'!$B$10,Paramètres!$A$1:$I$89,5,0)</f>
        <v>264.50923200000011</v>
      </c>
      <c r="AK57" s="13">
        <f t="shared" si="35"/>
        <v>63.682600004728563</v>
      </c>
      <c r="AL57" s="20">
        <f t="shared" si="4"/>
        <v>571.60077407490235</v>
      </c>
      <c r="AM57" s="59">
        <f t="shared" si="5"/>
        <v>864.9341074082356</v>
      </c>
      <c r="AN57" s="59">
        <f ca="1">AVERAGE(OFFSET($AM$3,0,0,'Données projet'!$E$10+1,1))-AVERAGE(OFFSET($H$3,0,0,'Données projet'!$E$10+1,1))</f>
        <v>700.22008320816781</v>
      </c>
      <c r="AO57" s="59">
        <f t="shared" si="36"/>
        <v>253.69632691507996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0.8600000000003547</v>
      </c>
      <c r="O58" s="13">
        <f>N58*VLOOKUP('Données projet'!$B$9,Paramètres!$A$1:$I$89,3,0)*VLOOKUP('Données projet'!$B$9,Paramètres!$A$1:$I$89,5,0)</f>
        <v>0.48074000000019829</v>
      </c>
      <c r="P58" s="13">
        <f t="shared" si="33"/>
        <v>0.24126147010950588</v>
      </c>
      <c r="Q58" s="20">
        <f t="shared" si="53"/>
        <v>1.2574858937744013</v>
      </c>
      <c r="R58" s="59">
        <f t="shared" si="0"/>
        <v>294.59081922710772</v>
      </c>
      <c r="S58" s="59">
        <f ca="1">AVERAGE(OFFSET($R$3,0,0,'Données projet'!$E$9+1,1))-AVERAGE(OFFSET($H$3,0,0,'Données projet'!$E$9+1,1))</f>
        <v>406.53547024676948</v>
      </c>
      <c r="T58" s="59">
        <f t="shared" si="34"/>
        <v>534.37689844719353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371.78983470943894</v>
      </c>
      <c r="AA58" s="21">
        <f>EXP(-LN(2)/25)*AA57+(1-EXP(-LN(2)/25))/(LN(2)/25)*Calculateur!V58*Calculateur!X58*VLOOKUP('Données projet'!$B$9,Paramètres!$A$1:$I$89,3,0)*0.475*44/12</f>
        <v>25.285635770076045</v>
      </c>
      <c r="AB58" s="21">
        <f>EXP(-LN(2)/2)*AB57+(1-EXP(-LN(2)/2))/(LN(2)/2)*V58*Y58*VLOOKUP('Données projet'!$B$9,Paramètres!$A$1:$I$89,3,0)*0.475*44/12</f>
        <v>1.2773506436510067E-4</v>
      </c>
      <c r="AC58" s="22">
        <f t="shared" si="3"/>
        <v>397.07559821457937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305.90000000000009</v>
      </c>
      <c r="AJ58" s="13">
        <f>AI58*VLOOKUP('Données projet'!$B$10,Paramètres!$A$1:$I$89,3,0)*VLOOKUP('Données projet'!$B$10,Paramètres!$A$1:$I$89,5,0)</f>
        <v>276.77832000000012</v>
      </c>
      <c r="AK58" s="13">
        <f t="shared" si="35"/>
        <v>66.28571740098451</v>
      </c>
      <c r="AL58" s="20">
        <f t="shared" si="4"/>
        <v>597.50319847338153</v>
      </c>
      <c r="AM58" s="59">
        <f t="shared" si="5"/>
        <v>890.8365318067149</v>
      </c>
      <c r="AN58" s="59">
        <f ca="1">AVERAGE(OFFSET($AM$3,0,0,'Données projet'!$E$10+1,1))-AVERAGE(OFFSET($H$3,0,0,'Données projet'!$E$10+1,1))</f>
        <v>700.22008320816781</v>
      </c>
      <c r="AO58" s="59">
        <f t="shared" si="36"/>
        <v>253.69632691507996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0.8600000000003547</v>
      </c>
      <c r="O59" s="13">
        <f>N59*VLOOKUP('Données projet'!$B$9,Paramètres!$A$1:$I$89,3,0)*VLOOKUP('Données projet'!$B$9,Paramètres!$A$1:$I$89,5,0)</f>
        <v>0.48074000000019829</v>
      </c>
      <c r="P59" s="13">
        <f t="shared" si="33"/>
        <v>0.24126147010950588</v>
      </c>
      <c r="Q59" s="20">
        <f t="shared" si="53"/>
        <v>1.2574858937744013</v>
      </c>
      <c r="R59" s="59">
        <f t="shared" si="0"/>
        <v>294.59081922710772</v>
      </c>
      <c r="S59" s="59">
        <f ca="1">AVERAGE(OFFSET($R$3,0,0,'Données projet'!$E$9+1,1))-AVERAGE(OFFSET($H$3,0,0,'Données projet'!$E$9+1,1))</f>
        <v>406.53547024676948</v>
      </c>
      <c r="T59" s="59">
        <f t="shared" si="34"/>
        <v>534.37689844719353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364.49926282019442</v>
      </c>
      <c r="AA59" s="21">
        <f>EXP(-LN(2)/25)*AA58+(1-EXP(-LN(2)/25))/(LN(2)/25)*Calculateur!V59*Calculateur!X59*VLOOKUP('Données projet'!$B$9,Paramètres!$A$1:$I$89,3,0)*0.475*44/12</f>
        <v>24.594198730229522</v>
      </c>
      <c r="AB59" s="21">
        <f>EXP(-LN(2)/2)*AB58+(1-EXP(-LN(2)/2))/(LN(2)/2)*V59*Y59*VLOOKUP('Données projet'!$B$9,Paramètres!$A$1:$I$89,3,0)*0.475*44/12</f>
        <v>9.032233020786281E-5</v>
      </c>
      <c r="AC59" s="22">
        <f t="shared" si="3"/>
        <v>389.09355187275418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319.46000000000009</v>
      </c>
      <c r="AJ59" s="13">
        <f>AI59*VLOOKUP('Données projet'!$B$10,Paramètres!$A$1:$I$89,3,0)*VLOOKUP('Données projet'!$B$10,Paramètres!$A$1:$I$89,5,0)</f>
        <v>289.04740800000008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916.71561505516138</v>
      </c>
      <c r="AN59" s="59">
        <f ca="1">AVERAGE(OFFSET($AM$3,0,0,'Données projet'!$E$10+1,1))-AVERAGE(OFFSET($H$3,0,0,'Données projet'!$E$10+1,1))</f>
        <v>700.22008320816781</v>
      </c>
      <c r="AO59" s="59">
        <f t="shared" si="36"/>
        <v>253.69632691507996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0.8600000000003547</v>
      </c>
      <c r="O60" s="13">
        <f>N60*VLOOKUP('Données projet'!$B$9,Paramètres!$A$1:$I$89,3,0)*VLOOKUP('Données projet'!$B$9,Paramètres!$A$1:$I$89,5,0)</f>
        <v>0.48074000000019829</v>
      </c>
      <c r="P60" s="13">
        <f t="shared" si="33"/>
        <v>0.24126147010950588</v>
      </c>
      <c r="Q60" s="20">
        <f t="shared" si="53"/>
        <v>1.2574858937744013</v>
      </c>
      <c r="R60" s="59">
        <f t="shared" si="0"/>
        <v>294.59081922710772</v>
      </c>
      <c r="S60" s="59">
        <f ca="1">AVERAGE(OFFSET($R$3,0,0,'Données projet'!$E$9+1,1))-AVERAGE(OFFSET($H$3,0,0,'Données projet'!$E$9+1,1))</f>
        <v>406.53547024676948</v>
      </c>
      <c r="T60" s="59">
        <f t="shared" si="34"/>
        <v>534.37689844719353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357.35165459888822</v>
      </c>
      <c r="AA60" s="21">
        <f>EXP(-LN(2)/25)*AA59+(1-EXP(-LN(2)/25))/(LN(2)/25)*Calculateur!V60*Calculateur!X60*VLOOKUP('Données projet'!$B$9,Paramètres!$A$1:$I$89,3,0)*0.475*44/12</f>
        <v>23.921669072598696</v>
      </c>
      <c r="AB60" s="21">
        <f>EXP(-LN(2)/2)*AB59+(1-EXP(-LN(2)/2))/(LN(2)/2)*V60*Y60*VLOOKUP('Données projet'!$B$9,Paramètres!$A$1:$I$89,3,0)*0.475*44/12</f>
        <v>6.3867532182550337E-5</v>
      </c>
      <c r="AC60" s="22">
        <f t="shared" si="3"/>
        <v>381.2733875390191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333.0200000000001</v>
      </c>
      <c r="AJ60" s="13">
        <f>AI60*VLOOKUP('Données projet'!$B$10,Paramètres!$A$1:$I$89,3,0)*VLOOKUP('Données projet'!$B$10,Paramètres!$A$1:$I$89,5,0)</f>
        <v>301.31649600000009</v>
      </c>
      <c r="AK60" s="13">
        <f t="shared" si="35"/>
        <v>71.45238123186985</v>
      </c>
      <c r="AL60" s="20">
        <f t="shared" si="4"/>
        <v>649.23912784550691</v>
      </c>
      <c r="AM60" s="59">
        <f t="shared" si="5"/>
        <v>942.57246117884029</v>
      </c>
      <c r="AN60" s="59">
        <f ca="1">AVERAGE(OFFSET($AM$3,0,0,'Données projet'!$E$10+1,1))-AVERAGE(OFFSET($H$3,0,0,'Données projet'!$E$10+1,1))</f>
        <v>700.22008320816781</v>
      </c>
      <c r="AO60" s="59">
        <f t="shared" si="36"/>
        <v>253.69632691507996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0.8600000000003547</v>
      </c>
      <c r="O61" s="13">
        <f>N61*VLOOKUP('Données projet'!$B$9,Paramètres!$A$1:$I$89,3,0)*VLOOKUP('Données projet'!$B$9,Paramètres!$A$1:$I$89,5,0)</f>
        <v>0.48074000000019829</v>
      </c>
      <c r="P61" s="13">
        <f t="shared" si="33"/>
        <v>0.24126147010950588</v>
      </c>
      <c r="Q61" s="20">
        <f t="shared" si="53"/>
        <v>1.2574858937744013</v>
      </c>
      <c r="R61" s="59">
        <f t="shared" si="0"/>
        <v>294.59081922710772</v>
      </c>
      <c r="S61" s="59">
        <f ca="1">AVERAGE(OFFSET($R$3,0,0,'Données projet'!$E$9+1,1))-AVERAGE(OFFSET($H$3,0,0,'Données projet'!$E$9+1,1))</f>
        <v>406.53547024676948</v>
      </c>
      <c r="T61" s="59">
        <f t="shared" si="34"/>
        <v>534.37689844719353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350.34420661519124</v>
      </c>
      <c r="AA61" s="21">
        <f>EXP(-LN(2)/25)*AA60+(1-EXP(-LN(2)/25))/(LN(2)/25)*Calculateur!V61*Calculateur!X61*VLOOKUP('Données projet'!$B$9,Paramètres!$A$1:$I$89,3,0)*0.475*44/12</f>
        <v>23.267529773822581</v>
      </c>
      <c r="AB61" s="21">
        <f>EXP(-LN(2)/2)*AB60+(1-EXP(-LN(2)/2))/(LN(2)/2)*V61*Y61*VLOOKUP('Données projet'!$B$9,Paramètres!$A$1:$I$89,3,0)*0.475*44/12</f>
        <v>4.5161165103931405E-5</v>
      </c>
      <c r="AC61" s="22">
        <f t="shared" si="3"/>
        <v>373.61178155017888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346.5800000000001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968.40807920701764</v>
      </c>
      <c r="AN61" s="59">
        <f ca="1">AVERAGE(OFFSET($AM$3,0,0,'Données projet'!$E$10+1,1))-AVERAGE(OFFSET($H$3,0,0,'Données projet'!$E$10+1,1))</f>
        <v>700.22008320816781</v>
      </c>
      <c r="AO61" s="59">
        <f t="shared" si="36"/>
        <v>253.69632691507996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0.8600000000003547</v>
      </c>
      <c r="O62" s="13">
        <f>N62*VLOOKUP('Données projet'!$B$9,Paramètres!$A$1:$I$89,3,0)*VLOOKUP('Données projet'!$B$9,Paramètres!$A$1:$I$89,5,0)</f>
        <v>0.48074000000019829</v>
      </c>
      <c r="P62" s="13">
        <f t="shared" si="33"/>
        <v>0.24126147010950588</v>
      </c>
      <c r="Q62" s="20">
        <f t="shared" si="53"/>
        <v>1.2574858937744013</v>
      </c>
      <c r="R62" s="59">
        <f t="shared" si="0"/>
        <v>294.59081922710772</v>
      </c>
      <c r="S62" s="59">
        <f ca="1">AVERAGE(OFFSET($R$3,0,0,'Données projet'!$E$9+1,1))-AVERAGE(OFFSET($H$3,0,0,'Données projet'!$E$9+1,1))</f>
        <v>406.53547024676948</v>
      </c>
      <c r="T62" s="59">
        <f t="shared" si="34"/>
        <v>534.37689844719353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343.47417041233336</v>
      </c>
      <c r="AA62" s="21">
        <f>EXP(-LN(2)/25)*AA61+(1-EXP(-LN(2)/25))/(LN(2)/25)*Calculateur!V62*Calculateur!X62*VLOOKUP('Données projet'!$B$9,Paramètres!$A$1:$I$89,3,0)*0.475*44/12</f>
        <v>22.631277948571189</v>
      </c>
      <c r="AB62" s="21">
        <f>EXP(-LN(2)/2)*AB61+(1-EXP(-LN(2)/2))/(LN(2)/2)*V62*Y62*VLOOKUP('Données projet'!$B$9,Paramètres!$A$1:$I$89,3,0)*0.475*44/12</f>
        <v>3.1933766091275169E-5</v>
      </c>
      <c r="AC62" s="22">
        <f t="shared" si="3"/>
        <v>366.10548029467066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874.76017555139401</v>
      </c>
      <c r="AN62" s="59">
        <f ca="1">AVERAGE(OFFSET($AM$3,0,0,'Données projet'!$E$10+1,1))-AVERAGE(OFFSET($H$3,0,0,'Données projet'!$E$10+1,1))</f>
        <v>700.22008320816781</v>
      </c>
      <c r="AO62" s="59">
        <f t="shared" si="36"/>
        <v>253.69632691507996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0.8600000000003547</v>
      </c>
      <c r="O63" s="13">
        <f>N63*VLOOKUP('Données projet'!$B$9,Paramètres!$A$1:$I$89,3,0)*VLOOKUP('Données projet'!$B$9,Paramètres!$A$1:$I$89,5,0)</f>
        <v>0.48074000000019829</v>
      </c>
      <c r="P63" s="13">
        <f t="shared" si="33"/>
        <v>0.24126147010950588</v>
      </c>
      <c r="Q63" s="20">
        <f t="shared" si="53"/>
        <v>1.2574858937744013</v>
      </c>
      <c r="R63" s="59">
        <f t="shared" si="0"/>
        <v>294.59081922710772</v>
      </c>
      <c r="S63" s="59">
        <f ca="1">AVERAGE(OFFSET($R$3,0,0,'Données projet'!$E$9+1,1))-AVERAGE(OFFSET($H$3,0,0,'Données projet'!$E$9+1,1))</f>
        <v>406.53547024676948</v>
      </c>
      <c r="T63" s="59">
        <f t="shared" si="34"/>
        <v>534.37689844719353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336.73885142910518</v>
      </c>
      <c r="AA63" s="21">
        <f>EXP(-LN(2)/25)*AA62+(1-EXP(-LN(2)/25))/(LN(2)/25)*Calculateur!V63*Calculateur!X63*VLOOKUP('Données projet'!$B$9,Paramètres!$A$1:$I$89,3,0)*0.475*44/12</f>
        <v>22.012424462940327</v>
      </c>
      <c r="AB63" s="21">
        <f>EXP(-LN(2)/2)*AB62+(1-EXP(-LN(2)/2))/(LN(2)/2)*V63*Y63*VLOOKUP('Données projet'!$B$9,Paramètres!$A$1:$I$89,3,0)*0.475*44/12</f>
        <v>2.2580582551965702E-5</v>
      </c>
      <c r="AC63" s="22">
        <f t="shared" si="3"/>
        <v>358.75129847262804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899.70402432981814</v>
      </c>
      <c r="AN63" s="59">
        <f ca="1">AVERAGE(OFFSET($AM$3,0,0,'Données projet'!$E$10+1,1))-AVERAGE(OFFSET($H$3,0,0,'Données projet'!$E$10+1,1))</f>
        <v>700.22008320816781</v>
      </c>
      <c r="AO63" s="59">
        <f t="shared" si="36"/>
        <v>253.69632691507996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0.8600000000003547</v>
      </c>
      <c r="O64" s="13">
        <f>N64*VLOOKUP('Données projet'!$B$9,Paramètres!$A$1:$I$89,3,0)*VLOOKUP('Données projet'!$B$9,Paramètres!$A$1:$I$89,5,0)</f>
        <v>0.48074000000019829</v>
      </c>
      <c r="P64" s="13">
        <f t="shared" si="33"/>
        <v>0.24126147010950588</v>
      </c>
      <c r="Q64" s="20">
        <f t="shared" si="53"/>
        <v>1.2574858937744013</v>
      </c>
      <c r="R64" s="59">
        <f t="shared" si="0"/>
        <v>294.59081922710772</v>
      </c>
      <c r="S64" s="59">
        <f ca="1">AVERAGE(OFFSET($R$3,0,0,'Données projet'!$E$9+1,1))-AVERAGE(OFFSET($H$3,0,0,'Données projet'!$E$9+1,1))</f>
        <v>406.53547024676948</v>
      </c>
      <c r="T64" s="59">
        <f t="shared" si="34"/>
        <v>534.37689844719353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330.13560794299917</v>
      </c>
      <c r="AA64" s="21">
        <f>EXP(-LN(2)/25)*AA63+(1-EXP(-LN(2)/25))/(LN(2)/25)*Calculateur!V64*Calculateur!X64*VLOOKUP('Données projet'!$B$9,Paramètres!$A$1:$I$89,3,0)*0.475*44/12</f>
        <v>21.410493558418132</v>
      </c>
      <c r="AB64" s="21">
        <f>EXP(-LN(2)/2)*AB63+(1-EXP(-LN(2)/2))/(LN(2)/2)*V64*Y64*VLOOKUP('Données projet'!$B$9,Paramètres!$A$1:$I$89,3,0)*0.475*44/12</f>
        <v>1.5966883045637584E-5</v>
      </c>
      <c r="AC64" s="22">
        <f t="shared" si="3"/>
        <v>351.54611746830034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924.62657545190768</v>
      </c>
      <c r="AN64" s="59">
        <f ca="1">AVERAGE(OFFSET($AM$3,0,0,'Données projet'!$E$10+1,1))-AVERAGE(OFFSET($H$3,0,0,'Données projet'!$E$10+1,1))</f>
        <v>700.22008320816781</v>
      </c>
      <c r="AO64" s="59">
        <f t="shared" si="36"/>
        <v>253.69632691507996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0.8600000000003547</v>
      </c>
      <c r="O65" s="13">
        <f>N65*VLOOKUP('Données projet'!$B$9,Paramètres!$A$1:$I$89,3,0)*VLOOKUP('Données projet'!$B$9,Paramètres!$A$1:$I$89,5,0)</f>
        <v>0.48074000000019829</v>
      </c>
      <c r="P65" s="13">
        <f t="shared" si="33"/>
        <v>0.24126147010950588</v>
      </c>
      <c r="Q65" s="20">
        <f t="shared" si="53"/>
        <v>1.2574858937744013</v>
      </c>
      <c r="R65" s="59">
        <f t="shared" si="0"/>
        <v>294.59081922710772</v>
      </c>
      <c r="S65" s="59">
        <f ca="1">AVERAGE(OFFSET($R$3,0,0,'Données projet'!$E$9+1,1))-AVERAGE(OFFSET($H$3,0,0,'Données projet'!$E$9+1,1))</f>
        <v>406.53547024676948</v>
      </c>
      <c r="T65" s="59">
        <f t="shared" si="34"/>
        <v>534.37689844719353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323.66185003407486</v>
      </c>
      <c r="AA65" s="21">
        <f>EXP(-LN(2)/25)*AA64+(1-EXP(-LN(2)/25))/(LN(2)/25)*Calculateur!V65*Calculateur!X65*VLOOKUP('Données projet'!$B$9,Paramètres!$A$1:$I$89,3,0)*0.475*44/12</f>
        <v>20.825022486134266</v>
      </c>
      <c r="AB65" s="21">
        <f>EXP(-LN(2)/2)*AB64+(1-EXP(-LN(2)/2))/(LN(2)/2)*V65*Y65*VLOOKUP('Données projet'!$B$9,Paramètres!$A$1:$I$89,3,0)*0.475*44/12</f>
        <v>1.1290291275982851E-5</v>
      </c>
      <c r="AC65" s="22">
        <f t="shared" si="3"/>
        <v>344.48688381050044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949.52878694950641</v>
      </c>
      <c r="AN65" s="59">
        <f ca="1">AVERAGE(OFFSET($AM$3,0,0,'Données projet'!$E$10+1,1))-AVERAGE(OFFSET($H$3,0,0,'Données projet'!$E$10+1,1))</f>
        <v>700.22008320816781</v>
      </c>
      <c r="AO65" s="59">
        <f t="shared" si="36"/>
        <v>253.69632691507996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0.8600000000003547</v>
      </c>
      <c r="O66" s="13">
        <f>N66*VLOOKUP('Données projet'!$B$9,Paramètres!$A$1:$I$89,3,0)*VLOOKUP('Données projet'!$B$9,Paramètres!$A$1:$I$89,5,0)</f>
        <v>0.48074000000019829</v>
      </c>
      <c r="P66" s="13">
        <f t="shared" si="33"/>
        <v>0.24126147010950588</v>
      </c>
      <c r="Q66" s="20">
        <f t="shared" si="53"/>
        <v>1.2574858937744013</v>
      </c>
      <c r="R66" s="59">
        <f t="shared" si="0"/>
        <v>294.59081922710772</v>
      </c>
      <c r="S66" s="59">
        <f ca="1">AVERAGE(OFFSET($R$3,0,0,'Données projet'!$E$9+1,1))-AVERAGE(OFFSET($H$3,0,0,'Données projet'!$E$9+1,1))</f>
        <v>406.53547024676948</v>
      </c>
      <c r="T66" s="59">
        <f t="shared" si="34"/>
        <v>534.37689844719353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317.31503856914213</v>
      </c>
      <c r="AA66" s="21">
        <f>EXP(-LN(2)/25)*AA65+(1-EXP(-LN(2)/25))/(LN(2)/25)*Calculateur!V66*Calculateur!X66*VLOOKUP('Données projet'!$B$9,Paramètres!$A$1:$I$89,3,0)*0.475*44/12</f>
        <v>20.255561151110587</v>
      </c>
      <c r="AB66" s="21">
        <f>EXP(-LN(2)/2)*AB65+(1-EXP(-LN(2)/2))/(LN(2)/2)*V66*Y66*VLOOKUP('Données projet'!$B$9,Paramètres!$A$1:$I$89,3,0)*0.475*44/12</f>
        <v>7.9834415228187922E-6</v>
      </c>
      <c r="AC66" s="22">
        <f t="shared" si="3"/>
        <v>337.57060770369429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974.41153830328926</v>
      </c>
      <c r="AN66" s="59">
        <f ca="1">AVERAGE(OFFSET($AM$3,0,0,'Données projet'!$E$10+1,1))-AVERAGE(OFFSET($H$3,0,0,'Données projet'!$E$10+1,1))</f>
        <v>700.22008320816781</v>
      </c>
      <c r="AO66" s="59">
        <f t="shared" si="36"/>
        <v>253.69632691507996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0.8600000000003547</v>
      </c>
      <c r="O67" s="13">
        <f>N67*VLOOKUP('Données projet'!$B$9,Paramètres!$A$1:$I$89,3,0)*VLOOKUP('Données projet'!$B$9,Paramètres!$A$1:$I$89,5,0)</f>
        <v>0.48074000000019829</v>
      </c>
      <c r="P67" s="13">
        <f t="shared" si="33"/>
        <v>0.24126147010950588</v>
      </c>
      <c r="Q67" s="20">
        <f t="shared" ref="Q67:Q98" si="54">(O67+P67)*0.475*44/12</f>
        <v>1.2574858937744013</v>
      </c>
      <c r="R67" s="59">
        <f t="shared" ref="R67:R130" si="55">Q67+(I67+J67)*44/12</f>
        <v>294.59081922710772</v>
      </c>
      <c r="S67" s="59">
        <f ca="1">AVERAGE(OFFSET($R$3,0,0,'Données projet'!$E$9+1,1))-AVERAGE(OFFSET($H$3,0,0,'Données projet'!$E$9+1,1))</f>
        <v>406.53547024676948</v>
      </c>
      <c r="T67" s="59">
        <f t="shared" si="34"/>
        <v>534.37689844719353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311.09268420586397</v>
      </c>
      <c r="AA67" s="21">
        <f>EXP(-LN(2)/25)*AA66+(1-EXP(-LN(2)/25))/(LN(2)/25)*Calculateur!V67*Calculateur!X67*VLOOKUP('Données projet'!$B$9,Paramètres!$A$1:$I$89,3,0)*0.475*44/12</f>
        <v>19.701671766239802</v>
      </c>
      <c r="AB67" s="21">
        <f>EXP(-LN(2)/2)*AB66+(1-EXP(-LN(2)/2))/(LN(2)/2)*V67*Y67*VLOOKUP('Données projet'!$B$9,Paramètres!$A$1:$I$89,3,0)*0.475*44/12</f>
        <v>5.6451456379914256E-6</v>
      </c>
      <c r="AC67" s="22">
        <f t="shared" si="3"/>
        <v>330.79436161724942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999.27563957480993</v>
      </c>
      <c r="AN67" s="59">
        <f ca="1">AVERAGE(OFFSET($AM$3,0,0,'Données projet'!$E$10+1,1))-AVERAGE(OFFSET($H$3,0,0,'Données projet'!$E$10+1,1))</f>
        <v>700.22008320816781</v>
      </c>
      <c r="AO67" s="59">
        <f t="shared" si="36"/>
        <v>253.69632691507996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0.8600000000003547</v>
      </c>
      <c r="O68" s="13">
        <f>N68*VLOOKUP('Données projet'!$B$9,Paramètres!$A$1:$I$89,3,0)*VLOOKUP('Données projet'!$B$9,Paramètres!$A$1:$I$89,5,0)</f>
        <v>0.48074000000019829</v>
      </c>
      <c r="P68" s="13">
        <f t="shared" si="33"/>
        <v>0.24126147010950588</v>
      </c>
      <c r="Q68" s="20">
        <f t="shared" si="54"/>
        <v>1.2574858937744013</v>
      </c>
      <c r="R68" s="59">
        <f t="shared" si="55"/>
        <v>294.59081922710772</v>
      </c>
      <c r="S68" s="59">
        <f ca="1">AVERAGE(OFFSET($R$3,0,0,'Données projet'!$E$9+1,1))-AVERAGE(OFFSET($H$3,0,0,'Données projet'!$E$9+1,1))</f>
        <v>406.53547024676948</v>
      </c>
      <c r="T68" s="59">
        <f t="shared" si="34"/>
        <v>534.37689844719353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304.99234641638833</v>
      </c>
      <c r="AA68" s="21">
        <f>EXP(-LN(2)/25)*AA67+(1-EXP(-LN(2)/25))/(LN(2)/25)*Calculateur!V68*Calculateur!X68*VLOOKUP('Données projet'!$B$9,Paramètres!$A$1:$I$89,3,0)*0.475*44/12</f>
        <v>19.162928515726083</v>
      </c>
      <c r="AB68" s="21">
        <f>EXP(-LN(2)/2)*AB67+(1-EXP(-LN(2)/2))/(LN(2)/2)*V68*Y68*VLOOKUP('Données projet'!$B$9,Paramètres!$A$1:$I$89,3,0)*0.475*44/12</f>
        <v>3.9917207614093961E-6</v>
      </c>
      <c r="AC68" s="22">
        <f t="shared" ref="AC68:AC131" si="57">SUM(Z68:AB68)</f>
        <v>324.15527892383517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1024.1218391863831</v>
      </c>
      <c r="AN68" s="59">
        <f ca="1">AVERAGE(OFFSET($AM$3,0,0,'Données projet'!$E$10+1,1))-AVERAGE(OFFSET($H$3,0,0,'Données projet'!$E$10+1,1))</f>
        <v>700.22008320816781</v>
      </c>
      <c r="AO68" s="59">
        <f t="shared" si="36"/>
        <v>253.69632691507996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0.8600000000003547</v>
      </c>
      <c r="O69" s="13">
        <f>N69*VLOOKUP('Données projet'!$B$9,Paramètres!$A$1:$I$89,3,0)*VLOOKUP('Données projet'!$B$9,Paramètres!$A$1:$I$89,5,0)</f>
        <v>0.48074000000019829</v>
      </c>
      <c r="P69" s="13">
        <f t="shared" ref="P69:P132" si="87">EXP(-1.0587+0.8836*LN(O69)+0.284)</f>
        <v>0.24126147010950588</v>
      </c>
      <c r="Q69" s="20">
        <f t="shared" si="54"/>
        <v>1.2574858937744013</v>
      </c>
      <c r="R69" s="59">
        <f t="shared" si="55"/>
        <v>294.59081922710772</v>
      </c>
      <c r="S69" s="59">
        <f ca="1">AVERAGE(OFFSET($R$3,0,0,'Données projet'!$E$9+1,1))-AVERAGE(OFFSET($H$3,0,0,'Données projet'!$E$9+1,1))</f>
        <v>406.53547024676948</v>
      </c>
      <c r="T69" s="59">
        <f t="shared" ref="T69:T132" si="88">$T$3</f>
        <v>534.37689844719353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299.01163253012561</v>
      </c>
      <c r="AA69" s="21">
        <f>EXP(-LN(2)/25)*AA68+(1-EXP(-LN(2)/25))/(LN(2)/25)*Calculateur!V69*Calculateur!X69*VLOOKUP('Données projet'!$B$9,Paramètres!$A$1:$I$89,3,0)*0.475*44/12</f>
        <v>18.638917227728939</v>
      </c>
      <c r="AB69" s="21">
        <f>EXP(-LN(2)/2)*AB68+(1-EXP(-LN(2)/2))/(LN(2)/2)*V69*Y69*VLOOKUP('Données projet'!$B$9,Paramètres!$A$1:$I$89,3,0)*0.475*44/12</f>
        <v>2.8225728189957128E-6</v>
      </c>
      <c r="AC69" s="22">
        <f t="shared" si="57"/>
        <v>317.65055258042736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1048.950830589057</v>
      </c>
      <c r="AN69" s="59">
        <f ca="1">AVERAGE(OFFSET($AM$3,0,0,'Données projet'!$E$10+1,1))-AVERAGE(OFFSET($H$3,0,0,'Données projet'!$E$10+1,1))</f>
        <v>700.22008320816781</v>
      </c>
      <c r="AO69" s="59">
        <f t="shared" ref="AO69:AO132" si="90">$AO$3</f>
        <v>253.69632691507996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0.8600000000003547</v>
      </c>
      <c r="O70" s="13">
        <f>N70*VLOOKUP('Données projet'!$B$9,Paramètres!$A$1:$I$89,3,0)*VLOOKUP('Données projet'!$B$9,Paramètres!$A$1:$I$89,5,0)</f>
        <v>0.48074000000019829</v>
      </c>
      <c r="P70" s="13">
        <f t="shared" si="87"/>
        <v>0.24126147010950588</v>
      </c>
      <c r="Q70" s="20">
        <f t="shared" si="54"/>
        <v>1.2574858937744013</v>
      </c>
      <c r="R70" s="59">
        <f t="shared" si="55"/>
        <v>294.59081922710772</v>
      </c>
      <c r="S70" s="59">
        <f ca="1">AVERAGE(OFFSET($R$3,0,0,'Données projet'!$E$9+1,1))-AVERAGE(OFFSET($H$3,0,0,'Données projet'!$E$9+1,1))</f>
        <v>406.53547024676948</v>
      </c>
      <c r="T70" s="59">
        <f t="shared" si="88"/>
        <v>534.37689844719353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293.14819679529722</v>
      </c>
      <c r="AA70" s="21">
        <f>EXP(-LN(2)/25)*AA69+(1-EXP(-LN(2)/25))/(LN(2)/25)*Calculateur!V70*Calculateur!X70*VLOOKUP('Données projet'!$B$9,Paramètres!$A$1:$I$89,3,0)*0.475*44/12</f>
        <v>18.129235055958635</v>
      </c>
      <c r="AB70" s="21">
        <f>EXP(-LN(2)/2)*AB69+(1-EXP(-LN(2)/2))/(LN(2)/2)*V70*Y70*VLOOKUP('Données projet'!$B$9,Paramètres!$A$1:$I$89,3,0)*0.475*44/12</f>
        <v>1.995860380704698E-6</v>
      </c>
      <c r="AC70" s="22">
        <f t="shared" si="57"/>
        <v>311.27743384711624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936.30568778434758</v>
      </c>
      <c r="AN70" s="59">
        <f ca="1">AVERAGE(OFFSET($AM$3,0,0,'Données projet'!$E$10+1,1))-AVERAGE(OFFSET($H$3,0,0,'Données projet'!$E$10+1,1))</f>
        <v>700.22008320816781</v>
      </c>
      <c r="AO70" s="59">
        <f t="shared" si="90"/>
        <v>253.69632691507996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0.8600000000003547</v>
      </c>
      <c r="O71" s="13">
        <f>N71*VLOOKUP('Données projet'!$B$9,Paramètres!$A$1:$I$89,3,0)*VLOOKUP('Données projet'!$B$9,Paramètres!$A$1:$I$89,5,0)</f>
        <v>0.48074000000019829</v>
      </c>
      <c r="P71" s="13">
        <f t="shared" si="87"/>
        <v>0.24126147010950588</v>
      </c>
      <c r="Q71" s="20">
        <f t="shared" si="54"/>
        <v>1.2574858937744013</v>
      </c>
      <c r="R71" s="59">
        <f t="shared" si="55"/>
        <v>294.59081922710772</v>
      </c>
      <c r="S71" s="59">
        <f ca="1">AVERAGE(OFFSET($R$3,0,0,'Données projet'!$E$9+1,1))-AVERAGE(OFFSET($H$3,0,0,'Données projet'!$E$9+1,1))</f>
        <v>406.53547024676948</v>
      </c>
      <c r="T71" s="59">
        <f t="shared" si="88"/>
        <v>534.37689844719353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287.39973945888619</v>
      </c>
      <c r="AA71" s="21">
        <f>EXP(-LN(2)/25)*AA70+(1-EXP(-LN(2)/25))/(LN(2)/25)*Calculateur!V71*Calculateur!X71*VLOOKUP('Données projet'!$B$9,Paramètres!$A$1:$I$89,3,0)*0.475*44/12</f>
        <v>17.633490169978408</v>
      </c>
      <c r="AB71" s="21">
        <f>EXP(-LN(2)/2)*AB70+(1-EXP(-LN(2)/2))/(LN(2)/2)*V71*Y71*VLOOKUP('Données projet'!$B$9,Paramètres!$A$1:$I$89,3,0)*0.475*44/12</f>
        <v>1.4112864094978564E-6</v>
      </c>
      <c r="AC71" s="22">
        <f t="shared" si="57"/>
        <v>305.03323104015101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959.46512544231746</v>
      </c>
      <c r="AN71" s="59">
        <f ca="1">AVERAGE(OFFSET($AM$3,0,0,'Données projet'!$E$10+1,1))-AVERAGE(OFFSET($H$3,0,0,'Données projet'!$E$10+1,1))</f>
        <v>700.22008320816781</v>
      </c>
      <c r="AO71" s="59">
        <f t="shared" si="90"/>
        <v>253.69632691507996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0.8600000000003547</v>
      </c>
      <c r="O72" s="13">
        <f>N72*VLOOKUP('Données projet'!$B$9,Paramètres!$A$1:$I$89,3,0)*VLOOKUP('Données projet'!$B$9,Paramètres!$A$1:$I$89,5,0)</f>
        <v>0.48074000000019829</v>
      </c>
      <c r="P72" s="13">
        <f t="shared" si="87"/>
        <v>0.24126147010950588</v>
      </c>
      <c r="Q72" s="20">
        <f t="shared" si="54"/>
        <v>1.2574858937744013</v>
      </c>
      <c r="R72" s="59">
        <f t="shared" si="55"/>
        <v>294.59081922710772</v>
      </c>
      <c r="S72" s="59">
        <f ca="1">AVERAGE(OFFSET($R$3,0,0,'Données projet'!$E$9+1,1))-AVERAGE(OFFSET($H$3,0,0,'Données projet'!$E$9+1,1))</f>
        <v>406.53547024676948</v>
      </c>
      <c r="T72" s="59">
        <f t="shared" si="88"/>
        <v>534.37689844719353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281.76400586462938</v>
      </c>
      <c r="AA72" s="21">
        <f>EXP(-LN(2)/25)*AA71+(1-EXP(-LN(2)/25))/(LN(2)/25)*Calculateur!V72*Calculateur!X72*VLOOKUP('Données projet'!$B$9,Paramètres!$A$1:$I$89,3,0)*0.475*44/12</f>
        <v>17.151301453975403</v>
      </c>
      <c r="AB72" s="21">
        <f>EXP(-LN(2)/2)*AB71+(1-EXP(-LN(2)/2))/(LN(2)/2)*V72*Y72*VLOOKUP('Données projet'!$B$9,Paramètres!$A$1:$I$89,3,0)*0.475*44/12</f>
        <v>9.9793019035234902E-7</v>
      </c>
      <c r="AC72" s="22">
        <f t="shared" si="57"/>
        <v>298.915308316535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982.60800725632066</v>
      </c>
      <c r="AN72" s="59">
        <f ca="1">AVERAGE(OFFSET($AM$3,0,0,'Données projet'!$E$10+1,1))-AVERAGE(OFFSET($H$3,0,0,'Données projet'!$E$10+1,1))</f>
        <v>700.22008320816781</v>
      </c>
      <c r="AO72" s="59">
        <f t="shared" si="90"/>
        <v>253.69632691507996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0.8600000000003547</v>
      </c>
      <c r="O73" s="13">
        <f>N73*VLOOKUP('Données projet'!$B$9,Paramètres!$A$1:$I$89,3,0)*VLOOKUP('Données projet'!$B$9,Paramètres!$A$1:$I$89,5,0)</f>
        <v>0.48074000000019829</v>
      </c>
      <c r="P73" s="13">
        <f t="shared" si="87"/>
        <v>0.24126147010950588</v>
      </c>
      <c r="Q73" s="20">
        <f t="shared" si="54"/>
        <v>1.2574858937744013</v>
      </c>
      <c r="R73" s="59">
        <f t="shared" si="55"/>
        <v>294.59081922710772</v>
      </c>
      <c r="S73" s="59">
        <f ca="1">AVERAGE(OFFSET($R$3,0,0,'Données projet'!$E$9+1,1))-AVERAGE(OFFSET($H$3,0,0,'Données projet'!$E$9+1,1))</f>
        <v>406.53547024676948</v>
      </c>
      <c r="T73" s="59">
        <f t="shared" si="88"/>
        <v>534.37689844719353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276.23878556869789</v>
      </c>
      <c r="AA73" s="21">
        <f>EXP(-LN(2)/25)*AA72+(1-EXP(-LN(2)/25))/(LN(2)/25)*Calculateur!V73*Calculateur!X73*VLOOKUP('Données projet'!$B$9,Paramètres!$A$1:$I$89,3,0)*0.475*44/12</f>
        <v>16.682298213768703</v>
      </c>
      <c r="AB73" s="21">
        <f>EXP(-LN(2)/2)*AB72+(1-EXP(-LN(2)/2))/(LN(2)/2)*V73*Y73*VLOOKUP('Données projet'!$B$9,Paramètres!$A$1:$I$89,3,0)*0.475*44/12</f>
        <v>7.056432047489282E-7</v>
      </c>
      <c r="AC73" s="22">
        <f t="shared" si="57"/>
        <v>292.92108448810984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1005.734966648937</v>
      </c>
      <c r="AN73" s="59">
        <f ca="1">AVERAGE(OFFSET($AM$3,0,0,'Données projet'!$E$10+1,1))-AVERAGE(OFFSET($H$3,0,0,'Données projet'!$E$10+1,1))</f>
        <v>700.22008320816781</v>
      </c>
      <c r="AO73" s="59">
        <f t="shared" si="90"/>
        <v>253.69632691507996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0.8600000000003547</v>
      </c>
      <c r="O74" s="13">
        <f>N74*VLOOKUP('Données projet'!$B$9,Paramètres!$A$1:$I$89,3,0)*VLOOKUP('Données projet'!$B$9,Paramètres!$A$1:$I$89,5,0)</f>
        <v>0.48074000000019829</v>
      </c>
      <c r="P74" s="13">
        <f t="shared" si="87"/>
        <v>0.24126147010950588</v>
      </c>
      <c r="Q74" s="20">
        <f t="shared" si="54"/>
        <v>1.2574858937744013</v>
      </c>
      <c r="R74" s="59">
        <f t="shared" si="55"/>
        <v>294.59081922710772</v>
      </c>
      <c r="S74" s="59">
        <f ca="1">AVERAGE(OFFSET($R$3,0,0,'Données projet'!$E$9+1,1))-AVERAGE(OFFSET($H$3,0,0,'Données projet'!$E$9+1,1))</f>
        <v>406.53547024676948</v>
      </c>
      <c r="T74" s="59">
        <f t="shared" si="88"/>
        <v>534.37689844719353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270.821911472718</v>
      </c>
      <c r="AA74" s="21">
        <f>EXP(-LN(2)/25)*AA73+(1-EXP(-LN(2)/25))/(LN(2)/25)*Calculateur!V74*Calculateur!X74*VLOOKUP('Données projet'!$B$9,Paramètres!$A$1:$I$89,3,0)*0.475*44/12</f>
        <v>16.226119891829264</v>
      </c>
      <c r="AB74" s="21">
        <f>EXP(-LN(2)/2)*AB73+(1-EXP(-LN(2)/2))/(LN(2)/2)*V74*Y74*VLOOKUP('Données projet'!$B$9,Paramètres!$A$1:$I$89,3,0)*0.475*44/12</f>
        <v>4.9896509517617451E-7</v>
      </c>
      <c r="AC74" s="22">
        <f t="shared" si="57"/>
        <v>287.04803186351239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1028.8465926149952</v>
      </c>
      <c r="AN74" s="59">
        <f ca="1">AVERAGE(OFFSET($AM$3,0,0,'Données projet'!$E$10+1,1))-AVERAGE(OFFSET($H$3,0,0,'Données projet'!$E$10+1,1))</f>
        <v>700.22008320816781</v>
      </c>
      <c r="AO74" s="59">
        <f t="shared" si="90"/>
        <v>253.69632691507996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0.8600000000003547</v>
      </c>
      <c r="O75" s="13">
        <f>N75*VLOOKUP('Données projet'!$B$9,Paramètres!$A$1:$I$89,3,0)*VLOOKUP('Données projet'!$B$9,Paramètres!$A$1:$I$89,5,0)</f>
        <v>0.48074000000019829</v>
      </c>
      <c r="P75" s="13">
        <f t="shared" si="87"/>
        <v>0.24126147010950588</v>
      </c>
      <c r="Q75" s="20">
        <f t="shared" si="54"/>
        <v>1.2574858937744013</v>
      </c>
      <c r="R75" s="59">
        <f t="shared" si="55"/>
        <v>294.59081922710772</v>
      </c>
      <c r="S75" s="59">
        <f ca="1">AVERAGE(OFFSET($R$3,0,0,'Données projet'!$E$9+1,1))-AVERAGE(OFFSET($H$3,0,0,'Données projet'!$E$9+1,1))</f>
        <v>406.53547024676948</v>
      </c>
      <c r="T75" s="59">
        <f t="shared" si="88"/>
        <v>534.37689844719353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265.5112589737933</v>
      </c>
      <c r="AA75" s="21">
        <f>EXP(-LN(2)/25)*AA74+(1-EXP(-LN(2)/25))/(LN(2)/25)*Calculateur!V75*Calculateur!X75*VLOOKUP('Données projet'!$B$9,Paramètres!$A$1:$I$89,3,0)*0.475*44/12</f>
        <v>15.782415790092632</v>
      </c>
      <c r="AB75" s="21">
        <f>EXP(-LN(2)/2)*AB74+(1-EXP(-LN(2)/2))/(LN(2)/2)*V75*Y75*VLOOKUP('Données projet'!$B$9,Paramètres!$A$1:$I$89,3,0)*0.475*44/12</f>
        <v>3.528216023744641E-7</v>
      </c>
      <c r="AC75" s="22">
        <f t="shared" si="57"/>
        <v>281.2936751167075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1051.9434341635995</v>
      </c>
      <c r="AN75" s="59">
        <f ca="1">AVERAGE(OFFSET($AM$3,0,0,'Données projet'!$E$10+1,1))-AVERAGE(OFFSET($H$3,0,0,'Données projet'!$E$10+1,1))</f>
        <v>700.22008320816781</v>
      </c>
      <c r="AO75" s="59">
        <f t="shared" si="90"/>
        <v>253.69632691507996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0.8600000000003547</v>
      </c>
      <c r="O76" s="13">
        <f>N76*VLOOKUP('Données projet'!$B$9,Paramètres!$A$1:$I$89,3,0)*VLOOKUP('Données projet'!$B$9,Paramètres!$A$1:$I$89,5,0)</f>
        <v>0.48074000000019829</v>
      </c>
      <c r="P76" s="13">
        <f t="shared" si="87"/>
        <v>0.24126147010950588</v>
      </c>
      <c r="Q76" s="20">
        <f t="shared" si="54"/>
        <v>1.2574858937744013</v>
      </c>
      <c r="R76" s="59">
        <f t="shared" si="55"/>
        <v>294.59081922710772</v>
      </c>
      <c r="S76" s="59">
        <f ca="1">AVERAGE(OFFSET($R$3,0,0,'Données projet'!$E$9+1,1))-AVERAGE(OFFSET($H$3,0,0,'Données projet'!$E$9+1,1))</f>
        <v>406.53547024676948</v>
      </c>
      <c r="T76" s="59">
        <f t="shared" si="88"/>
        <v>534.37689844719353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260.30474513119435</v>
      </c>
      <c r="AA76" s="21">
        <f>EXP(-LN(2)/25)*AA75+(1-EXP(-LN(2)/25))/(LN(2)/25)*Calculateur!V76*Calculateur!X76*VLOOKUP('Données projet'!$B$9,Paramètres!$A$1:$I$89,3,0)*0.475*44/12</f>
        <v>15.350844800351373</v>
      </c>
      <c r="AB76" s="21">
        <f>EXP(-LN(2)/2)*AB75+(1-EXP(-LN(2)/2))/(LN(2)/2)*V76*Y76*VLOOKUP('Données projet'!$B$9,Paramètres!$A$1:$I$89,3,0)*0.475*44/12</f>
        <v>2.4948254758808726E-7</v>
      </c>
      <c r="AC76" s="22">
        <f t="shared" si="57"/>
        <v>275.65559018102823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1075.0260041916656</v>
      </c>
      <c r="AN76" s="59">
        <f ca="1">AVERAGE(OFFSET($AM$3,0,0,'Données projet'!$E$10+1,1))-AVERAGE(OFFSET($H$3,0,0,'Données projet'!$E$10+1,1))</f>
        <v>700.22008320816781</v>
      </c>
      <c r="AO76" s="59">
        <f t="shared" si="90"/>
        <v>253.69632691507996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0.8600000000003547</v>
      </c>
      <c r="O77" s="13">
        <f>N77*VLOOKUP('Données projet'!$B$9,Paramètres!$A$1:$I$89,3,0)*VLOOKUP('Données projet'!$B$9,Paramètres!$A$1:$I$89,5,0)</f>
        <v>0.48074000000019829</v>
      </c>
      <c r="P77" s="13">
        <f t="shared" si="87"/>
        <v>0.24126147010950588</v>
      </c>
      <c r="Q77" s="20">
        <f t="shared" si="54"/>
        <v>1.2574858937744013</v>
      </c>
      <c r="R77" s="59">
        <f t="shared" si="55"/>
        <v>294.59081922710772</v>
      </c>
      <c r="S77" s="59">
        <f ca="1">AVERAGE(OFFSET($R$3,0,0,'Données projet'!$E$9+1,1))-AVERAGE(OFFSET($H$3,0,0,'Données projet'!$E$9+1,1))</f>
        <v>406.53547024676948</v>
      </c>
      <c r="T77" s="59">
        <f t="shared" si="88"/>
        <v>534.37689844719353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255.20032784938891</v>
      </c>
      <c r="AA77" s="21">
        <f>EXP(-LN(2)/25)*AA76+(1-EXP(-LN(2)/25))/(LN(2)/25)*Calculateur!V77*Calculateur!X77*VLOOKUP('Données projet'!$B$9,Paramètres!$A$1:$I$89,3,0)*0.475*44/12</f>
        <v>14.931075142019921</v>
      </c>
      <c r="AB77" s="21">
        <f>EXP(-LN(2)/2)*AB76+(1-EXP(-LN(2)/2))/(LN(2)/2)*V77*Y77*VLOOKUP('Données projet'!$B$9,Paramètres!$A$1:$I$89,3,0)*0.475*44/12</f>
        <v>1.7641080118723205E-7</v>
      </c>
      <c r="AC77" s="22">
        <f t="shared" si="57"/>
        <v>270.13140316781966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1098.0947828766812</v>
      </c>
      <c r="AN77" s="59">
        <f ca="1">AVERAGE(OFFSET($AM$3,0,0,'Données projet'!$E$10+1,1))-AVERAGE(OFFSET($H$3,0,0,'Données projet'!$E$10+1,1))</f>
        <v>700.22008320816781</v>
      </c>
      <c r="AO77" s="59">
        <f t="shared" si="90"/>
        <v>253.69632691507996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0.8600000000003547</v>
      </c>
      <c r="O78" s="13">
        <f>N78*VLOOKUP('Données projet'!$B$9,Paramètres!$A$1:$I$89,3,0)*VLOOKUP('Données projet'!$B$9,Paramètres!$A$1:$I$89,5,0)</f>
        <v>0.48074000000019829</v>
      </c>
      <c r="P78" s="13">
        <f t="shared" si="87"/>
        <v>0.24126147010950588</v>
      </c>
      <c r="Q78" s="20">
        <f t="shared" si="54"/>
        <v>1.2574858937744013</v>
      </c>
      <c r="R78" s="59">
        <f t="shared" si="55"/>
        <v>294.59081922710772</v>
      </c>
      <c r="S78" s="59">
        <f ca="1">AVERAGE(OFFSET($R$3,0,0,'Données projet'!$E$9+1,1))-AVERAGE(OFFSET($H$3,0,0,'Données projet'!$E$9+1,1))</f>
        <v>406.53547024676948</v>
      </c>
      <c r="T78" s="59">
        <f t="shared" si="88"/>
        <v>534.37689844719353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250.19600507709254</v>
      </c>
      <c r="AA78" s="21">
        <f>EXP(-LN(2)/25)*AA77+(1-EXP(-LN(2)/25))/(LN(2)/25)*Calculateur!V78*Calculateur!X78*VLOOKUP('Données projet'!$B$9,Paramètres!$A$1:$I$89,3,0)*0.475*44/12</f>
        <v>14.522784107070271</v>
      </c>
      <c r="AB78" s="21">
        <f>EXP(-LN(2)/2)*AB77+(1-EXP(-LN(2)/2))/(LN(2)/2)*V78*Y78*VLOOKUP('Données projet'!$B$9,Paramètres!$A$1:$I$89,3,0)*0.475*44/12</f>
        <v>1.2474127379404363E-7</v>
      </c>
      <c r="AC78" s="22">
        <f t="shared" si="57"/>
        <v>264.71878930890409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986.41520935061976</v>
      </c>
      <c r="AN78" s="59">
        <f ca="1">AVERAGE(OFFSET($AM$3,0,0,'Données projet'!$E$10+1,1))-AVERAGE(OFFSET($H$3,0,0,'Données projet'!$E$10+1,1))</f>
        <v>700.22008320816781</v>
      </c>
      <c r="AO78" s="59">
        <f t="shared" si="90"/>
        <v>253.69632691507996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0.8600000000003547</v>
      </c>
      <c r="O79" s="13">
        <f>N79*VLOOKUP('Données projet'!$B$9,Paramètres!$A$1:$I$89,3,0)*VLOOKUP('Données projet'!$B$9,Paramètres!$A$1:$I$89,5,0)</f>
        <v>0.48074000000019829</v>
      </c>
      <c r="P79" s="13">
        <f t="shared" si="87"/>
        <v>0.24126147010950588</v>
      </c>
      <c r="Q79" s="20">
        <f t="shared" si="54"/>
        <v>1.2574858937744013</v>
      </c>
      <c r="R79" s="59">
        <f t="shared" si="55"/>
        <v>294.59081922710772</v>
      </c>
      <c r="S79" s="59">
        <f ca="1">AVERAGE(OFFSET($R$3,0,0,'Données projet'!$E$9+1,1))-AVERAGE(OFFSET($H$3,0,0,'Données projet'!$E$9+1,1))</f>
        <v>406.53547024676948</v>
      </c>
      <c r="T79" s="59">
        <f t="shared" si="88"/>
        <v>534.37689844719353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245.28981402202541</v>
      </c>
      <c r="AA79" s="21">
        <f>EXP(-LN(2)/25)*AA78+(1-EXP(-LN(2)/25))/(LN(2)/25)*Calculateur!V79*Calculateur!X79*VLOOKUP('Données projet'!$B$9,Paramètres!$A$1:$I$89,3,0)*0.475*44/12</f>
        <v>14.125657811942411</v>
      </c>
      <c r="AB79" s="21">
        <f>EXP(-LN(2)/2)*AB78+(1-EXP(-LN(2)/2))/(LN(2)/2)*V79*Y79*VLOOKUP('Données projet'!$B$9,Paramètres!$A$1:$I$89,3,0)*0.475*44/12</f>
        <v>8.8205400593616025E-8</v>
      </c>
      <c r="AC79" s="22">
        <f t="shared" si="57"/>
        <v>259.41547192217325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1008.1985177712443</v>
      </c>
      <c r="AN79" s="59">
        <f ca="1">AVERAGE(OFFSET($AM$3,0,0,'Données projet'!$E$10+1,1))-AVERAGE(OFFSET($H$3,0,0,'Données projet'!$E$10+1,1))</f>
        <v>700.22008320816781</v>
      </c>
      <c r="AO79" s="59">
        <f t="shared" si="90"/>
        <v>253.69632691507996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0.8600000000003547</v>
      </c>
      <c r="O80" s="13">
        <f>N80*VLOOKUP('Données projet'!$B$9,Paramètres!$A$1:$I$89,3,0)*VLOOKUP('Données projet'!$B$9,Paramètres!$A$1:$I$89,5,0)</f>
        <v>0.48074000000019829</v>
      </c>
      <c r="P80" s="13">
        <f t="shared" si="87"/>
        <v>0.24126147010950588</v>
      </c>
      <c r="Q80" s="20">
        <f t="shared" si="54"/>
        <v>1.2574858937744013</v>
      </c>
      <c r="R80" s="59">
        <f t="shared" si="55"/>
        <v>294.59081922710772</v>
      </c>
      <c r="S80" s="59">
        <f ca="1">AVERAGE(OFFSET($R$3,0,0,'Données projet'!$E$9+1,1))-AVERAGE(OFFSET($H$3,0,0,'Données projet'!$E$9+1,1))</f>
        <v>406.53547024676948</v>
      </c>
      <c r="T80" s="59">
        <f t="shared" si="88"/>
        <v>534.37689844719353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240.47983038106707</v>
      </c>
      <c r="AA80" s="21">
        <f>EXP(-LN(2)/25)*AA79+(1-EXP(-LN(2)/25))/(LN(2)/25)*Calculateur!V80*Calculateur!X80*VLOOKUP('Données projet'!$B$9,Paramètres!$A$1:$I$89,3,0)*0.475*44/12</f>
        <v>13.739390956238786</v>
      </c>
      <c r="AB80" s="21">
        <f>EXP(-LN(2)/2)*AB79+(1-EXP(-LN(2)/2))/(LN(2)/2)*V80*Y80*VLOOKUP('Données projet'!$B$9,Paramètres!$A$1:$I$89,3,0)*0.475*44/12</f>
        <v>6.2370636897021814E-8</v>
      </c>
      <c r="AC80" s="22">
        <f t="shared" si="57"/>
        <v>254.21922139967651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1029.9682740960575</v>
      </c>
      <c r="AN80" s="59">
        <f ca="1">AVERAGE(OFFSET($AM$3,0,0,'Données projet'!$E$10+1,1))-AVERAGE(OFFSET($H$3,0,0,'Données projet'!$E$10+1,1))</f>
        <v>700.22008320816781</v>
      </c>
      <c r="AO80" s="59">
        <f t="shared" si="90"/>
        <v>253.69632691507996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0.8600000000003547</v>
      </c>
      <c r="O81" s="13">
        <f>N81*VLOOKUP('Données projet'!$B$9,Paramètres!$A$1:$I$89,3,0)*VLOOKUP('Données projet'!$B$9,Paramètres!$A$1:$I$89,5,0)</f>
        <v>0.48074000000019829</v>
      </c>
      <c r="P81" s="13">
        <f t="shared" si="87"/>
        <v>0.24126147010950588</v>
      </c>
      <c r="Q81" s="20">
        <f t="shared" si="54"/>
        <v>1.2574858937744013</v>
      </c>
      <c r="R81" s="59">
        <f t="shared" si="55"/>
        <v>294.59081922710772</v>
      </c>
      <c r="S81" s="59">
        <f ca="1">AVERAGE(OFFSET($R$3,0,0,'Données projet'!$E$9+1,1))-AVERAGE(OFFSET($H$3,0,0,'Données projet'!$E$9+1,1))</f>
        <v>406.53547024676948</v>
      </c>
      <c r="T81" s="59">
        <f t="shared" si="88"/>
        <v>534.37689844719353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235.76416758550761</v>
      </c>
      <c r="AA81" s="21">
        <f>EXP(-LN(2)/25)*AA80+(1-EXP(-LN(2)/25))/(LN(2)/25)*Calculateur!V81*Calculateur!X81*VLOOKUP('Données projet'!$B$9,Paramètres!$A$1:$I$89,3,0)*0.475*44/12</f>
        <v>13.363686588017268</v>
      </c>
      <c r="AB81" s="21">
        <f>EXP(-LN(2)/2)*AB80+(1-EXP(-LN(2)/2))/(LN(2)/2)*V81*Y81*VLOOKUP('Données projet'!$B$9,Paramètres!$A$1:$I$89,3,0)*0.475*44/12</f>
        <v>4.4102700296808013E-8</v>
      </c>
      <c r="AC81" s="22">
        <f t="shared" si="57"/>
        <v>249.12785421762757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1051.7249347251507</v>
      </c>
      <c r="AN81" s="59">
        <f ca="1">AVERAGE(OFFSET($AM$3,0,0,'Données projet'!$E$10+1,1))-AVERAGE(OFFSET($H$3,0,0,'Données projet'!$E$10+1,1))</f>
        <v>700.22008320816781</v>
      </c>
      <c r="AO81" s="59">
        <f t="shared" si="90"/>
        <v>253.69632691507996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0.8600000000003547</v>
      </c>
      <c r="O82" s="13">
        <f>N82*VLOOKUP('Données projet'!$B$9,Paramètres!$A$1:$I$89,3,0)*VLOOKUP('Données projet'!$B$9,Paramètres!$A$1:$I$89,5,0)</f>
        <v>0.48074000000019829</v>
      </c>
      <c r="P82" s="13">
        <f t="shared" si="87"/>
        <v>0.24126147010950588</v>
      </c>
      <c r="Q82" s="20">
        <f t="shared" si="54"/>
        <v>1.2574858937744013</v>
      </c>
      <c r="R82" s="59">
        <f t="shared" si="55"/>
        <v>294.59081922710772</v>
      </c>
      <c r="S82" s="59">
        <f ca="1">AVERAGE(OFFSET($R$3,0,0,'Données projet'!$E$9+1,1))-AVERAGE(OFFSET($H$3,0,0,'Données projet'!$E$9+1,1))</f>
        <v>406.53547024676948</v>
      </c>
      <c r="T82" s="59">
        <f t="shared" si="88"/>
        <v>534.37689844719353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231.14097606109877</v>
      </c>
      <c r="AA82" s="21">
        <f>EXP(-LN(2)/25)*AA81+(1-EXP(-LN(2)/25))/(LN(2)/25)*Calculateur!V82*Calculateur!X82*VLOOKUP('Données projet'!$B$9,Paramètres!$A$1:$I$89,3,0)*0.475*44/12</f>
        <v>12.998255875502201</v>
      </c>
      <c r="AB82" s="21">
        <f>EXP(-LN(2)/2)*AB81+(1-EXP(-LN(2)/2))/(LN(2)/2)*V82*Y82*VLOOKUP('Données projet'!$B$9,Paramètres!$A$1:$I$89,3,0)*0.475*44/12</f>
        <v>3.1185318448510907E-8</v>
      </c>
      <c r="AC82" s="22">
        <f t="shared" si="57"/>
        <v>244.13923196778629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1073.4689277698424</v>
      </c>
      <c r="AN82" s="59">
        <f ca="1">AVERAGE(OFFSET($AM$3,0,0,'Données projet'!$E$10+1,1))-AVERAGE(OFFSET($H$3,0,0,'Données projet'!$E$10+1,1))</f>
        <v>700.22008320816781</v>
      </c>
      <c r="AO82" s="59">
        <f t="shared" si="90"/>
        <v>253.69632691507996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0.8600000000003547</v>
      </c>
      <c r="O83" s="13">
        <f>N83*VLOOKUP('Données projet'!$B$9,Paramètres!$A$1:$I$89,3,0)*VLOOKUP('Données projet'!$B$9,Paramètres!$A$1:$I$89,5,0)</f>
        <v>0.48074000000019829</v>
      </c>
      <c r="P83" s="13">
        <f t="shared" si="87"/>
        <v>0.24126147010950588</v>
      </c>
      <c r="Q83" s="20">
        <f t="shared" si="54"/>
        <v>1.2574858937744013</v>
      </c>
      <c r="R83" s="59">
        <f t="shared" si="55"/>
        <v>294.59081922710772</v>
      </c>
      <c r="S83" s="59">
        <f ca="1">AVERAGE(OFFSET($R$3,0,0,'Données projet'!$E$9+1,1))-AVERAGE(OFFSET($H$3,0,0,'Données projet'!$E$9+1,1))</f>
        <v>406.53547024676948</v>
      </c>
      <c r="T83" s="59">
        <f t="shared" si="88"/>
        <v>534.37689844719353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226.60844250261519</v>
      </c>
      <c r="AA83" s="21">
        <f>EXP(-LN(2)/25)*AA82+(1-EXP(-LN(2)/25))/(LN(2)/25)*Calculateur!V83*Calculateur!X83*VLOOKUP('Données projet'!$B$9,Paramètres!$A$1:$I$89,3,0)*0.475*44/12</f>
        <v>12.642817885038024</v>
      </c>
      <c r="AB83" s="21">
        <f>EXP(-LN(2)/2)*AB82+(1-EXP(-LN(2)/2))/(LN(2)/2)*V83*Y83*VLOOKUP('Données projet'!$B$9,Paramètres!$A$1:$I$89,3,0)*0.475*44/12</f>
        <v>2.2051350148404006E-8</v>
      </c>
      <c r="AC83" s="22">
        <f t="shared" si="57"/>
        <v>239.25126040970457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1095.200655561425</v>
      </c>
      <c r="AN83" s="59">
        <f ca="1">AVERAGE(OFFSET($AM$3,0,0,'Données projet'!$E$10+1,1))-AVERAGE(OFFSET($H$3,0,0,'Données projet'!$E$10+1,1))</f>
        <v>700.22008320816781</v>
      </c>
      <c r="AO83" s="59">
        <f t="shared" si="90"/>
        <v>253.69632691507996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0.8600000000003547</v>
      </c>
      <c r="O84" s="13">
        <f>N84*VLOOKUP('Données projet'!$B$9,Paramètres!$A$1:$I$89,3,0)*VLOOKUP('Données projet'!$B$9,Paramètres!$A$1:$I$89,5,0)</f>
        <v>0.48074000000019829</v>
      </c>
      <c r="P84" s="13">
        <f t="shared" si="87"/>
        <v>0.24126147010950588</v>
      </c>
      <c r="Q84" s="20">
        <f t="shared" si="54"/>
        <v>1.2574858937744013</v>
      </c>
      <c r="R84" s="59">
        <f t="shared" si="55"/>
        <v>294.59081922710772</v>
      </c>
      <c r="S84" s="59">
        <f ca="1">AVERAGE(OFFSET($R$3,0,0,'Données projet'!$E$9+1,1))-AVERAGE(OFFSET($H$3,0,0,'Données projet'!$E$9+1,1))</f>
        <v>406.53547024676948</v>
      </c>
      <c r="T84" s="59">
        <f t="shared" si="88"/>
        <v>534.37689844719353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222.164789162641</v>
      </c>
      <c r="AA84" s="21">
        <f>EXP(-LN(2)/25)*AA83+(1-EXP(-LN(2)/25))/(LN(2)/25)*Calculateur!V84*Calculateur!X84*VLOOKUP('Données projet'!$B$9,Paramètres!$A$1:$I$89,3,0)*0.475*44/12</f>
        <v>12.297099365114763</v>
      </c>
      <c r="AB84" s="21">
        <f>EXP(-LN(2)/2)*AB83+(1-EXP(-LN(2)/2))/(LN(2)/2)*V84*Y84*VLOOKUP('Données projet'!$B$9,Paramètres!$A$1:$I$89,3,0)*0.475*44/12</f>
        <v>1.5592659224255453E-8</v>
      </c>
      <c r="AC84" s="22">
        <f t="shared" si="57"/>
        <v>234.46188854334844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1116.9204968741326</v>
      </c>
      <c r="AN84" s="59">
        <f ca="1">AVERAGE(OFFSET($AM$3,0,0,'Données projet'!$E$10+1,1))-AVERAGE(OFFSET($H$3,0,0,'Données projet'!$E$10+1,1))</f>
        <v>700.22008320816781</v>
      </c>
      <c r="AO84" s="59">
        <f t="shared" si="90"/>
        <v>253.69632691507996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0.8600000000003547</v>
      </c>
      <c r="O85" s="13">
        <f>N85*VLOOKUP('Données projet'!$B$9,Paramètres!$A$1:$I$89,3,0)*VLOOKUP('Données projet'!$B$9,Paramètres!$A$1:$I$89,5,0)</f>
        <v>0.48074000000019829</v>
      </c>
      <c r="P85" s="13">
        <f t="shared" si="87"/>
        <v>0.24126147010950588</v>
      </c>
      <c r="Q85" s="20">
        <f t="shared" si="54"/>
        <v>1.2574858937744013</v>
      </c>
      <c r="R85" s="59">
        <f t="shared" si="55"/>
        <v>294.59081922710772</v>
      </c>
      <c r="S85" s="59">
        <f ca="1">AVERAGE(OFFSET($R$3,0,0,'Données projet'!$E$9+1,1))-AVERAGE(OFFSET($H$3,0,0,'Données projet'!$E$9+1,1))</f>
        <v>406.53547024676948</v>
      </c>
      <c r="T85" s="59">
        <f t="shared" si="88"/>
        <v>534.37689844719353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217.80827315430278</v>
      </c>
      <c r="AA85" s="21">
        <f>EXP(-LN(2)/25)*AA84+(1-EXP(-LN(2)/25))/(LN(2)/25)*Calculateur!V85*Calculateur!X85*VLOOKUP('Données projet'!$B$9,Paramètres!$A$1:$I$89,3,0)*0.475*44/12</f>
        <v>11.96083453629935</v>
      </c>
      <c r="AB85" s="21">
        <f>EXP(-LN(2)/2)*AB84+(1-EXP(-LN(2)/2))/(LN(2)/2)*V85*Y85*VLOOKUP('Données projet'!$B$9,Paramètres!$A$1:$I$89,3,0)*0.475*44/12</f>
        <v>1.1025675074202003E-8</v>
      </c>
      <c r="AC85" s="22">
        <f t="shared" si="57"/>
        <v>229.7691077016278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1138.6288089017069</v>
      </c>
      <c r="AN85" s="59">
        <f ca="1">AVERAGE(OFFSET($AM$3,0,0,'Données projet'!$E$10+1,1))-AVERAGE(OFFSET($H$3,0,0,'Données projet'!$E$10+1,1))</f>
        <v>700.22008320816781</v>
      </c>
      <c r="AO85" s="59">
        <f t="shared" si="90"/>
        <v>253.69632691507996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0.8600000000003547</v>
      </c>
      <c r="O86" s="13">
        <f>N86*VLOOKUP('Données projet'!$B$9,Paramètres!$A$1:$I$89,3,0)*VLOOKUP('Données projet'!$B$9,Paramètres!$A$1:$I$89,5,0)</f>
        <v>0.48074000000019829</v>
      </c>
      <c r="P86" s="13">
        <f t="shared" si="87"/>
        <v>0.24126147010950588</v>
      </c>
      <c r="Q86" s="20">
        <f t="shared" si="54"/>
        <v>1.2574858937744013</v>
      </c>
      <c r="R86" s="59">
        <f t="shared" si="55"/>
        <v>294.59081922710772</v>
      </c>
      <c r="S86" s="59">
        <f ca="1">AVERAGE(OFFSET($R$3,0,0,'Données projet'!$E$9+1,1))-AVERAGE(OFFSET($H$3,0,0,'Données projet'!$E$9+1,1))</f>
        <v>406.53547024676948</v>
      </c>
      <c r="T86" s="59">
        <f t="shared" si="88"/>
        <v>534.37689844719353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213.53718576767568</v>
      </c>
      <c r="AA86" s="21">
        <f>EXP(-LN(2)/25)*AA85+(1-EXP(-LN(2)/25))/(LN(2)/25)*Calculateur!V86*Calculateur!X86*VLOOKUP('Données projet'!$B$9,Paramètres!$A$1:$I$89,3,0)*0.475*44/12</f>
        <v>11.633764886911292</v>
      </c>
      <c r="AB86" s="21">
        <f>EXP(-LN(2)/2)*AB85+(1-EXP(-LN(2)/2))/(LN(2)/2)*V86*Y86*VLOOKUP('Données projet'!$B$9,Paramètres!$A$1:$I$89,3,0)*0.475*44/12</f>
        <v>7.7963296121277267E-9</v>
      </c>
      <c r="AC86" s="22">
        <f t="shared" si="57"/>
        <v>225.17095066238329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1057.4435001776708</v>
      </c>
      <c r="AN86" s="59">
        <f ca="1">AVERAGE(OFFSET($AM$3,0,0,'Données projet'!$E$10+1,1))-AVERAGE(OFFSET($H$3,0,0,'Données projet'!$E$10+1,1))</f>
        <v>700.22008320816781</v>
      </c>
      <c r="AO86" s="59">
        <f t="shared" si="90"/>
        <v>253.69632691507996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0.8600000000003547</v>
      </c>
      <c r="O87" s="13">
        <f>N87*VLOOKUP('Données projet'!$B$9,Paramètres!$A$1:$I$89,3,0)*VLOOKUP('Données projet'!$B$9,Paramètres!$A$1:$I$89,5,0)</f>
        <v>0.48074000000019829</v>
      </c>
      <c r="P87" s="13">
        <f t="shared" si="87"/>
        <v>0.24126147010950588</v>
      </c>
      <c r="Q87" s="20">
        <f t="shared" si="54"/>
        <v>1.2574858937744013</v>
      </c>
      <c r="R87" s="59">
        <f t="shared" si="55"/>
        <v>294.59081922710772</v>
      </c>
      <c r="S87" s="59">
        <f ca="1">AVERAGE(OFFSET($R$3,0,0,'Données projet'!$E$9+1,1))-AVERAGE(OFFSET($H$3,0,0,'Données projet'!$E$9+1,1))</f>
        <v>406.53547024676948</v>
      </c>
      <c r="T87" s="59">
        <f t="shared" si="88"/>
        <v>534.37689844719353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209.34985179959426</v>
      </c>
      <c r="AA87" s="21">
        <f>EXP(-LN(2)/25)*AA86+(1-EXP(-LN(2)/25))/(LN(2)/25)*Calculateur!V87*Calculateur!X87*VLOOKUP('Données projet'!$B$9,Paramètres!$A$1:$I$89,3,0)*0.475*44/12</f>
        <v>11.315638974285596</v>
      </c>
      <c r="AB87" s="21">
        <f>EXP(-LN(2)/2)*AB86+(1-EXP(-LN(2)/2))/(LN(2)/2)*V87*Y87*VLOOKUP('Données projet'!$B$9,Paramètres!$A$1:$I$89,3,0)*0.475*44/12</f>
        <v>5.5128375371010016E-9</v>
      </c>
      <c r="AC87" s="22">
        <f t="shared" si="57"/>
        <v>220.66549077939271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1078.6003966339738</v>
      </c>
      <c r="AN87" s="59">
        <f ca="1">AVERAGE(OFFSET($AM$3,0,0,'Données projet'!$E$10+1,1))-AVERAGE(OFFSET($H$3,0,0,'Données projet'!$E$10+1,1))</f>
        <v>700.22008320816781</v>
      </c>
      <c r="AO87" s="59">
        <f t="shared" si="90"/>
        <v>253.69632691507996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0.8600000000003547</v>
      </c>
      <c r="O88" s="13">
        <f>N88*VLOOKUP('Données projet'!$B$9,Paramètres!$A$1:$I$89,3,0)*VLOOKUP('Données projet'!$B$9,Paramètres!$A$1:$I$89,5,0)</f>
        <v>0.48074000000019829</v>
      </c>
      <c r="P88" s="13">
        <f t="shared" si="87"/>
        <v>0.24126147010950588</v>
      </c>
      <c r="Q88" s="20">
        <f t="shared" si="54"/>
        <v>1.2574858937744013</v>
      </c>
      <c r="R88" s="59">
        <f t="shared" si="55"/>
        <v>294.59081922710772</v>
      </c>
      <c r="S88" s="59">
        <f ca="1">AVERAGE(OFFSET($R$3,0,0,'Données projet'!$E$9+1,1))-AVERAGE(OFFSET($H$3,0,0,'Données projet'!$E$9+1,1))</f>
        <v>406.53547024676948</v>
      </c>
      <c r="T88" s="59">
        <f t="shared" si="88"/>
        <v>534.37689844719353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205.24462889660541</v>
      </c>
      <c r="AA88" s="21">
        <f>EXP(-LN(2)/25)*AA87+(1-EXP(-LN(2)/25))/(LN(2)/25)*Calculateur!V88*Calculateur!X88*VLOOKUP('Données projet'!$B$9,Paramètres!$A$1:$I$89,3,0)*0.475*44/12</f>
        <v>11.006212231470165</v>
      </c>
      <c r="AB88" s="21">
        <f>EXP(-LN(2)/2)*AB87+(1-EXP(-LN(2)/2))/(LN(2)/2)*V88*Y88*VLOOKUP('Données projet'!$B$9,Paramètres!$A$1:$I$89,3,0)*0.475*44/12</f>
        <v>3.8981648060638634E-9</v>
      </c>
      <c r="AC88" s="22">
        <f t="shared" si="57"/>
        <v>216.25084113197371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1099.7457646353087</v>
      </c>
      <c r="AN88" s="59">
        <f ca="1">AVERAGE(OFFSET($AM$3,0,0,'Données projet'!$E$10+1,1))-AVERAGE(OFFSET($H$3,0,0,'Données projet'!$E$10+1,1))</f>
        <v>700.22008320816781</v>
      </c>
      <c r="AO88" s="59">
        <f t="shared" si="90"/>
        <v>253.69632691507996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0.8600000000003547</v>
      </c>
      <c r="O89" s="13">
        <f>N89*VLOOKUP('Données projet'!$B$9,Paramètres!$A$1:$I$89,3,0)*VLOOKUP('Données projet'!$B$9,Paramètres!$A$1:$I$89,5,0)</f>
        <v>0.48074000000019829</v>
      </c>
      <c r="P89" s="13">
        <f t="shared" si="87"/>
        <v>0.24126147010950588</v>
      </c>
      <c r="Q89" s="20">
        <f t="shared" si="54"/>
        <v>1.2574858937744013</v>
      </c>
      <c r="R89" s="59">
        <f t="shared" si="55"/>
        <v>294.59081922710772</v>
      </c>
      <c r="S89" s="59">
        <f ca="1">AVERAGE(OFFSET($R$3,0,0,'Données projet'!$E$9+1,1))-AVERAGE(OFFSET($H$3,0,0,'Données projet'!$E$9+1,1))</f>
        <v>406.53547024676948</v>
      </c>
      <c r="T89" s="59">
        <f t="shared" si="88"/>
        <v>534.37689844719353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201.21990691080543</v>
      </c>
      <c r="AA89" s="21">
        <f>EXP(-LN(2)/25)*AA88+(1-EXP(-LN(2)/25))/(LN(2)/25)*Calculateur!V89*Calculateur!X89*VLOOKUP('Données projet'!$B$9,Paramètres!$A$1:$I$89,3,0)*0.475*44/12</f>
        <v>10.705246779209068</v>
      </c>
      <c r="AB89" s="21">
        <f>EXP(-LN(2)/2)*AB88+(1-EXP(-LN(2)/2))/(LN(2)/2)*V89*Y89*VLOOKUP('Données projet'!$B$9,Paramètres!$A$1:$I$89,3,0)*0.475*44/12</f>
        <v>2.7564187685505008E-9</v>
      </c>
      <c r="AC89" s="22">
        <f t="shared" si="57"/>
        <v>211.92515369277092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1120.8799486549221</v>
      </c>
      <c r="AN89" s="59">
        <f ca="1">AVERAGE(OFFSET($AM$3,0,0,'Données projet'!$E$10+1,1))-AVERAGE(OFFSET($H$3,0,0,'Données projet'!$E$10+1,1))</f>
        <v>700.22008320816781</v>
      </c>
      <c r="AO89" s="59">
        <f t="shared" si="90"/>
        <v>253.69632691507996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0.8600000000003547</v>
      </c>
      <c r="O90" s="13">
        <f>N90*VLOOKUP('Données projet'!$B$9,Paramètres!$A$1:$I$89,3,0)*VLOOKUP('Données projet'!$B$9,Paramètres!$A$1:$I$89,5,0)</f>
        <v>0.48074000000019829</v>
      </c>
      <c r="P90" s="13">
        <f t="shared" si="87"/>
        <v>0.24126147010950588</v>
      </c>
      <c r="Q90" s="20">
        <f t="shared" si="54"/>
        <v>1.2574858937744013</v>
      </c>
      <c r="R90" s="59">
        <f t="shared" si="55"/>
        <v>294.59081922710772</v>
      </c>
      <c r="S90" s="59">
        <f ca="1">AVERAGE(OFFSET($R$3,0,0,'Données projet'!$E$9+1,1))-AVERAGE(OFFSET($H$3,0,0,'Données projet'!$E$9+1,1))</f>
        <v>406.53547024676948</v>
      </c>
      <c r="T90" s="59">
        <f t="shared" si="88"/>
        <v>534.37689844719353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197.27410726830897</v>
      </c>
      <c r="AA90" s="21">
        <f>EXP(-LN(2)/25)*AA89+(1-EXP(-LN(2)/25))/(LN(2)/25)*Calculateur!V90*Calculateur!X90*VLOOKUP('Données projet'!$B$9,Paramètres!$A$1:$I$89,3,0)*0.475*44/12</f>
        <v>10.412511243067135</v>
      </c>
      <c r="AB90" s="21">
        <f>EXP(-LN(2)/2)*AB89+(1-EXP(-LN(2)/2))/(LN(2)/2)*V90*Y90*VLOOKUP('Données projet'!$B$9,Paramètres!$A$1:$I$89,3,0)*0.475*44/12</f>
        <v>1.9490824030319317E-9</v>
      </c>
      <c r="AC90" s="22">
        <f t="shared" si="57"/>
        <v>207.68661851332519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1142.0032741599555</v>
      </c>
      <c r="AN90" s="59">
        <f ca="1">AVERAGE(OFFSET($AM$3,0,0,'Données projet'!$E$10+1,1))-AVERAGE(OFFSET($H$3,0,0,'Données projet'!$E$10+1,1))</f>
        <v>700.22008320816781</v>
      </c>
      <c r="AO90" s="59">
        <f t="shared" si="90"/>
        <v>253.69632691507996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0.8600000000003547</v>
      </c>
      <c r="O91" s="13">
        <f>N91*VLOOKUP('Données projet'!$B$9,Paramètres!$A$1:$I$89,3,0)*VLOOKUP('Données projet'!$B$9,Paramètres!$A$1:$I$89,5,0)</f>
        <v>0.48074000000019829</v>
      </c>
      <c r="P91" s="13">
        <f t="shared" si="87"/>
        <v>0.24126147010950588</v>
      </c>
      <c r="Q91" s="20">
        <f t="shared" si="54"/>
        <v>1.2574858937744013</v>
      </c>
      <c r="R91" s="59">
        <f t="shared" si="55"/>
        <v>294.59081922710772</v>
      </c>
      <c r="S91" s="59">
        <f ca="1">AVERAGE(OFFSET($R$3,0,0,'Données projet'!$E$9+1,1))-AVERAGE(OFFSET($H$3,0,0,'Données projet'!$E$9+1,1))</f>
        <v>406.53547024676948</v>
      </c>
      <c r="T91" s="59">
        <f t="shared" si="88"/>
        <v>534.37689844719353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193.40568235010173</v>
      </c>
      <c r="AA91" s="21">
        <f>EXP(-LN(2)/25)*AA90+(1-EXP(-LN(2)/25))/(LN(2)/25)*Calculateur!V91*Calculateur!X91*VLOOKUP('Données projet'!$B$9,Paramètres!$A$1:$I$89,3,0)*0.475*44/12</f>
        <v>10.127780575555295</v>
      </c>
      <c r="AB91" s="21">
        <f>EXP(-LN(2)/2)*AB90+(1-EXP(-LN(2)/2))/(LN(2)/2)*V91*Y91*VLOOKUP('Données projet'!$B$9,Paramètres!$A$1:$I$89,3,0)*0.475*44/12</f>
        <v>1.3782093842752504E-9</v>
      </c>
      <c r="AC91" s="22">
        <f t="shared" si="57"/>
        <v>203.53346292703523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1163.1160491165024</v>
      </c>
      <c r="AN91" s="59">
        <f ca="1">AVERAGE(OFFSET($AM$3,0,0,'Données projet'!$E$10+1,1))-AVERAGE(OFFSET($H$3,0,0,'Données projet'!$E$10+1,1))</f>
        <v>700.22008320816781</v>
      </c>
      <c r="AO91" s="59">
        <f t="shared" si="90"/>
        <v>253.69632691507996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0.8600000000003547</v>
      </c>
      <c r="O92" s="13">
        <f>N92*VLOOKUP('Données projet'!$B$9,Paramètres!$A$1:$I$89,3,0)*VLOOKUP('Données projet'!$B$9,Paramètres!$A$1:$I$89,5,0)</f>
        <v>0.48074000000019829</v>
      </c>
      <c r="P92" s="13">
        <f t="shared" si="87"/>
        <v>0.24126147010950588</v>
      </c>
      <c r="Q92" s="20">
        <f t="shared" si="54"/>
        <v>1.2574858937744013</v>
      </c>
      <c r="R92" s="59">
        <f t="shared" si="55"/>
        <v>294.59081922710772</v>
      </c>
      <c r="S92" s="59">
        <f ca="1">AVERAGE(OFFSET($R$3,0,0,'Données projet'!$E$9+1,1))-AVERAGE(OFFSET($H$3,0,0,'Données projet'!$E$9+1,1))</f>
        <v>406.53547024676948</v>
      </c>
      <c r="T92" s="59">
        <f t="shared" si="88"/>
        <v>534.37689844719353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189.61311488503432</v>
      </c>
      <c r="AA92" s="21">
        <f>EXP(-LN(2)/25)*AA91+(1-EXP(-LN(2)/25))/(LN(2)/25)*Calculateur!V92*Calculateur!X92*VLOOKUP('Données projet'!$B$9,Paramètres!$A$1:$I$89,3,0)*0.475*44/12</f>
        <v>9.8508358831199025</v>
      </c>
      <c r="AB92" s="21">
        <f>EXP(-LN(2)/2)*AB91+(1-EXP(-LN(2)/2))/(LN(2)/2)*V92*Y92*VLOOKUP('Données projet'!$B$9,Paramètres!$A$1:$I$89,3,0)*0.475*44/12</f>
        <v>9.7454120151596584E-10</v>
      </c>
      <c r="AC92" s="22">
        <f t="shared" si="57"/>
        <v>199.46395076912879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1184.2185653411257</v>
      </c>
      <c r="AN92" s="59">
        <f ca="1">AVERAGE(OFFSET($AM$3,0,0,'Données projet'!$E$10+1,1))-AVERAGE(OFFSET($H$3,0,0,'Données projet'!$E$10+1,1))</f>
        <v>700.22008320816781</v>
      </c>
      <c r="AO92" s="59">
        <f t="shared" si="90"/>
        <v>253.69632691507996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0.8600000000003547</v>
      </c>
      <c r="O93" s="13">
        <f>N93*VLOOKUP('Données projet'!$B$9,Paramètres!$A$1:$I$89,3,0)*VLOOKUP('Données projet'!$B$9,Paramètres!$A$1:$I$89,5,0)</f>
        <v>0.48074000000019829</v>
      </c>
      <c r="P93" s="13">
        <f t="shared" si="87"/>
        <v>0.24126147010950588</v>
      </c>
      <c r="Q93" s="20">
        <f t="shared" si="54"/>
        <v>1.2574858937744013</v>
      </c>
      <c r="R93" s="59">
        <f t="shared" si="55"/>
        <v>294.59081922710772</v>
      </c>
      <c r="S93" s="59">
        <f ca="1">AVERAGE(OFFSET($R$3,0,0,'Données projet'!$E$9+1,1))-AVERAGE(OFFSET($H$3,0,0,'Données projet'!$E$9+1,1))</f>
        <v>406.53547024676948</v>
      </c>
      <c r="T93" s="59">
        <f t="shared" si="88"/>
        <v>534.37689844719353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185.89491735471913</v>
      </c>
      <c r="AA93" s="21">
        <f>EXP(-LN(2)/25)*AA92+(1-EXP(-LN(2)/25))/(LN(2)/25)*Calculateur!V93*Calculateur!X93*VLOOKUP('Données projet'!$B$9,Paramètres!$A$1:$I$89,3,0)*0.475*44/12</f>
        <v>9.5814642578630433</v>
      </c>
      <c r="AB93" s="21">
        <f>EXP(-LN(2)/2)*AB92+(1-EXP(-LN(2)/2))/(LN(2)/2)*V93*Y93*VLOOKUP('Données projet'!$B$9,Paramètres!$A$1:$I$89,3,0)*0.475*44/12</f>
        <v>6.891046921376252E-10</v>
      </c>
      <c r="AC93" s="22">
        <f t="shared" si="57"/>
        <v>195.47638161327129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1205.3110997178358</v>
      </c>
      <c r="AN93" s="59">
        <f ca="1">AVERAGE(OFFSET($AM$3,0,0,'Données projet'!$E$10+1,1))-AVERAGE(OFFSET($H$3,0,0,'Données projet'!$E$10+1,1))</f>
        <v>700.22008320816781</v>
      </c>
      <c r="AO93" s="59">
        <f t="shared" si="90"/>
        <v>253.69632691507996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0.8600000000003547</v>
      </c>
      <c r="O94" s="13">
        <f>N94*VLOOKUP('Données projet'!$B$9,Paramètres!$A$1:$I$89,3,0)*VLOOKUP('Données projet'!$B$9,Paramètres!$A$1:$I$89,5,0)</f>
        <v>0.48074000000019829</v>
      </c>
      <c r="P94" s="13">
        <f t="shared" si="87"/>
        <v>0.24126147010950588</v>
      </c>
      <c r="Q94" s="20">
        <f t="shared" si="54"/>
        <v>1.2574858937744013</v>
      </c>
      <c r="R94" s="59">
        <f t="shared" si="55"/>
        <v>294.59081922710772</v>
      </c>
      <c r="S94" s="59">
        <f ca="1">AVERAGE(OFFSET($R$3,0,0,'Données projet'!$E$9+1,1))-AVERAGE(OFFSET($H$3,0,0,'Données projet'!$E$9+1,1))</f>
        <v>406.53547024676948</v>
      </c>
      <c r="T94" s="59">
        <f t="shared" si="88"/>
        <v>534.37689844719353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182.24963141009687</v>
      </c>
      <c r="AA94" s="21">
        <f>EXP(-LN(2)/25)*AA93+(1-EXP(-LN(2)/25))/(LN(2)/25)*Calculateur!V94*Calculateur!X94*VLOOKUP('Données projet'!$B$9,Paramètres!$A$1:$I$89,3,0)*0.475*44/12</f>
        <v>9.3194586138644713</v>
      </c>
      <c r="AB94" s="21">
        <f>EXP(-LN(2)/2)*AB93+(1-EXP(-LN(2)/2))/(LN(2)/2)*V94*Y94*VLOOKUP('Données projet'!$B$9,Paramètres!$A$1:$I$89,3,0)*0.475*44/12</f>
        <v>4.8727060075798292E-10</v>
      </c>
      <c r="AC94" s="22">
        <f t="shared" si="57"/>
        <v>191.5690900244486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1105.8272424203644</v>
      </c>
      <c r="AN94" s="59">
        <f ca="1">AVERAGE(OFFSET($AM$3,0,0,'Données projet'!$E$10+1,1))-AVERAGE(OFFSET($H$3,0,0,'Données projet'!$E$10+1,1))</f>
        <v>700.22008320816781</v>
      </c>
      <c r="AO94" s="59">
        <f t="shared" si="90"/>
        <v>253.69632691507996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0.8600000000003547</v>
      </c>
      <c r="O95" s="13">
        <f>N95*VLOOKUP('Données projet'!$B$9,Paramètres!$A$1:$I$89,3,0)*VLOOKUP('Données projet'!$B$9,Paramètres!$A$1:$I$89,5,0)</f>
        <v>0.48074000000019829</v>
      </c>
      <c r="P95" s="13">
        <f t="shared" si="87"/>
        <v>0.24126147010950588</v>
      </c>
      <c r="Q95" s="20">
        <f t="shared" si="54"/>
        <v>1.2574858937744013</v>
      </c>
      <c r="R95" s="59">
        <f t="shared" si="55"/>
        <v>294.59081922710772</v>
      </c>
      <c r="S95" s="59">
        <f ca="1">AVERAGE(OFFSET($R$3,0,0,'Données projet'!$E$9+1,1))-AVERAGE(OFFSET($H$3,0,0,'Données projet'!$E$9+1,1))</f>
        <v>406.53547024676948</v>
      </c>
      <c r="T95" s="59">
        <f t="shared" si="88"/>
        <v>534.37689844719353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178.67582729944377</v>
      </c>
      <c r="AA95" s="21">
        <f>EXP(-LN(2)/25)*AA94+(1-EXP(-LN(2)/25))/(LN(2)/25)*Calculateur!V95*Calculateur!X95*VLOOKUP('Données projet'!$B$9,Paramètres!$A$1:$I$89,3,0)*0.475*44/12</f>
        <v>9.0646175279793191</v>
      </c>
      <c r="AB95" s="21">
        <f>EXP(-LN(2)/2)*AB94+(1-EXP(-LN(2)/2))/(LN(2)/2)*V95*Y95*VLOOKUP('Données projet'!$B$9,Paramètres!$A$1:$I$89,3,0)*0.475*44/12</f>
        <v>3.445523460688126E-10</v>
      </c>
      <c r="AC95" s="22">
        <f t="shared" si="57"/>
        <v>187.74044482776765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1126.2281599648225</v>
      </c>
      <c r="AN95" s="59">
        <f ca="1">AVERAGE(OFFSET($AM$3,0,0,'Données projet'!$E$10+1,1))-AVERAGE(OFFSET($H$3,0,0,'Données projet'!$E$10+1,1))</f>
        <v>700.22008320816781</v>
      </c>
      <c r="AO95" s="59">
        <f t="shared" si="90"/>
        <v>253.69632691507996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0.8600000000003547</v>
      </c>
      <c r="O96" s="13">
        <f>N96*VLOOKUP('Données projet'!$B$9,Paramètres!$A$1:$I$89,3,0)*VLOOKUP('Données projet'!$B$9,Paramètres!$A$1:$I$89,5,0)</f>
        <v>0.48074000000019829</v>
      </c>
      <c r="P96" s="13">
        <f t="shared" si="87"/>
        <v>0.24126147010950588</v>
      </c>
      <c r="Q96" s="20">
        <f t="shared" si="54"/>
        <v>1.2574858937744013</v>
      </c>
      <c r="R96" s="59">
        <f t="shared" si="55"/>
        <v>294.59081922710772</v>
      </c>
      <c r="S96" s="59">
        <f ca="1">AVERAGE(OFFSET($R$3,0,0,'Données projet'!$E$9+1,1))-AVERAGE(OFFSET($H$3,0,0,'Données projet'!$E$9+1,1))</f>
        <v>406.53547024676948</v>
      </c>
      <c r="T96" s="59">
        <f t="shared" si="88"/>
        <v>534.37689844719353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175.17210330759531</v>
      </c>
      <c r="AA96" s="21">
        <f>EXP(-LN(2)/25)*AA95+(1-EXP(-LN(2)/25))/(LN(2)/25)*Calculateur!V96*Calculateur!X96*VLOOKUP('Données projet'!$B$9,Paramètres!$A$1:$I$89,3,0)*0.475*44/12</f>
        <v>8.8167450849892059</v>
      </c>
      <c r="AB96" s="21">
        <f>EXP(-LN(2)/2)*AB95+(1-EXP(-LN(2)/2))/(LN(2)/2)*V96*Y96*VLOOKUP('Données projet'!$B$9,Paramètres!$A$1:$I$89,3,0)*0.475*44/12</f>
        <v>2.4363530037899146E-10</v>
      </c>
      <c r="AC96" s="22">
        <f t="shared" si="57"/>
        <v>183.98884839282815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1146.6190308128828</v>
      </c>
      <c r="AN96" s="59">
        <f ca="1">AVERAGE(OFFSET($AM$3,0,0,'Données projet'!$E$10+1,1))-AVERAGE(OFFSET($H$3,0,0,'Données projet'!$E$10+1,1))</f>
        <v>700.22008320816781</v>
      </c>
      <c r="AO96" s="59">
        <f t="shared" si="90"/>
        <v>253.69632691507996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0.8600000000003547</v>
      </c>
      <c r="O97" s="13">
        <f>N97*VLOOKUP('Données projet'!$B$9,Paramètres!$A$1:$I$89,3,0)*VLOOKUP('Données projet'!$B$9,Paramètres!$A$1:$I$89,5,0)</f>
        <v>0.48074000000019829</v>
      </c>
      <c r="P97" s="13">
        <f t="shared" si="87"/>
        <v>0.24126147010950588</v>
      </c>
      <c r="Q97" s="20">
        <f t="shared" si="54"/>
        <v>1.2574858937744013</v>
      </c>
      <c r="R97" s="59">
        <f t="shared" si="55"/>
        <v>294.59081922710772</v>
      </c>
      <c r="S97" s="59">
        <f ca="1">AVERAGE(OFFSET($R$3,0,0,'Données projet'!$E$9+1,1))-AVERAGE(OFFSET($H$3,0,0,'Données projet'!$E$9+1,1))</f>
        <v>406.53547024676948</v>
      </c>
      <c r="T97" s="59">
        <f t="shared" si="88"/>
        <v>534.37689844719353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171.73708520616637</v>
      </c>
      <c r="AA97" s="21">
        <f>EXP(-LN(2)/25)*AA96+(1-EXP(-LN(2)/25))/(LN(2)/25)*Calculateur!V97*Calculateur!X97*VLOOKUP('Données projet'!$B$9,Paramètres!$A$1:$I$89,3,0)*0.475*44/12</f>
        <v>8.5756507269877034</v>
      </c>
      <c r="AB97" s="21">
        <f>EXP(-LN(2)/2)*AB96+(1-EXP(-LN(2)/2))/(LN(2)/2)*V97*Y97*VLOOKUP('Données projet'!$B$9,Paramètres!$A$1:$I$89,3,0)*0.475*44/12</f>
        <v>1.722761730344063E-10</v>
      </c>
      <c r="AC97" s="22">
        <f t="shared" si="57"/>
        <v>180.31273593332634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1167.0001285488545</v>
      </c>
      <c r="AN97" s="59">
        <f ca="1">AVERAGE(OFFSET($AM$3,0,0,'Données projet'!$E$10+1,1))-AVERAGE(OFFSET($H$3,0,0,'Données projet'!$E$10+1,1))</f>
        <v>700.22008320816781</v>
      </c>
      <c r="AO97" s="59">
        <f t="shared" si="90"/>
        <v>253.69632691507996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0.8600000000003547</v>
      </c>
      <c r="O98" s="13">
        <f>N98*VLOOKUP('Données projet'!$B$9,Paramètres!$A$1:$I$89,3,0)*VLOOKUP('Données projet'!$B$9,Paramètres!$A$1:$I$89,5,0)</f>
        <v>0.48074000000019829</v>
      </c>
      <c r="P98" s="13">
        <f t="shared" si="87"/>
        <v>0.24126147010950588</v>
      </c>
      <c r="Q98" s="20">
        <f t="shared" si="54"/>
        <v>1.2574858937744013</v>
      </c>
      <c r="R98" s="59">
        <f t="shared" si="55"/>
        <v>294.59081922710772</v>
      </c>
      <c r="S98" s="59">
        <f ca="1">AVERAGE(OFFSET($R$3,0,0,'Données projet'!$E$9+1,1))-AVERAGE(OFFSET($H$3,0,0,'Données projet'!$E$9+1,1))</f>
        <v>406.53547024676948</v>
      </c>
      <c r="T98" s="59">
        <f t="shared" si="88"/>
        <v>534.37689844719353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168.36942571455228</v>
      </c>
      <c r="AA98" s="21">
        <f>EXP(-LN(2)/25)*AA97+(1-EXP(-LN(2)/25))/(LN(2)/25)*Calculateur!V98*Calculateur!X98*VLOOKUP('Données projet'!$B$9,Paramètres!$A$1:$I$89,3,0)*0.475*44/12</f>
        <v>8.3411491068843535</v>
      </c>
      <c r="AB98" s="21">
        <f>EXP(-LN(2)/2)*AB97+(1-EXP(-LN(2)/2))/(LN(2)/2)*V98*Y98*VLOOKUP('Données projet'!$B$9,Paramètres!$A$1:$I$89,3,0)*0.475*44/12</f>
        <v>1.2181765018949573E-10</v>
      </c>
      <c r="AC98" s="22">
        <f t="shared" si="57"/>
        <v>176.71057482155845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1187.3717129687852</v>
      </c>
      <c r="AN98" s="59">
        <f ca="1">AVERAGE(OFFSET($AM$3,0,0,'Données projet'!$E$10+1,1))-AVERAGE(OFFSET($H$3,0,0,'Données projet'!$E$10+1,1))</f>
        <v>700.22008320816781</v>
      </c>
      <c r="AO98" s="59">
        <f t="shared" si="90"/>
        <v>253.69632691507996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0.8600000000003547</v>
      </c>
      <c r="O99" s="13">
        <f>N99*VLOOKUP('Données projet'!$B$9,Paramètres!$A$1:$I$89,3,0)*VLOOKUP('Données projet'!$B$9,Paramètres!$A$1:$I$89,5,0)</f>
        <v>0.48074000000019829</v>
      </c>
      <c r="P99" s="13">
        <f t="shared" si="87"/>
        <v>0.24126147010950588</v>
      </c>
      <c r="Q99" s="20">
        <f t="shared" ref="Q99:Q130" si="107">(O99+P99)*0.475*44/12</f>
        <v>1.2574858937744013</v>
      </c>
      <c r="R99" s="59">
        <f t="shared" si="55"/>
        <v>294.59081922710772</v>
      </c>
      <c r="S99" s="59">
        <f ca="1">AVERAGE(OFFSET($R$3,0,0,'Données projet'!$E$9+1,1))-AVERAGE(OFFSET($H$3,0,0,'Données projet'!$E$9+1,1))</f>
        <v>406.53547024676948</v>
      </c>
      <c r="T99" s="59">
        <f t="shared" si="88"/>
        <v>534.37689844719353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165.06780397149927</v>
      </c>
      <c r="AA99" s="21">
        <f>EXP(-LN(2)/25)*AA98+(1-EXP(-LN(2)/25))/(LN(2)/25)*Calculateur!V99*Calculateur!X99*VLOOKUP('Données projet'!$B$9,Paramètres!$A$1:$I$89,3,0)*0.475*44/12</f>
        <v>8.1130599459146335</v>
      </c>
      <c r="AB99" s="21">
        <f>EXP(-LN(2)/2)*AB98+(1-EXP(-LN(2)/2))/(LN(2)/2)*V99*Y99*VLOOKUP('Données projet'!$B$9,Paramètres!$A$1:$I$89,3,0)*0.475*44/12</f>
        <v>8.613808651720315E-11</v>
      </c>
      <c r="AC99" s="22">
        <f t="shared" si="57"/>
        <v>173.18086391750006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1207.7340310800018</v>
      </c>
      <c r="AN99" s="59">
        <f ca="1">AVERAGE(OFFSET($AM$3,0,0,'Données projet'!$E$10+1,1))-AVERAGE(OFFSET($H$3,0,0,'Données projet'!$E$10+1,1))</f>
        <v>700.22008320816781</v>
      </c>
      <c r="AO99" s="59">
        <f t="shared" si="90"/>
        <v>253.69632691507996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0.8600000000003547</v>
      </c>
      <c r="O100" s="13">
        <f>N100*VLOOKUP('Données projet'!$B$9,Paramètres!$A$1:$I$89,3,0)*VLOOKUP('Données projet'!$B$9,Paramètres!$A$1:$I$89,5,0)</f>
        <v>0.48074000000019829</v>
      </c>
      <c r="P100" s="13">
        <f t="shared" si="87"/>
        <v>0.24126147010950588</v>
      </c>
      <c r="Q100" s="20">
        <f t="shared" si="107"/>
        <v>1.2574858937744013</v>
      </c>
      <c r="R100" s="59">
        <f t="shared" si="55"/>
        <v>294.59081922710772</v>
      </c>
      <c r="S100" s="59">
        <f ca="1">AVERAGE(OFFSET($R$3,0,0,'Données projet'!$E$9+1,1))-AVERAGE(OFFSET($H$3,0,0,'Données projet'!$E$9+1,1))</f>
        <v>406.53547024676948</v>
      </c>
      <c r="T100" s="59">
        <f t="shared" si="88"/>
        <v>534.37689844719353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161.83092501703712</v>
      </c>
      <c r="AA100" s="21">
        <f>EXP(-LN(2)/25)*AA99+(1-EXP(-LN(2)/25))/(LN(2)/25)*Calculateur!V100*Calculateur!X100*VLOOKUP('Données projet'!$B$9,Paramètres!$A$1:$I$89,3,0)*0.475*44/12</f>
        <v>7.8912078950463176</v>
      </c>
      <c r="AB100" s="21">
        <f>EXP(-LN(2)/2)*AB99+(1-EXP(-LN(2)/2))/(LN(2)/2)*V100*Y100*VLOOKUP('Données projet'!$B$9,Paramètres!$A$1:$I$89,3,0)*0.475*44/12</f>
        <v>6.0908825094747865E-11</v>
      </c>
      <c r="AC100" s="22">
        <f t="shared" si="57"/>
        <v>169.72213291214433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1228.0873180071039</v>
      </c>
      <c r="AN100" s="59">
        <f ca="1">AVERAGE(OFFSET($AM$3,0,0,'Données projet'!$E$10+1,1))-AVERAGE(OFFSET($H$3,0,0,'Données projet'!$E$10+1,1))</f>
        <v>700.22008320816781</v>
      </c>
      <c r="AO100" s="59">
        <f t="shared" si="90"/>
        <v>253.69632691507996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0.8600000000003547</v>
      </c>
      <c r="O101" s="13">
        <f>N101*VLOOKUP('Données projet'!$B$9,Paramètres!$A$1:$I$89,3,0)*VLOOKUP('Données projet'!$B$9,Paramètres!$A$1:$I$89,5,0)</f>
        <v>0.48074000000019829</v>
      </c>
      <c r="P101" s="13">
        <f t="shared" si="87"/>
        <v>0.24126147010950588</v>
      </c>
      <c r="Q101" s="20">
        <f t="shared" si="107"/>
        <v>1.2574858937744013</v>
      </c>
      <c r="R101" s="59">
        <f t="shared" si="55"/>
        <v>294.59081922710772</v>
      </c>
      <c r="S101" s="59">
        <f ca="1">AVERAGE(OFFSET($R$3,0,0,'Données projet'!$E$9+1,1))-AVERAGE(OFFSET($H$3,0,0,'Données projet'!$E$9+1,1))</f>
        <v>406.53547024676948</v>
      </c>
      <c r="T101" s="59">
        <f t="shared" si="88"/>
        <v>534.37689844719353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158.65751928457075</v>
      </c>
      <c r="AA101" s="21">
        <f>EXP(-LN(2)/25)*AA100+(1-EXP(-LN(2)/25))/(LN(2)/25)*Calculateur!V101*Calculateur!X101*VLOOKUP('Données projet'!$B$9,Paramètres!$A$1:$I$89,3,0)*0.475*44/12</f>
        <v>7.6754224001756883</v>
      </c>
      <c r="AB101" s="21">
        <f>EXP(-LN(2)/2)*AB100+(1-EXP(-LN(2)/2))/(LN(2)/2)*V101*Y101*VLOOKUP('Données projet'!$B$9,Paramètres!$A$1:$I$89,3,0)*0.475*44/12</f>
        <v>4.3069043258601575E-11</v>
      </c>
      <c r="AC101" s="22">
        <f t="shared" si="57"/>
        <v>166.33294168478949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1248.4317978150625</v>
      </c>
      <c r="AN101" s="59">
        <f ca="1">AVERAGE(OFFSET($AM$3,0,0,'Données projet'!$E$10+1,1))-AVERAGE(OFFSET($H$3,0,0,'Données projet'!$E$10+1,1))</f>
        <v>700.22008320816781</v>
      </c>
      <c r="AO101" s="59">
        <f t="shared" si="90"/>
        <v>253.69632691507996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0.8600000000003547</v>
      </c>
      <c r="O102" s="13">
        <f>N102*VLOOKUP('Données projet'!$B$9,Paramètres!$A$1:$I$89,3,0)*VLOOKUP('Données projet'!$B$9,Paramètres!$A$1:$I$89,5,0)</f>
        <v>0.48074000000019829</v>
      </c>
      <c r="P102" s="13">
        <f t="shared" si="87"/>
        <v>0.24126147010950588</v>
      </c>
      <c r="Q102" s="20">
        <f t="shared" si="107"/>
        <v>1.2574858937744013</v>
      </c>
      <c r="R102" s="59">
        <f t="shared" si="55"/>
        <v>294.59081922710772</v>
      </c>
      <c r="S102" s="59">
        <f ca="1">AVERAGE(OFFSET($R$3,0,0,'Données projet'!$E$9+1,1))-AVERAGE(OFFSET($H$3,0,0,'Données projet'!$E$9+1,1))</f>
        <v>406.53547024676948</v>
      </c>
      <c r="T102" s="59">
        <f t="shared" si="88"/>
        <v>534.37689844719353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155.5463421029317</v>
      </c>
      <c r="AA102" s="21">
        <f>EXP(-LN(2)/25)*AA101+(1-EXP(-LN(2)/25))/(LN(2)/25)*Calculateur!V102*Calculateur!X102*VLOOKUP('Données projet'!$B$9,Paramètres!$A$1:$I$89,3,0)*0.475*44/12</f>
        <v>7.4655375710099623</v>
      </c>
      <c r="AB102" s="21">
        <f>EXP(-LN(2)/2)*AB101+(1-EXP(-LN(2)/2))/(LN(2)/2)*V102*Y102*VLOOKUP('Données projet'!$B$9,Paramètres!$A$1:$I$89,3,0)*0.475*44/12</f>
        <v>3.0454412547373933E-11</v>
      </c>
      <c r="AC102" s="22">
        <f t="shared" si="57"/>
        <v>163.01187967397215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1268.7676842586359</v>
      </c>
      <c r="AN102" s="59">
        <f ca="1">AVERAGE(OFFSET($AM$3,0,0,'Données projet'!$E$10+1,1))-AVERAGE(OFFSET($H$3,0,0,'Données projet'!$E$10+1,1))</f>
        <v>700.22008320816781</v>
      </c>
      <c r="AO102" s="59">
        <f t="shared" si="90"/>
        <v>253.69632691507996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0.8600000000003547</v>
      </c>
      <c r="O103" s="13">
        <f>N103*VLOOKUP('Données projet'!$B$9,Paramètres!$A$1:$I$89,3,0)*VLOOKUP('Données projet'!$B$9,Paramètres!$A$1:$I$89,5,0)</f>
        <v>0.48074000000019829</v>
      </c>
      <c r="P103" s="13">
        <f t="shared" si="87"/>
        <v>0.24126147010950588</v>
      </c>
      <c r="Q103" s="20">
        <f t="shared" si="107"/>
        <v>1.2574858937744013</v>
      </c>
      <c r="R103" s="59">
        <f t="shared" si="55"/>
        <v>294.59081922710772</v>
      </c>
      <c r="S103" s="59">
        <f ca="1">AVERAGE(OFFSET($R$3,0,0,'Données projet'!$E$9+1,1))-AVERAGE(OFFSET($H$3,0,0,'Données projet'!$E$9+1,1))</f>
        <v>406.53547024676948</v>
      </c>
      <c r="T103" s="59">
        <f t="shared" si="88"/>
        <v>534.37689844719353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152.49617320819388</v>
      </c>
      <c r="AA103" s="21">
        <f>EXP(-LN(2)/25)*AA102+(1-EXP(-LN(2)/25))/(LN(2)/25)*Calculateur!V103*Calculateur!X103*VLOOKUP('Données projet'!$B$9,Paramètres!$A$1:$I$89,3,0)*0.475*44/12</f>
        <v>7.2613920535351371</v>
      </c>
      <c r="AB103" s="21">
        <f>EXP(-LN(2)/2)*AB102+(1-EXP(-LN(2)/2))/(LN(2)/2)*V103*Y103*VLOOKUP('Données projet'!$B$9,Paramètres!$A$1:$I$89,3,0)*0.475*44/12</f>
        <v>2.1534521629300787E-11</v>
      </c>
      <c r="AC103" s="22">
        <f t="shared" si="57"/>
        <v>159.75756526175056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1289.0951814661355</v>
      </c>
      <c r="AN103" s="59">
        <f ca="1">AVERAGE(OFFSET($AM$3,0,0,'Données projet'!$E$10+1,1))-AVERAGE(OFFSET($H$3,0,0,'Données projet'!$E$10+1,1))</f>
        <v>700.22008320816781</v>
      </c>
      <c r="AO103" s="59">
        <f t="shared" si="90"/>
        <v>253.69632691507996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0.8600000000003547</v>
      </c>
      <c r="O104" s="13">
        <f>N104*VLOOKUP('Données projet'!$B$9,Paramètres!$A$1:$I$89,3,0)*VLOOKUP('Données projet'!$B$9,Paramètres!$A$1:$I$89,5,0)</f>
        <v>0.48074000000019829</v>
      </c>
      <c r="P104" s="13">
        <f t="shared" si="87"/>
        <v>0.24126147010950588</v>
      </c>
      <c r="Q104" s="20">
        <f t="shared" si="107"/>
        <v>1.2574858937744013</v>
      </c>
      <c r="R104" s="59">
        <f t="shared" si="55"/>
        <v>294.59081922710772</v>
      </c>
      <c r="S104" s="59">
        <f ca="1">AVERAGE(OFFSET($R$3,0,0,'Données projet'!$E$9+1,1))-AVERAGE(OFFSET($H$3,0,0,'Données projet'!$E$9+1,1))</f>
        <v>406.53547024676948</v>
      </c>
      <c r="T104" s="59">
        <f t="shared" si="88"/>
        <v>534.37689844719353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149.50581626506255</v>
      </c>
      <c r="AA104" s="21">
        <f>EXP(-LN(2)/25)*AA103+(1-EXP(-LN(2)/25))/(LN(2)/25)*Calculateur!V104*Calculateur!X104*VLOOKUP('Données projet'!$B$9,Paramètres!$A$1:$I$89,3,0)*0.475*44/12</f>
        <v>7.062828905971207</v>
      </c>
      <c r="AB104" s="21">
        <f>EXP(-LN(2)/2)*AB103+(1-EXP(-LN(2)/2))/(LN(2)/2)*V104*Y104*VLOOKUP('Données projet'!$B$9,Paramètres!$A$1:$I$89,3,0)*0.475*44/12</f>
        <v>1.5227206273686966E-11</v>
      </c>
      <c r="AC104" s="22">
        <f t="shared" si="57"/>
        <v>156.56864517104898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1146.8370110154419</v>
      </c>
      <c r="AN104" s="59">
        <f ca="1">AVERAGE(OFFSET($AM$3,0,0,'Données projet'!$E$10+1,1))-AVERAGE(OFFSET($H$3,0,0,'Données projet'!$E$10+1,1))</f>
        <v>700.22008320816781</v>
      </c>
      <c r="AO104" s="59">
        <f t="shared" si="90"/>
        <v>253.69632691507996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0.8600000000003547</v>
      </c>
      <c r="O105" s="13">
        <f>N105*VLOOKUP('Données projet'!$B$9,Paramètres!$A$1:$I$89,3,0)*VLOOKUP('Données projet'!$B$9,Paramètres!$A$1:$I$89,5,0)</f>
        <v>0.48074000000019829</v>
      </c>
      <c r="P105" s="13">
        <f t="shared" si="87"/>
        <v>0.24126147010950588</v>
      </c>
      <c r="Q105" s="20">
        <f t="shared" si="107"/>
        <v>1.2574858937744013</v>
      </c>
      <c r="R105" s="59">
        <f t="shared" si="55"/>
        <v>294.59081922710772</v>
      </c>
      <c r="S105" s="59">
        <f ca="1">AVERAGE(OFFSET($R$3,0,0,'Données projet'!$E$9+1,1))-AVERAGE(OFFSET($H$3,0,0,'Données projet'!$E$9+1,1))</f>
        <v>406.53547024676948</v>
      </c>
      <c r="T105" s="59">
        <f t="shared" si="88"/>
        <v>534.37689844719353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146.57409839764838</v>
      </c>
      <c r="AA105" s="21">
        <f>EXP(-LN(2)/25)*AA104+(1-EXP(-LN(2)/25))/(LN(2)/25)*Calculateur!V105*Calculateur!X105*VLOOKUP('Données projet'!$B$9,Paramètres!$A$1:$I$89,3,0)*0.475*44/12</f>
        <v>6.8696954781193948</v>
      </c>
      <c r="AB105" s="21">
        <f>EXP(-LN(2)/2)*AB104+(1-EXP(-LN(2)/2))/(LN(2)/2)*V105*Y105*VLOOKUP('Données projet'!$B$9,Paramètres!$A$1:$I$89,3,0)*0.475*44/12</f>
        <v>1.0767260814650394E-11</v>
      </c>
      <c r="AC105" s="22">
        <f t="shared" si="57"/>
        <v>153.44379387577854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1165.9012534039291</v>
      </c>
      <c r="AN105" s="59">
        <f ca="1">AVERAGE(OFFSET($AM$3,0,0,'Données projet'!$E$10+1,1))-AVERAGE(OFFSET($H$3,0,0,'Données projet'!$E$10+1,1))</f>
        <v>700.22008320816781</v>
      </c>
      <c r="AO105" s="59">
        <f t="shared" si="90"/>
        <v>253.69632691507996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0.8600000000003547</v>
      </c>
      <c r="O106" s="13">
        <f>N106*VLOOKUP('Données projet'!$B$9,Paramètres!$A$1:$I$89,3,0)*VLOOKUP('Données projet'!$B$9,Paramètres!$A$1:$I$89,5,0)</f>
        <v>0.48074000000019829</v>
      </c>
      <c r="P106" s="13">
        <f t="shared" si="87"/>
        <v>0.24126147010950588</v>
      </c>
      <c r="Q106" s="20">
        <f t="shared" si="107"/>
        <v>1.2574858937744013</v>
      </c>
      <c r="R106" s="59">
        <f t="shared" si="55"/>
        <v>294.59081922710772</v>
      </c>
      <c r="S106" s="59">
        <f ca="1">AVERAGE(OFFSET($R$3,0,0,'Données projet'!$E$9+1,1))-AVERAGE(OFFSET($H$3,0,0,'Données projet'!$E$9+1,1))</f>
        <v>406.53547024676948</v>
      </c>
      <c r="T106" s="59">
        <f t="shared" si="88"/>
        <v>534.37689844719353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143.69986972944287</v>
      </c>
      <c r="AA106" s="21">
        <f>EXP(-LN(2)/25)*AA105+(1-EXP(-LN(2)/25))/(LN(2)/25)*Calculateur!V106*Calculateur!X106*VLOOKUP('Données projet'!$B$9,Paramètres!$A$1:$I$89,3,0)*0.475*44/12</f>
        <v>6.6818432940086359</v>
      </c>
      <c r="AB106" s="21">
        <f>EXP(-LN(2)/2)*AB105+(1-EXP(-LN(2)/2))/(LN(2)/2)*V106*Y106*VLOOKUP('Données projet'!$B$9,Paramètres!$A$1:$I$89,3,0)*0.475*44/12</f>
        <v>7.6136031368434831E-12</v>
      </c>
      <c r="AC106" s="22">
        <f t="shared" si="57"/>
        <v>150.38171302345913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1184.957160423596</v>
      </c>
      <c r="AN106" s="59">
        <f ca="1">AVERAGE(OFFSET($AM$3,0,0,'Données projet'!$E$10+1,1))-AVERAGE(OFFSET($H$3,0,0,'Données projet'!$E$10+1,1))</f>
        <v>700.22008320816781</v>
      </c>
      <c r="AO106" s="59">
        <f t="shared" si="90"/>
        <v>253.69632691507996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0.8600000000003547</v>
      </c>
      <c r="O107" s="13">
        <f>N107*VLOOKUP('Données projet'!$B$9,Paramètres!$A$1:$I$89,3,0)*VLOOKUP('Données projet'!$B$9,Paramètres!$A$1:$I$89,5,0)</f>
        <v>0.48074000000019829</v>
      </c>
      <c r="P107" s="13">
        <f t="shared" si="87"/>
        <v>0.24126147010950588</v>
      </c>
      <c r="Q107" s="20">
        <f t="shared" si="107"/>
        <v>1.2574858937744013</v>
      </c>
      <c r="R107" s="59">
        <f t="shared" si="55"/>
        <v>294.59081922710772</v>
      </c>
      <c r="S107" s="59">
        <f ca="1">AVERAGE(OFFSET($R$3,0,0,'Données projet'!$E$9+1,1))-AVERAGE(OFFSET($H$3,0,0,'Données projet'!$E$9+1,1))</f>
        <v>406.53547024676948</v>
      </c>
      <c r="T107" s="59">
        <f t="shared" si="88"/>
        <v>534.37689844719353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140.88200293231449</v>
      </c>
      <c r="AA107" s="21">
        <f>EXP(-LN(2)/25)*AA106+(1-EXP(-LN(2)/25))/(LN(2)/25)*Calculateur!V107*Calculateur!X107*VLOOKUP('Données projet'!$B$9,Paramètres!$A$1:$I$89,3,0)*0.475*44/12</f>
        <v>6.4991279377511022</v>
      </c>
      <c r="AB107" s="21">
        <f>EXP(-LN(2)/2)*AB106+(1-EXP(-LN(2)/2))/(LN(2)/2)*V107*Y107*VLOOKUP('Données projet'!$B$9,Paramètres!$A$1:$I$89,3,0)*0.475*44/12</f>
        <v>5.3836304073251969E-12</v>
      </c>
      <c r="AC107" s="22">
        <f t="shared" si="57"/>
        <v>147.38113087007096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1204.0049350845557</v>
      </c>
      <c r="AN107" s="59">
        <f ca="1">AVERAGE(OFFSET($AM$3,0,0,'Données projet'!$E$10+1,1))-AVERAGE(OFFSET($H$3,0,0,'Données projet'!$E$10+1,1))</f>
        <v>700.22008320816781</v>
      </c>
      <c r="AO107" s="59">
        <f t="shared" si="90"/>
        <v>253.69632691507996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0.8600000000003547</v>
      </c>
      <c r="O108" s="13">
        <f>N108*VLOOKUP('Données projet'!$B$9,Paramètres!$A$1:$I$89,3,0)*VLOOKUP('Données projet'!$B$9,Paramètres!$A$1:$I$89,5,0)</f>
        <v>0.48074000000019829</v>
      </c>
      <c r="P108" s="13">
        <f t="shared" si="87"/>
        <v>0.24126147010950588</v>
      </c>
      <c r="Q108" s="20">
        <f t="shared" si="107"/>
        <v>1.2574858937744013</v>
      </c>
      <c r="R108" s="59">
        <f t="shared" si="55"/>
        <v>294.59081922710772</v>
      </c>
      <c r="S108" s="59">
        <f ca="1">AVERAGE(OFFSET($R$3,0,0,'Données projet'!$E$9+1,1))-AVERAGE(OFFSET($H$3,0,0,'Données projet'!$E$9+1,1))</f>
        <v>406.53547024676948</v>
      </c>
      <c r="T108" s="59">
        <f t="shared" si="88"/>
        <v>534.37689844719353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138.11939278434875</v>
      </c>
      <c r="AA108" s="21">
        <f>EXP(-LN(2)/25)*AA107+(1-EXP(-LN(2)/25))/(LN(2)/25)*Calculateur!V108*Calculateur!X108*VLOOKUP('Données projet'!$B$9,Paramètres!$A$1:$I$89,3,0)*0.475*44/12</f>
        <v>6.3214089425190139</v>
      </c>
      <c r="AB108" s="21">
        <f>EXP(-LN(2)/2)*AB107+(1-EXP(-LN(2)/2))/(LN(2)/2)*V108*Y108*VLOOKUP('Données projet'!$B$9,Paramètres!$A$1:$I$89,3,0)*0.475*44/12</f>
        <v>3.8068015684217416E-12</v>
      </c>
      <c r="AC108" s="22">
        <f t="shared" si="57"/>
        <v>144.44080172687157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1223.0447712231721</v>
      </c>
      <c r="AN108" s="59">
        <f ca="1">AVERAGE(OFFSET($AM$3,0,0,'Données projet'!$E$10+1,1))-AVERAGE(OFFSET($H$3,0,0,'Données projet'!$E$10+1,1))</f>
        <v>700.22008320816781</v>
      </c>
      <c r="AO108" s="59">
        <f t="shared" si="90"/>
        <v>253.69632691507996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0.8600000000003547</v>
      </c>
      <c r="O109" s="13">
        <f>N109*VLOOKUP('Données projet'!$B$9,Paramètres!$A$1:$I$89,3,0)*VLOOKUP('Données projet'!$B$9,Paramètres!$A$1:$I$89,5,0)</f>
        <v>0.48074000000019829</v>
      </c>
      <c r="P109" s="13">
        <f t="shared" si="87"/>
        <v>0.24126147010950588</v>
      </c>
      <c r="Q109" s="20">
        <f t="shared" si="107"/>
        <v>1.2574858937744013</v>
      </c>
      <c r="R109" s="59">
        <f t="shared" si="55"/>
        <v>294.59081922710772</v>
      </c>
      <c r="S109" s="59">
        <f ca="1">AVERAGE(OFFSET($R$3,0,0,'Données projet'!$E$9+1,1))-AVERAGE(OFFSET($H$3,0,0,'Données projet'!$E$9+1,1))</f>
        <v>406.53547024676948</v>
      </c>
      <c r="T109" s="59">
        <f t="shared" si="88"/>
        <v>534.37689844719353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135.4109557363588</v>
      </c>
      <c r="AA109" s="21">
        <f>EXP(-LN(2)/25)*AA108+(1-EXP(-LN(2)/25))/(LN(2)/25)*Calculateur!V109*Calculateur!X109*VLOOKUP('Données projet'!$B$9,Paramètres!$A$1:$I$89,3,0)*0.475*44/12</f>
        <v>6.1485496825573831</v>
      </c>
      <c r="AB109" s="21">
        <f>EXP(-LN(2)/2)*AB108+(1-EXP(-LN(2)/2))/(LN(2)/2)*V109*Y109*VLOOKUP('Données projet'!$B$9,Paramètres!$A$1:$I$89,3,0)*0.475*44/12</f>
        <v>2.6918152036625984E-12</v>
      </c>
      <c r="AC109" s="22">
        <f t="shared" si="57"/>
        <v>141.55950541891889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1242.0768540997635</v>
      </c>
      <c r="AN109" s="59">
        <f ca="1">AVERAGE(OFFSET($AM$3,0,0,'Données projet'!$E$10+1,1))-AVERAGE(OFFSET($H$3,0,0,'Données projet'!$E$10+1,1))</f>
        <v>700.22008320816781</v>
      </c>
      <c r="AO109" s="59">
        <f t="shared" si="90"/>
        <v>253.69632691507996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0.8600000000003547</v>
      </c>
      <c r="O110" s="13">
        <f>N110*VLOOKUP('Données projet'!$B$9,Paramètres!$A$1:$I$89,3,0)*VLOOKUP('Données projet'!$B$9,Paramètres!$A$1:$I$89,5,0)</f>
        <v>0.48074000000019829</v>
      </c>
      <c r="P110" s="13">
        <f t="shared" si="87"/>
        <v>0.24126147010950588</v>
      </c>
      <c r="Q110" s="20">
        <f t="shared" si="107"/>
        <v>1.2574858937744013</v>
      </c>
      <c r="R110" s="59">
        <f t="shared" si="55"/>
        <v>294.59081922710772</v>
      </c>
      <c r="S110" s="59">
        <f ca="1">AVERAGE(OFFSET($R$3,0,0,'Données projet'!$E$9+1,1))-AVERAGE(OFFSET($H$3,0,0,'Données projet'!$E$9+1,1))</f>
        <v>406.53547024676948</v>
      </c>
      <c r="T110" s="59">
        <f t="shared" si="88"/>
        <v>534.37689844719353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132.75562948689648</v>
      </c>
      <c r="AA110" s="21">
        <f>EXP(-LN(2)/25)*AA109+(1-EXP(-LN(2)/25))/(LN(2)/25)*Calculateur!V110*Calculateur!X110*VLOOKUP('Données projet'!$B$9,Paramètres!$A$1:$I$89,3,0)*0.475*44/12</f>
        <v>5.9804172681496768</v>
      </c>
      <c r="AB110" s="21">
        <f>EXP(-LN(2)/2)*AB109+(1-EXP(-LN(2)/2))/(LN(2)/2)*V110*Y110*VLOOKUP('Données projet'!$B$9,Paramètres!$A$1:$I$89,3,0)*0.475*44/12</f>
        <v>1.9034007842108708E-12</v>
      </c>
      <c r="AC110" s="22">
        <f t="shared" si="57"/>
        <v>138.73604675504805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1261.1013609459173</v>
      </c>
      <c r="AN110" s="59">
        <f ca="1">AVERAGE(OFFSET($AM$3,0,0,'Données projet'!$E$10+1,1))-AVERAGE(OFFSET($H$3,0,0,'Données projet'!$E$10+1,1))</f>
        <v>700.22008320816781</v>
      </c>
      <c r="AO110" s="59">
        <f t="shared" si="90"/>
        <v>253.69632691507996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0.8600000000003547</v>
      </c>
      <c r="O111" s="13">
        <f>N111*VLOOKUP('Données projet'!$B$9,Paramètres!$A$1:$I$89,3,0)*VLOOKUP('Données projet'!$B$9,Paramètres!$A$1:$I$89,5,0)</f>
        <v>0.48074000000019829</v>
      </c>
      <c r="P111" s="13">
        <f t="shared" si="87"/>
        <v>0.24126147010950588</v>
      </c>
      <c r="Q111" s="20">
        <f t="shared" si="107"/>
        <v>1.2574858937744013</v>
      </c>
      <c r="R111" s="59">
        <f t="shared" si="55"/>
        <v>294.59081922710772</v>
      </c>
      <c r="S111" s="59">
        <f ca="1">AVERAGE(OFFSET($R$3,0,0,'Données projet'!$E$9+1,1))-AVERAGE(OFFSET($H$3,0,0,'Données projet'!$E$9+1,1))</f>
        <v>406.53547024676948</v>
      </c>
      <c r="T111" s="59">
        <f t="shared" si="88"/>
        <v>534.37689844719353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130.15237256559701</v>
      </c>
      <c r="AA111" s="21">
        <f>EXP(-LN(2)/25)*AA110+(1-EXP(-LN(2)/25))/(LN(2)/25)*Calculateur!V111*Calculateur!X111*VLOOKUP('Données projet'!$B$9,Paramètres!$A$1:$I$89,3,0)*0.475*44/12</f>
        <v>5.8168824434556479</v>
      </c>
      <c r="AB111" s="21">
        <f>EXP(-LN(2)/2)*AB110+(1-EXP(-LN(2)/2))/(LN(2)/2)*V111*Y111*VLOOKUP('Données projet'!$B$9,Paramètres!$A$1:$I$89,3,0)*0.475*44/12</f>
        <v>1.3459076018312992E-12</v>
      </c>
      <c r="AC111" s="22">
        <f t="shared" si="57"/>
        <v>135.969255009054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1280.118461466592</v>
      </c>
      <c r="AN111" s="59">
        <f ca="1">AVERAGE(OFFSET($AM$3,0,0,'Données projet'!$E$10+1,1))-AVERAGE(OFFSET($H$3,0,0,'Données projet'!$E$10+1,1))</f>
        <v>700.22008320816781</v>
      </c>
      <c r="AO111" s="59">
        <f t="shared" si="90"/>
        <v>253.69632691507996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0.8600000000003547</v>
      </c>
      <c r="O112" s="13">
        <f>N112*VLOOKUP('Données projet'!$B$9,Paramètres!$A$1:$I$89,3,0)*VLOOKUP('Données projet'!$B$9,Paramètres!$A$1:$I$89,5,0)</f>
        <v>0.48074000000019829</v>
      </c>
      <c r="P112" s="13">
        <f t="shared" si="87"/>
        <v>0.24126147010950588</v>
      </c>
      <c r="Q112" s="20">
        <f t="shared" si="107"/>
        <v>1.2574858937744013</v>
      </c>
      <c r="R112" s="59">
        <f t="shared" si="55"/>
        <v>294.59081922710772</v>
      </c>
      <c r="S112" s="59">
        <f ca="1">AVERAGE(OFFSET($R$3,0,0,'Données projet'!$E$9+1,1))-AVERAGE(OFFSET($H$3,0,0,'Données projet'!$E$9+1,1))</f>
        <v>406.53547024676948</v>
      </c>
      <c r="T112" s="59">
        <f t="shared" si="88"/>
        <v>534.37689844719353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127.60016392469429</v>
      </c>
      <c r="AA112" s="21">
        <f>EXP(-LN(2)/25)*AA111+(1-EXP(-LN(2)/25))/(LN(2)/25)*Calculateur!V112*Calculateur!X112*VLOOKUP('Données projet'!$B$9,Paramètres!$A$1:$I$89,3,0)*0.475*44/12</f>
        <v>5.6578194871427998</v>
      </c>
      <c r="AB112" s="21">
        <f>EXP(-LN(2)/2)*AB111+(1-EXP(-LN(2)/2))/(LN(2)/2)*V112*Y112*VLOOKUP('Données projet'!$B$9,Paramètres!$A$1:$I$89,3,0)*0.475*44/12</f>
        <v>9.5170039210543539E-13</v>
      </c>
      <c r="AC112" s="22">
        <f t="shared" si="57"/>
        <v>133.25798341183801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1299.1283183015551</v>
      </c>
      <c r="AN112" s="59">
        <f ca="1">AVERAGE(OFFSET($AM$3,0,0,'Données projet'!$E$10+1,1))-AVERAGE(OFFSET($H$3,0,0,'Données projet'!$E$10+1,1))</f>
        <v>700.22008320816781</v>
      </c>
      <c r="AO112" s="59">
        <f t="shared" si="90"/>
        <v>253.69632691507996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0.8600000000003547</v>
      </c>
      <c r="O113" s="13">
        <f>N113*VLOOKUP('Données projet'!$B$9,Paramètres!$A$1:$I$89,3,0)*VLOOKUP('Données projet'!$B$9,Paramètres!$A$1:$I$89,5,0)</f>
        <v>0.48074000000019829</v>
      </c>
      <c r="P113" s="13">
        <f t="shared" si="87"/>
        <v>0.24126147010950588</v>
      </c>
      <c r="Q113" s="20">
        <f t="shared" si="107"/>
        <v>1.2574858937744013</v>
      </c>
      <c r="R113" s="59">
        <f t="shared" si="55"/>
        <v>294.59081922710772</v>
      </c>
      <c r="S113" s="59">
        <f ca="1">AVERAGE(OFFSET($R$3,0,0,'Données projet'!$E$9+1,1))-AVERAGE(OFFSET($H$3,0,0,'Données projet'!$E$9+1,1))</f>
        <v>406.53547024676948</v>
      </c>
      <c r="T113" s="59">
        <f t="shared" si="88"/>
        <v>534.37689844719353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125.09800253854611</v>
      </c>
      <c r="AA113" s="21">
        <f>EXP(-LN(2)/25)*AA112+(1-EXP(-LN(2)/25))/(LN(2)/25)*Calculateur!V113*Calculateur!X113*VLOOKUP('Données projet'!$B$9,Paramètres!$A$1:$I$89,3,0)*0.475*44/12</f>
        <v>5.5031061157350845</v>
      </c>
      <c r="AB113" s="21">
        <f>EXP(-LN(2)/2)*AB112+(1-EXP(-LN(2)/2))/(LN(2)/2)*V113*Y113*VLOOKUP('Données projet'!$B$9,Paramètres!$A$1:$I$89,3,0)*0.475*44/12</f>
        <v>6.7295380091564961E-13</v>
      </c>
      <c r="AC113" s="22">
        <f t="shared" si="57"/>
        <v>130.60110865428189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1318.1310874501712</v>
      </c>
      <c r="AN113" s="59">
        <f ca="1">AVERAGE(OFFSET($AM$3,0,0,'Données projet'!$E$10+1,1))-AVERAGE(OFFSET($H$3,0,0,'Données projet'!$E$10+1,1))</f>
        <v>700.22008320816781</v>
      </c>
      <c r="AO113" s="59">
        <f t="shared" si="90"/>
        <v>253.69632691507996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0.8600000000003547</v>
      </c>
      <c r="O114" s="13">
        <f>N114*VLOOKUP('Données projet'!$B$9,Paramètres!$A$1:$I$89,3,0)*VLOOKUP('Données projet'!$B$9,Paramètres!$A$1:$I$89,5,0)</f>
        <v>0.48074000000019829</v>
      </c>
      <c r="P114" s="13">
        <f t="shared" si="87"/>
        <v>0.24126147010950588</v>
      </c>
      <c r="Q114" s="20">
        <f t="shared" si="107"/>
        <v>1.2574858937744013</v>
      </c>
      <c r="R114" s="59">
        <f t="shared" si="55"/>
        <v>294.59081922710772</v>
      </c>
      <c r="S114" s="59">
        <f ca="1">AVERAGE(OFFSET($R$3,0,0,'Données projet'!$E$9+1,1))-AVERAGE(OFFSET($H$3,0,0,'Données projet'!$E$9+1,1))</f>
        <v>406.53547024676948</v>
      </c>
      <c r="T114" s="59">
        <f t="shared" si="88"/>
        <v>534.37689844719353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122.64490701101255</v>
      </c>
      <c r="AA114" s="21">
        <f>EXP(-LN(2)/25)*AA113+(1-EXP(-LN(2)/25))/(LN(2)/25)*Calculateur!V114*Calculateur!X114*VLOOKUP('Données projet'!$B$9,Paramètres!$A$1:$I$89,3,0)*0.475*44/12</f>
        <v>5.3526233896045357</v>
      </c>
      <c r="AB114" s="21">
        <f>EXP(-LN(2)/2)*AB113+(1-EXP(-LN(2)/2))/(LN(2)/2)*V114*Y114*VLOOKUP('Données projet'!$B$9,Paramètres!$A$1:$I$89,3,0)*0.475*44/12</f>
        <v>4.758501960527177E-13</v>
      </c>
      <c r="AC114" s="22">
        <f t="shared" si="57"/>
        <v>127.99753040061755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1210.1719766536312</v>
      </c>
      <c r="AN114" s="59">
        <f ca="1">AVERAGE(OFFSET($AM$3,0,0,'Données projet'!$E$10+1,1))-AVERAGE(OFFSET($H$3,0,0,'Données projet'!$E$10+1,1))</f>
        <v>700.22008320816781</v>
      </c>
      <c r="AO114" s="59">
        <f t="shared" si="90"/>
        <v>253.69632691507996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0.8600000000003547</v>
      </c>
      <c r="O115" s="13">
        <f>N115*VLOOKUP('Données projet'!$B$9,Paramètres!$A$1:$I$89,3,0)*VLOOKUP('Données projet'!$B$9,Paramètres!$A$1:$I$89,5,0)</f>
        <v>0.48074000000019829</v>
      </c>
      <c r="P115" s="13">
        <f t="shared" si="87"/>
        <v>0.24126147010950588</v>
      </c>
      <c r="Q115" s="20">
        <f t="shared" si="107"/>
        <v>1.2574858937744013</v>
      </c>
      <c r="R115" s="59">
        <f t="shared" si="55"/>
        <v>294.59081922710772</v>
      </c>
      <c r="S115" s="59">
        <f ca="1">AVERAGE(OFFSET($R$3,0,0,'Données projet'!$E$9+1,1))-AVERAGE(OFFSET($H$3,0,0,'Données projet'!$E$9+1,1))</f>
        <v>406.53547024676948</v>
      </c>
      <c r="T115" s="59">
        <f t="shared" si="88"/>
        <v>534.37689844719353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120.2399151905334</v>
      </c>
      <c r="AA115" s="21">
        <f>EXP(-LN(2)/25)*AA114+(1-EXP(-LN(2)/25))/(LN(2)/25)*Calculateur!V115*Calculateur!X115*VLOOKUP('Données projet'!$B$9,Paramètres!$A$1:$I$89,3,0)*0.475*44/12</f>
        <v>5.2062556215335691</v>
      </c>
      <c r="AB115" s="21">
        <f>EXP(-LN(2)/2)*AB114+(1-EXP(-LN(2)/2))/(LN(2)/2)*V115*Y115*VLOOKUP('Données projet'!$B$9,Paramètres!$A$1:$I$89,3,0)*0.475*44/12</f>
        <v>3.364769004578248E-13</v>
      </c>
      <c r="AC115" s="22">
        <f t="shared" si="57"/>
        <v>125.44617081206731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1229.3190173020832</v>
      </c>
      <c r="AN115" s="59">
        <f ca="1">AVERAGE(OFFSET($AM$3,0,0,'Données projet'!$E$10+1,1))-AVERAGE(OFFSET($H$3,0,0,'Données projet'!$E$10+1,1))</f>
        <v>700.22008320816781</v>
      </c>
      <c r="AO115" s="59">
        <f t="shared" si="90"/>
        <v>253.69632691507996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0.8600000000003547</v>
      </c>
      <c r="O116" s="13">
        <f>N116*VLOOKUP('Données projet'!$B$9,Paramètres!$A$1:$I$89,3,0)*VLOOKUP('Données projet'!$B$9,Paramètres!$A$1:$I$89,5,0)</f>
        <v>0.48074000000019829</v>
      </c>
      <c r="P116" s="13">
        <f t="shared" si="87"/>
        <v>0.24126147010950588</v>
      </c>
      <c r="Q116" s="20">
        <f t="shared" si="107"/>
        <v>1.2574858937744013</v>
      </c>
      <c r="R116" s="59">
        <f t="shared" si="55"/>
        <v>294.59081922710772</v>
      </c>
      <c r="S116" s="59">
        <f ca="1">AVERAGE(OFFSET($R$3,0,0,'Données projet'!$E$9+1,1))-AVERAGE(OFFSET($H$3,0,0,'Données projet'!$E$9+1,1))</f>
        <v>406.53547024676948</v>
      </c>
      <c r="T116" s="59">
        <f t="shared" si="88"/>
        <v>534.37689844719353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117.88208379275366</v>
      </c>
      <c r="AA116" s="21">
        <f>EXP(-LN(2)/25)*AA115+(1-EXP(-LN(2)/25))/(LN(2)/25)*Calculateur!V116*Calculateur!X116*VLOOKUP('Données projet'!$B$9,Paramètres!$A$1:$I$89,3,0)*0.475*44/12</f>
        <v>5.0638902877776495</v>
      </c>
      <c r="AB116" s="21">
        <f>EXP(-LN(2)/2)*AB115+(1-EXP(-LN(2)/2))/(LN(2)/2)*V116*Y116*VLOOKUP('Données projet'!$B$9,Paramètres!$A$1:$I$89,3,0)*0.475*44/12</f>
        <v>2.3792509802635885E-13</v>
      </c>
      <c r="AC116" s="22">
        <f t="shared" si="57"/>
        <v>122.94597408053156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1248.4582749883061</v>
      </c>
      <c r="AN116" s="59">
        <f ca="1">AVERAGE(OFFSET($AM$3,0,0,'Données projet'!$E$10+1,1))-AVERAGE(OFFSET($H$3,0,0,'Données projet'!$E$10+1,1))</f>
        <v>700.22008320816781</v>
      </c>
      <c r="AO116" s="59">
        <f t="shared" si="90"/>
        <v>253.69632691507996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0.8600000000003547</v>
      </c>
      <c r="O117" s="13">
        <f>N117*VLOOKUP('Données projet'!$B$9,Paramètres!$A$1:$I$89,3,0)*VLOOKUP('Données projet'!$B$9,Paramètres!$A$1:$I$89,5,0)</f>
        <v>0.48074000000019829</v>
      </c>
      <c r="P117" s="13">
        <f t="shared" si="87"/>
        <v>0.24126147010950588</v>
      </c>
      <c r="Q117" s="20">
        <f t="shared" si="107"/>
        <v>1.2574858937744013</v>
      </c>
      <c r="R117" s="59">
        <f t="shared" si="55"/>
        <v>294.59081922710772</v>
      </c>
      <c r="S117" s="59">
        <f ca="1">AVERAGE(OFFSET($R$3,0,0,'Données projet'!$E$9+1,1))-AVERAGE(OFFSET($H$3,0,0,'Données projet'!$E$9+1,1))</f>
        <v>406.53547024676948</v>
      </c>
      <c r="T117" s="59">
        <f t="shared" si="88"/>
        <v>534.37689844719353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115.57048803054924</v>
      </c>
      <c r="AA117" s="21">
        <f>EXP(-LN(2)/25)*AA116+(1-EXP(-LN(2)/25))/(LN(2)/25)*Calculateur!V117*Calculateur!X117*VLOOKUP('Données projet'!$B$9,Paramètres!$A$1:$I$89,3,0)*0.475*44/12</f>
        <v>4.9254179415599531</v>
      </c>
      <c r="AB117" s="21">
        <f>EXP(-LN(2)/2)*AB116+(1-EXP(-LN(2)/2))/(LN(2)/2)*V117*Y117*VLOOKUP('Données projet'!$B$9,Paramètres!$A$1:$I$89,3,0)*0.475*44/12</f>
        <v>1.682384502289124E-13</v>
      </c>
      <c r="AC117" s="22">
        <f t="shared" si="57"/>
        <v>120.49590597210937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1267.5899274270118</v>
      </c>
      <c r="AN117" s="59">
        <f ca="1">AVERAGE(OFFSET($AM$3,0,0,'Données projet'!$E$10+1,1))-AVERAGE(OFFSET($H$3,0,0,'Données projet'!$E$10+1,1))</f>
        <v>700.22008320816781</v>
      </c>
      <c r="AO117" s="59">
        <f t="shared" si="90"/>
        <v>253.69632691507996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0.8600000000003547</v>
      </c>
      <c r="O118" s="13">
        <f>N118*VLOOKUP('Données projet'!$B$9,Paramètres!$A$1:$I$89,3,0)*VLOOKUP('Données projet'!$B$9,Paramètres!$A$1:$I$89,5,0)</f>
        <v>0.48074000000019829</v>
      </c>
      <c r="P118" s="13">
        <f t="shared" si="87"/>
        <v>0.24126147010950588</v>
      </c>
      <c r="Q118" s="20">
        <f t="shared" si="107"/>
        <v>1.2574858937744013</v>
      </c>
      <c r="R118" s="59">
        <f t="shared" si="55"/>
        <v>294.59081922710772</v>
      </c>
      <c r="S118" s="59">
        <f ca="1">AVERAGE(OFFSET($R$3,0,0,'Données projet'!$E$9+1,1))-AVERAGE(OFFSET($H$3,0,0,'Données projet'!$E$9+1,1))</f>
        <v>406.53547024676948</v>
      </c>
      <c r="T118" s="59">
        <f t="shared" si="88"/>
        <v>534.37689844719353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113.30422125130745</v>
      </c>
      <c r="AA118" s="21">
        <f>EXP(-LN(2)/25)*AA117+(1-EXP(-LN(2)/25))/(LN(2)/25)*Calculateur!V118*Calculateur!X118*VLOOKUP('Données projet'!$B$9,Paramètres!$A$1:$I$89,3,0)*0.475*44/12</f>
        <v>4.7907321289315234</v>
      </c>
      <c r="AB118" s="21">
        <f>EXP(-LN(2)/2)*AB117+(1-EXP(-LN(2)/2))/(LN(2)/2)*V118*Y118*VLOOKUP('Données projet'!$B$9,Paramètres!$A$1:$I$89,3,0)*0.475*44/12</f>
        <v>1.1896254901317942E-13</v>
      </c>
      <c r="AC118" s="22">
        <f t="shared" si="57"/>
        <v>118.09495338023909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1286.7141447939055</v>
      </c>
      <c r="AN118" s="59">
        <f ca="1">AVERAGE(OFFSET($AM$3,0,0,'Données projet'!$E$10+1,1))-AVERAGE(OFFSET($H$3,0,0,'Données projet'!$E$10+1,1))</f>
        <v>700.22008320816781</v>
      </c>
      <c r="AO118" s="59">
        <f t="shared" si="90"/>
        <v>253.69632691507996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0.8600000000003547</v>
      </c>
      <c r="O119" s="13">
        <f>N119*VLOOKUP('Données projet'!$B$9,Paramètres!$A$1:$I$89,3,0)*VLOOKUP('Données projet'!$B$9,Paramètres!$A$1:$I$89,5,0)</f>
        <v>0.48074000000019829</v>
      </c>
      <c r="P119" s="13">
        <f t="shared" si="87"/>
        <v>0.24126147010950588</v>
      </c>
      <c r="Q119" s="20">
        <f t="shared" si="107"/>
        <v>1.2574858937744013</v>
      </c>
      <c r="R119" s="59">
        <f t="shared" si="55"/>
        <v>294.59081922710772</v>
      </c>
      <c r="S119" s="59">
        <f ca="1">AVERAGE(OFFSET($R$3,0,0,'Données projet'!$E$9+1,1))-AVERAGE(OFFSET($H$3,0,0,'Données projet'!$E$9+1,1))</f>
        <v>406.53547024676948</v>
      </c>
      <c r="T119" s="59">
        <f t="shared" si="88"/>
        <v>534.37689844719353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111.08239458132036</v>
      </c>
      <c r="AA119" s="21">
        <f>EXP(-LN(2)/25)*AA118+(1-EXP(-LN(2)/25))/(LN(2)/25)*Calculateur!V119*Calculateur!X119*VLOOKUP('Données projet'!$B$9,Paramètres!$A$1:$I$89,3,0)*0.475*44/12</f>
        <v>4.6597293069322374</v>
      </c>
      <c r="AB119" s="21">
        <f>EXP(-LN(2)/2)*AB118+(1-EXP(-LN(2)/2))/(LN(2)/2)*V119*Y119*VLOOKUP('Données projet'!$B$9,Paramètres!$A$1:$I$89,3,0)*0.475*44/12</f>
        <v>8.4119225114456201E-14</v>
      </c>
      <c r="AC119" s="22">
        <f t="shared" si="57"/>
        <v>115.74212388825268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1305.8310901873938</v>
      </c>
      <c r="AN119" s="59">
        <f ca="1">AVERAGE(OFFSET($AM$3,0,0,'Données projet'!$E$10+1,1))-AVERAGE(OFFSET($H$3,0,0,'Données projet'!$E$10+1,1))</f>
        <v>700.22008320816781</v>
      </c>
      <c r="AO119" s="59">
        <f t="shared" si="90"/>
        <v>253.69632691507996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0.8600000000003547</v>
      </c>
      <c r="O120" s="13">
        <f>N120*VLOOKUP('Données projet'!$B$9,Paramètres!$A$1:$I$89,3,0)*VLOOKUP('Données projet'!$B$9,Paramètres!$A$1:$I$89,5,0)</f>
        <v>0.48074000000019829</v>
      </c>
      <c r="P120" s="13">
        <f t="shared" si="87"/>
        <v>0.24126147010950588</v>
      </c>
      <c r="Q120" s="20">
        <f t="shared" si="107"/>
        <v>1.2574858937744013</v>
      </c>
      <c r="R120" s="59">
        <f t="shared" si="55"/>
        <v>294.59081922710772</v>
      </c>
      <c r="S120" s="59">
        <f ca="1">AVERAGE(OFFSET($R$3,0,0,'Données projet'!$E$9+1,1))-AVERAGE(OFFSET($H$3,0,0,'Données projet'!$E$9+1,1))</f>
        <v>406.53547024676948</v>
      </c>
      <c r="T120" s="59">
        <f t="shared" si="88"/>
        <v>534.37689844719353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108.90413657715125</v>
      </c>
      <c r="AA120" s="21">
        <f>EXP(-LN(2)/25)*AA119+(1-EXP(-LN(2)/25))/(LN(2)/25)*Calculateur!V120*Calculateur!X120*VLOOKUP('Données projet'!$B$9,Paramètres!$A$1:$I$89,3,0)*0.475*44/12</f>
        <v>4.5323087639896613</v>
      </c>
      <c r="AB120" s="21">
        <f>EXP(-LN(2)/2)*AB119+(1-EXP(-LN(2)/2))/(LN(2)/2)*V120*Y120*VLOOKUP('Données projet'!$B$9,Paramètres!$A$1:$I$89,3,0)*0.475*44/12</f>
        <v>5.9481274506589712E-14</v>
      </c>
      <c r="AC120" s="22">
        <f t="shared" si="57"/>
        <v>113.43644534114097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1324.9409200536611</v>
      </c>
      <c r="AN120" s="59">
        <f ca="1">AVERAGE(OFFSET($AM$3,0,0,'Données projet'!$E$10+1,1))-AVERAGE(OFFSET($H$3,0,0,'Données projet'!$E$10+1,1))</f>
        <v>700.22008320816781</v>
      </c>
      <c r="AO120" s="59">
        <f t="shared" si="90"/>
        <v>253.69632691507996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0.8600000000003547</v>
      </c>
      <c r="O121" s="13">
        <f>N121*VLOOKUP('Données projet'!$B$9,Paramètres!$A$1:$I$89,3,0)*VLOOKUP('Données projet'!$B$9,Paramètres!$A$1:$I$89,5,0)</f>
        <v>0.48074000000019829</v>
      </c>
      <c r="P121" s="13">
        <f t="shared" si="87"/>
        <v>0.24126147010950588</v>
      </c>
      <c r="Q121" s="20">
        <f t="shared" si="107"/>
        <v>1.2574858937744013</v>
      </c>
      <c r="R121" s="59">
        <f t="shared" si="55"/>
        <v>294.59081922710772</v>
      </c>
      <c r="S121" s="59">
        <f ca="1">AVERAGE(OFFSET($R$3,0,0,'Données projet'!$E$9+1,1))-AVERAGE(OFFSET($H$3,0,0,'Données projet'!$E$9+1,1))</f>
        <v>406.53547024676948</v>
      </c>
      <c r="T121" s="59">
        <f t="shared" si="88"/>
        <v>534.37689844719353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106.7685928838377</v>
      </c>
      <c r="AA121" s="21">
        <f>EXP(-LN(2)/25)*AA120+(1-EXP(-LN(2)/25))/(LN(2)/25)*Calculateur!V121*Calculateur!X121*VLOOKUP('Données projet'!$B$9,Paramètres!$A$1:$I$89,3,0)*0.475*44/12</f>
        <v>4.4083725424946048</v>
      </c>
      <c r="AB121" s="21">
        <f>EXP(-LN(2)/2)*AB120+(1-EXP(-LN(2)/2))/(LN(2)/2)*V121*Y121*VLOOKUP('Données projet'!$B$9,Paramètres!$A$1:$I$89,3,0)*0.475*44/12</f>
        <v>4.20596125572281E-14</v>
      </c>
      <c r="AC121" s="22">
        <f t="shared" si="57"/>
        <v>111.17696542633234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1344.0437845786594</v>
      </c>
      <c r="AN121" s="59">
        <f ca="1">AVERAGE(OFFSET($AM$3,0,0,'Données projet'!$E$10+1,1))-AVERAGE(OFFSET($H$3,0,0,'Données projet'!$E$10+1,1))</f>
        <v>700.22008320816781</v>
      </c>
      <c r="AO121" s="59">
        <f t="shared" si="90"/>
        <v>253.69632691507996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0.8600000000003547</v>
      </c>
      <c r="O122" s="13">
        <f>N122*VLOOKUP('Données projet'!$B$9,Paramètres!$A$1:$I$89,3,0)*VLOOKUP('Données projet'!$B$9,Paramètres!$A$1:$I$89,5,0)</f>
        <v>0.48074000000019829</v>
      </c>
      <c r="P122" s="13">
        <f t="shared" si="87"/>
        <v>0.24126147010950588</v>
      </c>
      <c r="Q122" s="20">
        <f t="shared" si="107"/>
        <v>1.2574858937744013</v>
      </c>
      <c r="R122" s="59">
        <f t="shared" si="55"/>
        <v>294.59081922710772</v>
      </c>
      <c r="S122" s="59">
        <f ca="1">AVERAGE(OFFSET($R$3,0,0,'Données projet'!$E$9+1,1))-AVERAGE(OFFSET($H$3,0,0,'Données projet'!$E$9+1,1))</f>
        <v>406.53547024676948</v>
      </c>
      <c r="T122" s="59">
        <f t="shared" si="88"/>
        <v>534.37689844719353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104.67492589979699</v>
      </c>
      <c r="AA122" s="21">
        <f>EXP(-LN(2)/25)*AA121+(1-EXP(-LN(2)/25))/(LN(2)/25)*Calculateur!V122*Calculateur!X122*VLOOKUP('Données projet'!$B$9,Paramètres!$A$1:$I$89,3,0)*0.475*44/12</f>
        <v>4.2878253634938535</v>
      </c>
      <c r="AB122" s="21">
        <f>EXP(-LN(2)/2)*AB121+(1-EXP(-LN(2)/2))/(LN(2)/2)*V122*Y122*VLOOKUP('Données projet'!$B$9,Paramètres!$A$1:$I$89,3,0)*0.475*44/12</f>
        <v>2.9740637253294856E-14</v>
      </c>
      <c r="AC122" s="22">
        <f t="shared" si="57"/>
        <v>108.96275126329087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1363.1398280501503</v>
      </c>
      <c r="AN122" s="59">
        <f ca="1">AVERAGE(OFFSET($AM$3,0,0,'Données projet'!$E$10+1,1))-AVERAGE(OFFSET($H$3,0,0,'Données projet'!$E$10+1,1))</f>
        <v>700.22008320816781</v>
      </c>
      <c r="AO122" s="59">
        <f t="shared" si="90"/>
        <v>253.69632691507996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0.8600000000003547</v>
      </c>
      <c r="O123" s="13">
        <f>N123*VLOOKUP('Données projet'!$B$9,Paramètres!$A$1:$I$89,3,0)*VLOOKUP('Données projet'!$B$9,Paramètres!$A$1:$I$89,5,0)</f>
        <v>0.48074000000019829</v>
      </c>
      <c r="P123" s="13">
        <f t="shared" si="87"/>
        <v>0.24126147010950588</v>
      </c>
      <c r="Q123" s="20">
        <f t="shared" si="107"/>
        <v>1.2574858937744013</v>
      </c>
      <c r="R123" s="59">
        <f t="shared" si="55"/>
        <v>294.59081922710772</v>
      </c>
      <c r="S123" s="59">
        <f ca="1">AVERAGE(OFFSET($R$3,0,0,'Données projet'!$E$9+1,1))-AVERAGE(OFFSET($H$3,0,0,'Données projet'!$E$9+1,1))</f>
        <v>406.53547024676948</v>
      </c>
      <c r="T123" s="59">
        <f t="shared" si="88"/>
        <v>534.37689844719353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102.62231444830256</v>
      </c>
      <c r="AA123" s="21">
        <f>EXP(-LN(2)/25)*AA122+(1-EXP(-LN(2)/25))/(LN(2)/25)*Calculateur!V123*Calculateur!X123*VLOOKUP('Données projet'!$B$9,Paramètres!$A$1:$I$89,3,0)*0.475*44/12</f>
        <v>4.1705745534421785</v>
      </c>
      <c r="AB123" s="21">
        <f>EXP(-LN(2)/2)*AB122+(1-EXP(-LN(2)/2))/(LN(2)/2)*V123*Y123*VLOOKUP('Données projet'!$B$9,Paramètres!$A$1:$I$89,3,0)*0.475*44/12</f>
        <v>2.102980627861405E-14</v>
      </c>
      <c r="AC123" s="22">
        <f t="shared" si="57"/>
        <v>106.79288900174475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1382.2291891925947</v>
      </c>
      <c r="AN123" s="59">
        <f ca="1">AVERAGE(OFFSET($AM$3,0,0,'Données projet'!$E$10+1,1))-AVERAGE(OFFSET($H$3,0,0,'Données projet'!$E$10+1,1))</f>
        <v>700.22008320816781</v>
      </c>
      <c r="AO123" s="59">
        <f t="shared" si="90"/>
        <v>253.69632691507996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0.8600000000003547</v>
      </c>
      <c r="O124" s="13">
        <f>N124*VLOOKUP('Données projet'!$B$9,Paramètres!$A$1:$I$89,3,0)*VLOOKUP('Données projet'!$B$9,Paramètres!$A$1:$I$89,5,0)</f>
        <v>0.48074000000019829</v>
      </c>
      <c r="P124" s="13">
        <f t="shared" si="87"/>
        <v>0.24126147010950588</v>
      </c>
      <c r="Q124" s="20">
        <f t="shared" si="107"/>
        <v>1.2574858937744013</v>
      </c>
      <c r="R124" s="59">
        <f t="shared" si="55"/>
        <v>294.59081922710772</v>
      </c>
      <c r="S124" s="59">
        <f ca="1">AVERAGE(OFFSET($R$3,0,0,'Données projet'!$E$9+1,1))-AVERAGE(OFFSET($H$3,0,0,'Données projet'!$E$9+1,1))</f>
        <v>406.53547024676948</v>
      </c>
      <c r="T124" s="59">
        <f t="shared" si="88"/>
        <v>534.37689844719353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100.60995345540258</v>
      </c>
      <c r="AA124" s="21">
        <f>EXP(-LN(2)/25)*AA123+(1-EXP(-LN(2)/25))/(LN(2)/25)*Calculateur!V124*Calculateur!X124*VLOOKUP('Données projet'!$B$9,Paramètres!$A$1:$I$89,3,0)*0.475*44/12</f>
        <v>4.0565299729573185</v>
      </c>
      <c r="AB124" s="21">
        <f>EXP(-LN(2)/2)*AB123+(1-EXP(-LN(2)/2))/(LN(2)/2)*V124*Y124*VLOOKUP('Données projet'!$B$9,Paramètres!$A$1:$I$89,3,0)*0.475*44/12</f>
        <v>1.4870318626647428E-14</v>
      </c>
      <c r="AC124" s="22">
        <f t="shared" si="57"/>
        <v>104.66648342835991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1287.3131939893995</v>
      </c>
      <c r="AN124" s="59">
        <f ca="1">AVERAGE(OFFSET($AM$3,0,0,'Données projet'!$E$10+1,1))-AVERAGE(OFFSET($H$3,0,0,'Données projet'!$E$10+1,1))</f>
        <v>700.22008320816781</v>
      </c>
      <c r="AO124" s="59">
        <f t="shared" si="90"/>
        <v>253.69632691507996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0.8600000000003547</v>
      </c>
      <c r="O125" s="13">
        <f>N125*VLOOKUP('Données projet'!$B$9,Paramètres!$A$1:$I$89,3,0)*VLOOKUP('Données projet'!$B$9,Paramètres!$A$1:$I$89,5,0)</f>
        <v>0.48074000000019829</v>
      </c>
      <c r="P125" s="13">
        <f t="shared" si="87"/>
        <v>0.24126147010950588</v>
      </c>
      <c r="Q125" s="20">
        <f t="shared" si="107"/>
        <v>1.2574858937744013</v>
      </c>
      <c r="R125" s="59">
        <f t="shared" si="55"/>
        <v>294.59081922710772</v>
      </c>
      <c r="S125" s="59">
        <f ca="1">AVERAGE(OFFSET($R$3,0,0,'Données projet'!$E$9+1,1))-AVERAGE(OFFSET($H$3,0,0,'Données projet'!$E$9+1,1))</f>
        <v>406.53547024676948</v>
      </c>
      <c r="T125" s="59">
        <f t="shared" si="88"/>
        <v>534.37689844719353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98.637053634154341</v>
      </c>
      <c r="AA125" s="21">
        <f>EXP(-LN(2)/25)*AA124+(1-EXP(-LN(2)/25))/(LN(2)/25)*Calculateur!V125*Calculateur!X125*VLOOKUP('Données projet'!$B$9,Paramètres!$A$1:$I$89,3,0)*0.475*44/12</f>
        <v>3.9456039475231606</v>
      </c>
      <c r="AB125" s="21">
        <f>EXP(-LN(2)/2)*AB124+(1-EXP(-LN(2)/2))/(LN(2)/2)*V125*Y125*VLOOKUP('Données projet'!$B$9,Paramètres!$A$1:$I$89,3,0)*0.475*44/12</f>
        <v>1.0514903139307025E-14</v>
      </c>
      <c r="AC125" s="22">
        <f t="shared" si="57"/>
        <v>102.58265758167751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1306.5602565635338</v>
      </c>
      <c r="AN125" s="59">
        <f ca="1">AVERAGE(OFFSET($AM$3,0,0,'Données projet'!$E$10+1,1))-AVERAGE(OFFSET($H$3,0,0,'Données projet'!$E$10+1,1))</f>
        <v>700.22008320816781</v>
      </c>
      <c r="AO125" s="59">
        <f t="shared" si="90"/>
        <v>253.69632691507996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0.8600000000003547</v>
      </c>
      <c r="O126" s="13">
        <f>N126*VLOOKUP('Données projet'!$B$9,Paramètres!$A$1:$I$89,3,0)*VLOOKUP('Données projet'!$B$9,Paramètres!$A$1:$I$89,5,0)</f>
        <v>0.48074000000019829</v>
      </c>
      <c r="P126" s="13">
        <f t="shared" si="87"/>
        <v>0.24126147010950588</v>
      </c>
      <c r="Q126" s="20">
        <f t="shared" si="107"/>
        <v>1.2574858937744013</v>
      </c>
      <c r="R126" s="59">
        <f t="shared" si="55"/>
        <v>294.59081922710772</v>
      </c>
      <c r="S126" s="59">
        <f ca="1">AVERAGE(OFFSET($R$3,0,0,'Données projet'!$E$9+1,1))-AVERAGE(OFFSET($H$3,0,0,'Données projet'!$E$9+1,1))</f>
        <v>406.53547024676948</v>
      </c>
      <c r="T126" s="59">
        <f t="shared" si="88"/>
        <v>534.37689844719353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96.702841175050722</v>
      </c>
      <c r="AA126" s="21">
        <f>EXP(-LN(2)/25)*AA125+(1-EXP(-LN(2)/25))/(LN(2)/25)*Calculateur!V126*Calculateur!X126*VLOOKUP('Données projet'!$B$9,Paramètres!$A$1:$I$89,3,0)*0.475*44/12</f>
        <v>3.8377112000878459</v>
      </c>
      <c r="AB126" s="21">
        <f>EXP(-LN(2)/2)*AB125+(1-EXP(-LN(2)/2))/(LN(2)/2)*V126*Y126*VLOOKUP('Données projet'!$B$9,Paramètres!$A$1:$I$89,3,0)*0.475*44/12</f>
        <v>7.435159313323714E-15</v>
      </c>
      <c r="AC126" s="22">
        <f t="shared" si="57"/>
        <v>100.54055237513859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1325.8001121452089</v>
      </c>
      <c r="AN126" s="59">
        <f ca="1">AVERAGE(OFFSET($AM$3,0,0,'Données projet'!$E$10+1,1))-AVERAGE(OFFSET($H$3,0,0,'Données projet'!$E$10+1,1))</f>
        <v>700.22008320816781</v>
      </c>
      <c r="AO126" s="59">
        <f t="shared" si="90"/>
        <v>253.69632691507996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0.8600000000003547</v>
      </c>
      <c r="O127" s="13">
        <f>N127*VLOOKUP('Données projet'!$B$9,Paramètres!$A$1:$I$89,3,0)*VLOOKUP('Données projet'!$B$9,Paramètres!$A$1:$I$89,5,0)</f>
        <v>0.48074000000019829</v>
      </c>
      <c r="P127" s="13">
        <f t="shared" si="87"/>
        <v>0.24126147010950588</v>
      </c>
      <c r="Q127" s="20">
        <f t="shared" si="107"/>
        <v>1.2574858937744013</v>
      </c>
      <c r="R127" s="59">
        <f t="shared" si="55"/>
        <v>294.59081922710772</v>
      </c>
      <c r="S127" s="59">
        <f ca="1">AVERAGE(OFFSET($R$3,0,0,'Données projet'!$E$9+1,1))-AVERAGE(OFFSET($H$3,0,0,'Données projet'!$E$9+1,1))</f>
        <v>406.53547024676948</v>
      </c>
      <c r="T127" s="59">
        <f t="shared" si="88"/>
        <v>534.37689844719353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94.806557442517018</v>
      </c>
      <c r="AA127" s="21">
        <f>EXP(-LN(2)/25)*AA126+(1-EXP(-LN(2)/25))/(LN(2)/25)*Calculateur!V127*Calculateur!X127*VLOOKUP('Données projet'!$B$9,Paramètres!$A$1:$I$89,3,0)*0.475*44/12</f>
        <v>3.7327687855049829</v>
      </c>
      <c r="AB127" s="21">
        <f>EXP(-LN(2)/2)*AB126+(1-EXP(-LN(2)/2))/(LN(2)/2)*V127*Y127*VLOOKUP('Données projet'!$B$9,Paramètres!$A$1:$I$89,3,0)*0.475*44/12</f>
        <v>5.2574515696535125E-15</v>
      </c>
      <c r="AC127" s="22">
        <f t="shared" si="57"/>
        <v>98.539326228022006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1345.0329137572667</v>
      </c>
      <c r="AN127" s="59">
        <f ca="1">AVERAGE(OFFSET($AM$3,0,0,'Données projet'!$E$10+1,1))-AVERAGE(OFFSET($H$3,0,0,'Données projet'!$E$10+1,1))</f>
        <v>700.22008320816781</v>
      </c>
      <c r="AO127" s="59">
        <f t="shared" si="90"/>
        <v>253.69632691507996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0.8600000000003547</v>
      </c>
      <c r="O128" s="13">
        <f>N128*VLOOKUP('Données projet'!$B$9,Paramètres!$A$1:$I$89,3,0)*VLOOKUP('Données projet'!$B$9,Paramètres!$A$1:$I$89,5,0)</f>
        <v>0.48074000000019829</v>
      </c>
      <c r="P128" s="13">
        <f t="shared" si="87"/>
        <v>0.24126147010950588</v>
      </c>
      <c r="Q128" s="20">
        <f t="shared" si="107"/>
        <v>1.2574858937744013</v>
      </c>
      <c r="R128" s="59">
        <f t="shared" si="55"/>
        <v>294.59081922710772</v>
      </c>
      <c r="S128" s="59">
        <f ca="1">AVERAGE(OFFSET($R$3,0,0,'Données projet'!$E$9+1,1))-AVERAGE(OFFSET($H$3,0,0,'Données projet'!$E$9+1,1))</f>
        <v>406.53547024676948</v>
      </c>
      <c r="T128" s="59">
        <f t="shared" si="88"/>
        <v>534.37689844719353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92.947458677359421</v>
      </c>
      <c r="AA128" s="21">
        <f>EXP(-LN(2)/25)*AA127+(1-EXP(-LN(2)/25))/(LN(2)/25)*Calculateur!V128*Calculateur!X128*VLOOKUP('Données projet'!$B$9,Paramètres!$A$1:$I$89,3,0)*0.475*44/12</f>
        <v>3.6306960267675703</v>
      </c>
      <c r="AB128" s="21">
        <f>EXP(-LN(2)/2)*AB127+(1-EXP(-LN(2)/2))/(LN(2)/2)*V128*Y128*VLOOKUP('Données projet'!$B$9,Paramètres!$A$1:$I$89,3,0)*0.475*44/12</f>
        <v>3.717579656661857E-15</v>
      </c>
      <c r="AC128" s="22">
        <f t="shared" si="57"/>
        <v>96.578154704126987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1364.2588083778039</v>
      </c>
      <c r="AN128" s="59">
        <f ca="1">AVERAGE(OFFSET($AM$3,0,0,'Données projet'!$E$10+1,1))-AVERAGE(OFFSET($H$3,0,0,'Données projet'!$E$10+1,1))</f>
        <v>700.22008320816781</v>
      </c>
      <c r="AO128" s="59">
        <f t="shared" si="90"/>
        <v>253.69632691507996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0.8600000000003547</v>
      </c>
      <c r="O129" s="13">
        <f>N129*VLOOKUP('Données projet'!$B$9,Paramètres!$A$1:$I$89,3,0)*VLOOKUP('Données projet'!$B$9,Paramètres!$A$1:$I$89,5,0)</f>
        <v>0.48074000000019829</v>
      </c>
      <c r="P129" s="13">
        <f t="shared" si="87"/>
        <v>0.24126147010950588</v>
      </c>
      <c r="Q129" s="20">
        <f t="shared" si="107"/>
        <v>1.2574858937744013</v>
      </c>
      <c r="R129" s="59">
        <f t="shared" si="55"/>
        <v>294.59081922710772</v>
      </c>
      <c r="S129" s="59">
        <f ca="1">AVERAGE(OFFSET($R$3,0,0,'Données projet'!$E$9+1,1))-AVERAGE(OFFSET($H$3,0,0,'Données projet'!$E$9+1,1))</f>
        <v>406.53547024676948</v>
      </c>
      <c r="T129" s="59">
        <f t="shared" si="88"/>
        <v>534.37689844719353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91.124815705048292</v>
      </c>
      <c r="AA129" s="21">
        <f>EXP(-LN(2)/25)*AA128+(1-EXP(-LN(2)/25))/(LN(2)/25)*Calculateur!V129*Calculateur!X129*VLOOKUP('Données projet'!$B$9,Paramètres!$A$1:$I$89,3,0)*0.475*44/12</f>
        <v>3.5314144529856053</v>
      </c>
      <c r="AB129" s="21">
        <f>EXP(-LN(2)/2)*AB128+(1-EXP(-LN(2)/2))/(LN(2)/2)*V129*Y129*VLOOKUP('Données projet'!$B$9,Paramètres!$A$1:$I$89,3,0)*0.475*44/12</f>
        <v>2.6287257848267563E-15</v>
      </c>
      <c r="AC129" s="22">
        <f t="shared" si="57"/>
        <v>94.656230158033893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1383.4779372853532</v>
      </c>
      <c r="AN129" s="59">
        <f ca="1">AVERAGE(OFFSET($AM$3,0,0,'Données projet'!$E$10+1,1))-AVERAGE(OFFSET($H$3,0,0,'Données projet'!$E$10+1,1))</f>
        <v>700.22008320816781</v>
      </c>
      <c r="AO129" s="59">
        <f t="shared" si="90"/>
        <v>253.69632691507996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0.8600000000003547</v>
      </c>
      <c r="O130" s="13">
        <f>N130*VLOOKUP('Données projet'!$B$9,Paramètres!$A$1:$I$89,3,0)*VLOOKUP('Données projet'!$B$9,Paramètres!$A$1:$I$89,5,0)</f>
        <v>0.48074000000019829</v>
      </c>
      <c r="P130" s="13">
        <f t="shared" si="87"/>
        <v>0.24126147010950588</v>
      </c>
      <c r="Q130" s="20">
        <f t="shared" si="107"/>
        <v>1.2574858937744013</v>
      </c>
      <c r="R130" s="59">
        <f t="shared" si="55"/>
        <v>294.59081922710772</v>
      </c>
      <c r="S130" s="59">
        <f ca="1">AVERAGE(OFFSET($R$3,0,0,'Données projet'!$E$9+1,1))-AVERAGE(OFFSET($H$3,0,0,'Données projet'!$E$9+1,1))</f>
        <v>406.53547024676948</v>
      </c>
      <c r="T130" s="59">
        <f t="shared" si="88"/>
        <v>534.37689844719353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89.337913649721742</v>
      </c>
      <c r="AA130" s="21">
        <f>EXP(-LN(2)/25)*AA129+(1-EXP(-LN(2)/25))/(LN(2)/25)*Calculateur!V130*Calculateur!X130*VLOOKUP('Données projet'!$B$9,Paramètres!$A$1:$I$89,3,0)*0.475*44/12</f>
        <v>3.4348477390596992</v>
      </c>
      <c r="AB130" s="21">
        <f>EXP(-LN(2)/2)*AB129+(1-EXP(-LN(2)/2))/(LN(2)/2)*V130*Y130*VLOOKUP('Données projet'!$B$9,Paramètres!$A$1:$I$89,3,0)*0.475*44/12</f>
        <v>1.8587898283309285E-15</v>
      </c>
      <c r="AC130" s="22">
        <f t="shared" si="57"/>
        <v>92.772761388781447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1402.6904363784961</v>
      </c>
      <c r="AN130" s="59">
        <f ca="1">AVERAGE(OFFSET($AM$3,0,0,'Données projet'!$E$10+1,1))-AVERAGE(OFFSET($H$3,0,0,'Données projet'!$E$10+1,1))</f>
        <v>700.22008320816781</v>
      </c>
      <c r="AO130" s="59">
        <f t="shared" si="90"/>
        <v>253.69632691507996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0.8600000000003547</v>
      </c>
      <c r="O131" s="13">
        <f>N131*VLOOKUP('Données projet'!$B$9,Paramètres!$A$1:$I$89,3,0)*VLOOKUP('Données projet'!$B$9,Paramètres!$A$1:$I$89,5,0)</f>
        <v>0.48074000000019829</v>
      </c>
      <c r="P131" s="13">
        <f t="shared" si="87"/>
        <v>0.24126147010950588</v>
      </c>
      <c r="Q131" s="20">
        <f t="shared" ref="Q131:Q153" si="108">(O131+P131)*0.475*44/12</f>
        <v>1.2574858937744013</v>
      </c>
      <c r="R131" s="59">
        <f t="shared" ref="R131:R194" si="109">Q131+(I131+J131)*44/12</f>
        <v>294.59081922710772</v>
      </c>
      <c r="S131" s="59">
        <f ca="1">AVERAGE(OFFSET($R$3,0,0,'Données projet'!$E$9+1,1))-AVERAGE(OFFSET($H$3,0,0,'Données projet'!$E$9+1,1))</f>
        <v>406.53547024676948</v>
      </c>
      <c r="T131" s="59">
        <f t="shared" si="88"/>
        <v>534.37689844719353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87.586051653797512</v>
      </c>
      <c r="AA131" s="21">
        <f>EXP(-LN(2)/25)*AA130+(1-EXP(-LN(2)/25))/(LN(2)/25)*Calculateur!V131*Calculateur!X131*VLOOKUP('Données projet'!$B$9,Paramètres!$A$1:$I$89,3,0)*0.475*44/12</f>
        <v>3.3409216470043197</v>
      </c>
      <c r="AB131" s="21">
        <f>EXP(-LN(2)/2)*AB130+(1-EXP(-LN(2)/2))/(LN(2)/2)*V131*Y131*VLOOKUP('Données projet'!$B$9,Paramètres!$A$1:$I$89,3,0)*0.475*44/12</f>
        <v>1.3143628924133781E-15</v>
      </c>
      <c r="AC131" s="22">
        <f t="shared" si="57"/>
        <v>90.926973300801833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1421.8964364722171</v>
      </c>
      <c r="AN131" s="59">
        <f ca="1">AVERAGE(OFFSET($AM$3,0,0,'Données projet'!$E$10+1,1))-AVERAGE(OFFSET($H$3,0,0,'Données projet'!$E$10+1,1))</f>
        <v>700.22008320816781</v>
      </c>
      <c r="AO131" s="59">
        <f t="shared" si="90"/>
        <v>253.69632691507996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0.8600000000003547</v>
      </c>
      <c r="O132" s="13">
        <f>N132*VLOOKUP('Données projet'!$B$9,Paramètres!$A$1:$I$89,3,0)*VLOOKUP('Données projet'!$B$9,Paramètres!$A$1:$I$89,5,0)</f>
        <v>0.48074000000019829</v>
      </c>
      <c r="P132" s="13">
        <f t="shared" si="87"/>
        <v>0.24126147010950588</v>
      </c>
      <c r="Q132" s="20">
        <f t="shared" si="108"/>
        <v>1.2574858937744013</v>
      </c>
      <c r="R132" s="59">
        <f t="shared" si="109"/>
        <v>294.59081922710772</v>
      </c>
      <c r="S132" s="59">
        <f ca="1">AVERAGE(OFFSET($R$3,0,0,'Données projet'!$E$9+1,1))-AVERAGE(OFFSET($H$3,0,0,'Données projet'!$E$9+1,1))</f>
        <v>406.53547024676948</v>
      </c>
      <c r="T132" s="59">
        <f t="shared" si="88"/>
        <v>534.37689844719353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85.868542603083043</v>
      </c>
      <c r="AA132" s="21">
        <f>EXP(-LN(2)/25)*AA131+(1-EXP(-LN(2)/25))/(LN(2)/25)*Calculateur!V132*Calculateur!X132*VLOOKUP('Données projet'!$B$9,Paramètres!$A$1:$I$89,3,0)*0.475*44/12</f>
        <v>3.2495639688755529</v>
      </c>
      <c r="AB132" s="21">
        <f>EXP(-LN(2)/2)*AB131+(1-EXP(-LN(2)/2))/(LN(2)/2)*V132*Y132*VLOOKUP('Données projet'!$B$9,Paramètres!$A$1:$I$89,3,0)*0.475*44/12</f>
        <v>9.2939491416546425E-16</v>
      </c>
      <c r="AC132" s="22">
        <f t="shared" ref="AC132:AC153" si="111">SUM(Z132:AB132)</f>
        <v>89.118106571958592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1441.0960635730698</v>
      </c>
      <c r="AN132" s="59">
        <f ca="1">AVERAGE(OFFSET($AM$3,0,0,'Données projet'!$E$10+1,1))-AVERAGE(OFFSET($H$3,0,0,'Données projet'!$E$10+1,1))</f>
        <v>700.22008320816781</v>
      </c>
      <c r="AO132" s="59">
        <f t="shared" si="90"/>
        <v>253.69632691507996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0.8600000000003547</v>
      </c>
      <c r="O133" s="13">
        <f>N133*VLOOKUP('Données projet'!$B$9,Paramètres!$A$1:$I$89,3,0)*VLOOKUP('Données projet'!$B$9,Paramètres!$A$1:$I$89,5,0)</f>
        <v>0.48074000000019829</v>
      </c>
      <c r="P133" s="13">
        <f t="shared" ref="P133:P196" si="141">EXP(-1.0587+0.8836*LN(O133)+0.284)</f>
        <v>0.24126147010950588</v>
      </c>
      <c r="Q133" s="20">
        <f t="shared" si="108"/>
        <v>1.2574858937744013</v>
      </c>
      <c r="R133" s="59">
        <f t="shared" si="109"/>
        <v>294.59081922710772</v>
      </c>
      <c r="S133" s="59">
        <f ca="1">AVERAGE(OFFSET($R$3,0,0,'Données projet'!$E$9+1,1))-AVERAGE(OFFSET($H$3,0,0,'Données projet'!$E$9+1,1))</f>
        <v>406.53547024676948</v>
      </c>
      <c r="T133" s="59">
        <f t="shared" ref="T133:T196" si="142">$T$3</f>
        <v>534.37689844719353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84.184712857276011</v>
      </c>
      <c r="AA133" s="21">
        <f>EXP(-LN(2)/25)*AA132+(1-EXP(-LN(2)/25))/(LN(2)/25)*Calculateur!V133*Calculateur!X133*VLOOKUP('Données projet'!$B$9,Paramètres!$A$1:$I$89,3,0)*0.475*44/12</f>
        <v>3.1607044712595087</v>
      </c>
      <c r="AB133" s="21">
        <f>EXP(-LN(2)/2)*AB132+(1-EXP(-LN(2)/2))/(LN(2)/2)*V133*Y133*VLOOKUP('Données projet'!$B$9,Paramètres!$A$1:$I$89,3,0)*0.475*44/12</f>
        <v>6.5718144620668907E-16</v>
      </c>
      <c r="AC133" s="22">
        <f t="shared" si="111"/>
        <v>87.345417328535518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1460.2894391350028</v>
      </c>
      <c r="AN133" s="59">
        <f ca="1">AVERAGE(OFFSET($AM$3,0,0,'Données projet'!$E$10+1,1))-AVERAGE(OFFSET($H$3,0,0,'Données projet'!$E$10+1,1))</f>
        <v>700.22008320816781</v>
      </c>
      <c r="AO133" s="59">
        <f t="shared" ref="AO133:AO196" si="144">$AO$3</f>
        <v>253.69632691507996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0.8600000000003547</v>
      </c>
      <c r="O134" s="13">
        <f>N134*VLOOKUP('Données projet'!$B$9,Paramètres!$A$1:$I$89,3,0)*VLOOKUP('Données projet'!$B$9,Paramètres!$A$1:$I$89,5,0)</f>
        <v>0.48074000000019829</v>
      </c>
      <c r="P134" s="13">
        <f t="shared" si="141"/>
        <v>0.24126147010950588</v>
      </c>
      <c r="Q134" s="20">
        <f t="shared" si="108"/>
        <v>1.2574858937744013</v>
      </c>
      <c r="R134" s="59">
        <f t="shared" si="109"/>
        <v>294.59081922710772</v>
      </c>
      <c r="S134" s="59">
        <f ca="1">AVERAGE(OFFSET($R$3,0,0,'Données projet'!$E$9+1,1))-AVERAGE(OFFSET($H$3,0,0,'Données projet'!$E$9+1,1))</f>
        <v>406.53547024676948</v>
      </c>
      <c r="T134" s="59">
        <f t="shared" si="142"/>
        <v>534.37689844719353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82.533901985749523</v>
      </c>
      <c r="AA134" s="21">
        <f>EXP(-LN(2)/25)*AA133+(1-EXP(-LN(2)/25))/(LN(2)/25)*Calculateur!V134*Calculateur!X134*VLOOKUP('Données projet'!$B$9,Paramètres!$A$1:$I$89,3,0)*0.475*44/12</f>
        <v>3.0742748412786933</v>
      </c>
      <c r="AB134" s="21">
        <f>EXP(-LN(2)/2)*AB133+(1-EXP(-LN(2)/2))/(LN(2)/2)*V134*Y134*VLOOKUP('Données projet'!$B$9,Paramètres!$A$1:$I$89,3,0)*0.475*44/12</f>
        <v>4.6469745708273212E-16</v>
      </c>
      <c r="AC134" s="22">
        <f t="shared" si="111"/>
        <v>85.608176827028217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1349.3478706815811</v>
      </c>
      <c r="AN134" s="59">
        <f ca="1">AVERAGE(OFFSET($AM$3,0,0,'Données projet'!$E$10+1,1))-AVERAGE(OFFSET($H$3,0,0,'Données projet'!$E$10+1,1))</f>
        <v>700.22008320816781</v>
      </c>
      <c r="AO134" s="59">
        <f t="shared" si="144"/>
        <v>253.69632691507996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0.8600000000003547</v>
      </c>
      <c r="O135" s="13">
        <f>N135*VLOOKUP('Données projet'!$B$9,Paramètres!$A$1:$I$89,3,0)*VLOOKUP('Données projet'!$B$9,Paramètres!$A$1:$I$89,5,0)</f>
        <v>0.48074000000019829</v>
      </c>
      <c r="P135" s="13">
        <f t="shared" si="141"/>
        <v>0.24126147010950588</v>
      </c>
      <c r="Q135" s="20">
        <f t="shared" si="108"/>
        <v>1.2574858937744013</v>
      </c>
      <c r="R135" s="59">
        <f t="shared" si="109"/>
        <v>294.59081922710772</v>
      </c>
      <c r="S135" s="59">
        <f ca="1">AVERAGE(OFFSET($R$3,0,0,'Données projet'!$E$9+1,1))-AVERAGE(OFFSET($H$3,0,0,'Données projet'!$E$9+1,1))</f>
        <v>406.53547024676948</v>
      </c>
      <c r="T135" s="59">
        <f t="shared" si="142"/>
        <v>534.37689844719353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80.915462508518459</v>
      </c>
      <c r="AA135" s="21">
        <f>EXP(-LN(2)/25)*AA134+(1-EXP(-LN(2)/25))/(LN(2)/25)*Calculateur!V135*Calculateur!X135*VLOOKUP('Données projet'!$B$9,Paramètres!$A$1:$I$89,3,0)*0.475*44/12</f>
        <v>2.9902086340748397</v>
      </c>
      <c r="AB135" s="21">
        <f>EXP(-LN(2)/2)*AB134+(1-EXP(-LN(2)/2))/(LN(2)/2)*V135*Y135*VLOOKUP('Données projet'!$B$9,Paramètres!$A$1:$I$89,3,0)*0.475*44/12</f>
        <v>3.2859072310334453E-16</v>
      </c>
      <c r="AC135" s="22">
        <f t="shared" si="111"/>
        <v>83.905671142593292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1368.5288382141594</v>
      </c>
      <c r="AN135" s="59">
        <f ca="1">AVERAGE(OFFSET($AM$3,0,0,'Données projet'!$E$10+1,1))-AVERAGE(OFFSET($H$3,0,0,'Données projet'!$E$10+1,1))</f>
        <v>700.22008320816781</v>
      </c>
      <c r="AO135" s="59">
        <f t="shared" si="144"/>
        <v>253.69632691507996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0.8600000000003547</v>
      </c>
      <c r="O136" s="13">
        <f>N136*VLOOKUP('Données projet'!$B$9,Paramètres!$A$1:$I$89,3,0)*VLOOKUP('Données projet'!$B$9,Paramètres!$A$1:$I$89,5,0)</f>
        <v>0.48074000000019829</v>
      </c>
      <c r="P136" s="13">
        <f t="shared" si="141"/>
        <v>0.24126147010950588</v>
      </c>
      <c r="Q136" s="20">
        <f t="shared" si="108"/>
        <v>1.2574858937744013</v>
      </c>
      <c r="R136" s="59">
        <f t="shared" si="109"/>
        <v>294.59081922710772</v>
      </c>
      <c r="S136" s="59">
        <f ca="1">AVERAGE(OFFSET($R$3,0,0,'Données projet'!$E$9+1,1))-AVERAGE(OFFSET($H$3,0,0,'Données projet'!$E$9+1,1))</f>
        <v>406.53547024676948</v>
      </c>
      <c r="T136" s="59">
        <f t="shared" si="142"/>
        <v>534.37689844719353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79.328759642285277</v>
      </c>
      <c r="AA136" s="21">
        <f>EXP(-LN(2)/25)*AA135+(1-EXP(-LN(2)/25))/(LN(2)/25)*Calculateur!V136*Calculateur!X136*VLOOKUP('Données projet'!$B$9,Paramètres!$A$1:$I$89,3,0)*0.475*44/12</f>
        <v>2.9084412217278253</v>
      </c>
      <c r="AB136" s="21">
        <f>EXP(-LN(2)/2)*AB135+(1-EXP(-LN(2)/2))/(LN(2)/2)*V136*Y136*VLOOKUP('Données projet'!$B$9,Paramètres!$A$1:$I$89,3,0)*0.475*44/12</f>
        <v>2.3234872854136606E-16</v>
      </c>
      <c r="AC136" s="22">
        <f t="shared" si="111"/>
        <v>82.237200864013104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1387.7031010573573</v>
      </c>
      <c r="AN136" s="59">
        <f ca="1">AVERAGE(OFFSET($AM$3,0,0,'Données projet'!$E$10+1,1))-AVERAGE(OFFSET($H$3,0,0,'Données projet'!$E$10+1,1))</f>
        <v>700.22008320816781</v>
      </c>
      <c r="AO136" s="59">
        <f t="shared" si="144"/>
        <v>253.69632691507996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0.8600000000003547</v>
      </c>
      <c r="O137" s="13">
        <f>N137*VLOOKUP('Données projet'!$B$9,Paramètres!$A$1:$I$89,3,0)*VLOOKUP('Données projet'!$B$9,Paramètres!$A$1:$I$89,5,0)</f>
        <v>0.48074000000019829</v>
      </c>
      <c r="P137" s="13">
        <f t="shared" si="141"/>
        <v>0.24126147010950588</v>
      </c>
      <c r="Q137" s="20">
        <f t="shared" si="108"/>
        <v>1.2574858937744013</v>
      </c>
      <c r="R137" s="59">
        <f t="shared" si="109"/>
        <v>294.59081922710772</v>
      </c>
      <c r="S137" s="59">
        <f ca="1">AVERAGE(OFFSET($R$3,0,0,'Données projet'!$E$9+1,1))-AVERAGE(OFFSET($H$3,0,0,'Données projet'!$E$9+1,1))</f>
        <v>406.53547024676948</v>
      </c>
      <c r="T137" s="59">
        <f t="shared" si="142"/>
        <v>534.37689844719353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77.773171051465752</v>
      </c>
      <c r="AA137" s="21">
        <f>EXP(-LN(2)/25)*AA136+(1-EXP(-LN(2)/25))/(LN(2)/25)*Calculateur!V137*Calculateur!X137*VLOOKUP('Données projet'!$B$9,Paramètres!$A$1:$I$89,3,0)*0.475*44/12</f>
        <v>2.8289097435714012</v>
      </c>
      <c r="AB137" s="21">
        <f>EXP(-LN(2)/2)*AB136+(1-EXP(-LN(2)/2))/(LN(2)/2)*V137*Y137*VLOOKUP('Données projet'!$B$9,Paramètres!$A$1:$I$89,3,0)*0.475*44/12</f>
        <v>1.6429536155167227E-16</v>
      </c>
      <c r="AC137" s="22">
        <f t="shared" si="111"/>
        <v>80.602080795037153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1406.870793050645</v>
      </c>
      <c r="AN137" s="59">
        <f ca="1">AVERAGE(OFFSET($AM$3,0,0,'Données projet'!$E$10+1,1))-AVERAGE(OFFSET($H$3,0,0,'Données projet'!$E$10+1,1))</f>
        <v>700.22008320816781</v>
      </c>
      <c r="AO137" s="59">
        <f t="shared" si="144"/>
        <v>253.69632691507996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0.8600000000003547</v>
      </c>
      <c r="O138" s="13">
        <f>N138*VLOOKUP('Données projet'!$B$9,Paramètres!$A$1:$I$89,3,0)*VLOOKUP('Données projet'!$B$9,Paramètres!$A$1:$I$89,5,0)</f>
        <v>0.48074000000019829</v>
      </c>
      <c r="P138" s="13">
        <f t="shared" si="141"/>
        <v>0.24126147010950588</v>
      </c>
      <c r="Q138" s="20">
        <f t="shared" si="108"/>
        <v>1.2574858937744013</v>
      </c>
      <c r="R138" s="59">
        <f t="shared" si="109"/>
        <v>294.59081922710772</v>
      </c>
      <c r="S138" s="59">
        <f ca="1">AVERAGE(OFFSET($R$3,0,0,'Données projet'!$E$9+1,1))-AVERAGE(OFFSET($H$3,0,0,'Données projet'!$E$9+1,1))</f>
        <v>406.53547024676948</v>
      </c>
      <c r="T138" s="59">
        <f t="shared" si="142"/>
        <v>534.37689844719353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76.248086604096841</v>
      </c>
      <c r="AA138" s="21">
        <f>EXP(-LN(2)/25)*AA137+(1-EXP(-LN(2)/25))/(LN(2)/25)*Calculateur!V138*Calculateur!X138*VLOOKUP('Données projet'!$B$9,Paramètres!$A$1:$I$89,3,0)*0.475*44/12</f>
        <v>2.7515530578675436</v>
      </c>
      <c r="AB138" s="21">
        <f>EXP(-LN(2)/2)*AB137+(1-EXP(-LN(2)/2))/(LN(2)/2)*V138*Y138*VLOOKUP('Données projet'!$B$9,Paramètres!$A$1:$I$89,3,0)*0.475*44/12</f>
        <v>1.1617436427068303E-16</v>
      </c>
      <c r="AC138" s="22">
        <f t="shared" si="111"/>
        <v>78.99963966196438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1426.0320430573586</v>
      </c>
      <c r="AN138" s="59">
        <f ca="1">AVERAGE(OFFSET($AM$3,0,0,'Données projet'!$E$10+1,1))-AVERAGE(OFFSET($H$3,0,0,'Données projet'!$E$10+1,1))</f>
        <v>700.22008320816781</v>
      </c>
      <c r="AO138" s="59">
        <f t="shared" si="144"/>
        <v>253.69632691507996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0.8600000000003547</v>
      </c>
      <c r="O139" s="13">
        <f>N139*VLOOKUP('Données projet'!$B$9,Paramètres!$A$1:$I$89,3,0)*VLOOKUP('Données projet'!$B$9,Paramètres!$A$1:$I$89,5,0)</f>
        <v>0.48074000000019829</v>
      </c>
      <c r="P139" s="13">
        <f t="shared" si="141"/>
        <v>0.24126147010950588</v>
      </c>
      <c r="Q139" s="20">
        <f t="shared" si="108"/>
        <v>1.2574858937744013</v>
      </c>
      <c r="R139" s="59">
        <f t="shared" si="109"/>
        <v>294.59081922710772</v>
      </c>
      <c r="S139" s="59">
        <f ca="1">AVERAGE(OFFSET($R$3,0,0,'Données projet'!$E$9+1,1))-AVERAGE(OFFSET($H$3,0,0,'Données projet'!$E$9+1,1))</f>
        <v>406.53547024676948</v>
      </c>
      <c r="T139" s="59">
        <f t="shared" si="142"/>
        <v>534.37689844719353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74.752908132531175</v>
      </c>
      <c r="AA139" s="21">
        <f>EXP(-LN(2)/25)*AA138+(1-EXP(-LN(2)/25))/(LN(2)/25)*Calculateur!V139*Calculateur!X139*VLOOKUP('Données projet'!$B$9,Paramètres!$A$1:$I$89,3,0)*0.475*44/12</f>
        <v>2.6763116948022692</v>
      </c>
      <c r="AB139" s="21">
        <f>EXP(-LN(2)/2)*AB138+(1-EXP(-LN(2)/2))/(LN(2)/2)*V139*Y139*VLOOKUP('Données projet'!$B$9,Paramètres!$A$1:$I$89,3,0)*0.475*44/12</f>
        <v>8.2147680775836134E-17</v>
      </c>
      <c r="AC139" s="22">
        <f t="shared" si="111"/>
        <v>77.429219827333441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1445.1869752324437</v>
      </c>
      <c r="AN139" s="59">
        <f ca="1">AVERAGE(OFFSET($AM$3,0,0,'Données projet'!$E$10+1,1))-AVERAGE(OFFSET($H$3,0,0,'Données projet'!$E$10+1,1))</f>
        <v>700.22008320816781</v>
      </c>
      <c r="AO139" s="59">
        <f t="shared" si="144"/>
        <v>253.69632691507996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0.8600000000003547</v>
      </c>
      <c r="O140" s="13">
        <f>N140*VLOOKUP('Données projet'!$B$9,Paramètres!$A$1:$I$89,3,0)*VLOOKUP('Données projet'!$B$9,Paramètres!$A$1:$I$89,5,0)</f>
        <v>0.48074000000019829</v>
      </c>
      <c r="P140" s="13">
        <f t="shared" si="141"/>
        <v>0.24126147010950588</v>
      </c>
      <c r="Q140" s="20">
        <f t="shared" si="108"/>
        <v>1.2574858937744013</v>
      </c>
      <c r="R140" s="59">
        <f t="shared" si="109"/>
        <v>294.59081922710772</v>
      </c>
      <c r="S140" s="59">
        <f ca="1">AVERAGE(OFFSET($R$3,0,0,'Données projet'!$E$9+1,1))-AVERAGE(OFFSET($H$3,0,0,'Données projet'!$E$9+1,1))</f>
        <v>406.53547024676948</v>
      </c>
      <c r="T140" s="59">
        <f t="shared" si="142"/>
        <v>534.37689844719353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73.287049198824093</v>
      </c>
      <c r="AA140" s="21">
        <f>EXP(-LN(2)/25)*AA139+(1-EXP(-LN(2)/25))/(LN(2)/25)*Calculateur!V140*Calculateur!X140*VLOOKUP('Données projet'!$B$9,Paramètres!$A$1:$I$89,3,0)*0.475*44/12</f>
        <v>2.6031278107667859</v>
      </c>
      <c r="AB140" s="21">
        <f>EXP(-LN(2)/2)*AB139+(1-EXP(-LN(2)/2))/(LN(2)/2)*V140*Y140*VLOOKUP('Données projet'!$B$9,Paramètres!$A$1:$I$89,3,0)*0.475*44/12</f>
        <v>5.8087182135341516E-17</v>
      </c>
      <c r="AC140" s="22">
        <f t="shared" si="111"/>
        <v>75.890177009590872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1464.3357092714871</v>
      </c>
      <c r="AN140" s="59">
        <f ca="1">AVERAGE(OFFSET($AM$3,0,0,'Données projet'!$E$10+1,1))-AVERAGE(OFFSET($H$3,0,0,'Données projet'!$E$10+1,1))</f>
        <v>700.22008320816781</v>
      </c>
      <c r="AO140" s="59">
        <f t="shared" si="144"/>
        <v>253.69632691507996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0.8600000000003547</v>
      </c>
      <c r="O141" s="13">
        <f>N141*VLOOKUP('Données projet'!$B$9,Paramètres!$A$1:$I$89,3,0)*VLOOKUP('Données projet'!$B$9,Paramètres!$A$1:$I$89,5,0)</f>
        <v>0.48074000000019829</v>
      </c>
      <c r="P141" s="13">
        <f t="shared" si="141"/>
        <v>0.24126147010950588</v>
      </c>
      <c r="Q141" s="20">
        <f t="shared" si="108"/>
        <v>1.2574858937744013</v>
      </c>
      <c r="R141" s="59">
        <f t="shared" si="109"/>
        <v>294.59081922710772</v>
      </c>
      <c r="S141" s="59">
        <f ca="1">AVERAGE(OFFSET($R$3,0,0,'Données projet'!$E$9+1,1))-AVERAGE(OFFSET($H$3,0,0,'Données projet'!$E$9+1,1))</f>
        <v>406.53547024676948</v>
      </c>
      <c r="T141" s="59">
        <f t="shared" si="142"/>
        <v>534.37689844719353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71.849934864721334</v>
      </c>
      <c r="AA141" s="21">
        <f>EXP(-LN(2)/25)*AA140+(1-EXP(-LN(2)/25))/(LN(2)/25)*Calculateur!V141*Calculateur!X141*VLOOKUP('Données projet'!$B$9,Paramètres!$A$1:$I$89,3,0)*0.475*44/12</f>
        <v>2.5319451438888261</v>
      </c>
      <c r="AB141" s="21">
        <f>EXP(-LN(2)/2)*AB140+(1-EXP(-LN(2)/2))/(LN(2)/2)*V141*Y141*VLOOKUP('Données projet'!$B$9,Paramètres!$A$1:$I$89,3,0)*0.475*44/12</f>
        <v>4.1073840387918067E-17</v>
      </c>
      <c r="AC141" s="22">
        <f t="shared" si="111"/>
        <v>74.381880008610153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1483.478360642642</v>
      </c>
      <c r="AN141" s="59">
        <f ca="1">AVERAGE(OFFSET($AM$3,0,0,'Données projet'!$E$10+1,1))-AVERAGE(OFFSET($H$3,0,0,'Données projet'!$E$10+1,1))</f>
        <v>700.22008320816781</v>
      </c>
      <c r="AO141" s="59">
        <f t="shared" si="144"/>
        <v>253.69632691507996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0.8600000000003547</v>
      </c>
      <c r="O142" s="13">
        <f>N142*VLOOKUP('Données projet'!$B$9,Paramètres!$A$1:$I$89,3,0)*VLOOKUP('Données projet'!$B$9,Paramètres!$A$1:$I$89,5,0)</f>
        <v>0.48074000000019829</v>
      </c>
      <c r="P142" s="13">
        <f t="shared" si="141"/>
        <v>0.24126147010950588</v>
      </c>
      <c r="Q142" s="20">
        <f t="shared" si="108"/>
        <v>1.2574858937744013</v>
      </c>
      <c r="R142" s="59">
        <f t="shared" si="109"/>
        <v>294.59081922710772</v>
      </c>
      <c r="S142" s="59">
        <f ca="1">AVERAGE(OFFSET($R$3,0,0,'Données projet'!$E$9+1,1))-AVERAGE(OFFSET($H$3,0,0,'Données projet'!$E$9+1,1))</f>
        <v>406.53547024676948</v>
      </c>
      <c r="T142" s="59">
        <f t="shared" si="142"/>
        <v>534.37689844719353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70.441001466157147</v>
      </c>
      <c r="AA142" s="21">
        <f>EXP(-LN(2)/25)*AA141+(1-EXP(-LN(2)/25))/(LN(2)/25)*Calculateur!V142*Calculateur!X142*VLOOKUP('Données projet'!$B$9,Paramètres!$A$1:$I$89,3,0)*0.475*44/12</f>
        <v>2.4627089707799779</v>
      </c>
      <c r="AB142" s="21">
        <f>EXP(-LN(2)/2)*AB141+(1-EXP(-LN(2)/2))/(LN(2)/2)*V142*Y142*VLOOKUP('Données projet'!$B$9,Paramètres!$A$1:$I$89,3,0)*0.475*44/12</f>
        <v>2.9043591067670758E-17</v>
      </c>
      <c r="AC142" s="22">
        <f t="shared" si="111"/>
        <v>72.903710436937118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1502.6150408028789</v>
      </c>
      <c r="AN142" s="59">
        <f ca="1">AVERAGE(OFFSET($AM$3,0,0,'Données projet'!$E$10+1,1))-AVERAGE(OFFSET($H$3,0,0,'Données projet'!$E$10+1,1))</f>
        <v>700.22008320816781</v>
      </c>
      <c r="AO142" s="59">
        <f t="shared" si="144"/>
        <v>253.69632691507996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0.8600000000003547</v>
      </c>
      <c r="O143" s="13">
        <f>N143*VLOOKUP('Données projet'!$B$9,Paramètres!$A$1:$I$89,3,0)*VLOOKUP('Données projet'!$B$9,Paramètres!$A$1:$I$89,5,0)</f>
        <v>0.48074000000019829</v>
      </c>
      <c r="P143" s="13">
        <f t="shared" si="141"/>
        <v>0.24126147010950588</v>
      </c>
      <c r="Q143" s="20">
        <f t="shared" si="108"/>
        <v>1.2574858937744013</v>
      </c>
      <c r="R143" s="59">
        <f t="shared" si="109"/>
        <v>294.59081922710772</v>
      </c>
      <c r="S143" s="59">
        <f ca="1">AVERAGE(OFFSET($R$3,0,0,'Données projet'!$E$9+1,1))-AVERAGE(OFFSET($H$3,0,0,'Données projet'!$E$9+1,1))</f>
        <v>406.53547024676948</v>
      </c>
      <c r="T143" s="59">
        <f t="shared" si="142"/>
        <v>534.37689844719353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69.059696392174274</v>
      </c>
      <c r="AA143" s="21">
        <f>EXP(-LN(2)/25)*AA142+(1-EXP(-LN(2)/25))/(LN(2)/25)*Calculateur!V143*Calculateur!X143*VLOOKUP('Données projet'!$B$9,Paramètres!$A$1:$I$89,3,0)*0.475*44/12</f>
        <v>2.3953660644657631</v>
      </c>
      <c r="AB143" s="21">
        <f>EXP(-LN(2)/2)*AB142+(1-EXP(-LN(2)/2))/(LN(2)/2)*V143*Y143*VLOOKUP('Données projet'!$B$9,Paramètres!$A$1:$I$89,3,0)*0.475*44/12</f>
        <v>2.0536920193959033E-17</v>
      </c>
      <c r="AC143" s="22">
        <f t="shared" si="111"/>
        <v>71.455062456640036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1521.7458573998647</v>
      </c>
      <c r="AN143" s="59">
        <f ca="1">AVERAGE(OFFSET($AM$3,0,0,'Données projet'!$E$10+1,1))-AVERAGE(OFFSET($H$3,0,0,'Données projet'!$E$10+1,1))</f>
        <v>700.22008320816781</v>
      </c>
      <c r="AO143" s="59">
        <f t="shared" si="144"/>
        <v>253.69632691507996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0.8600000000003547</v>
      </c>
      <c r="O144" s="13">
        <f>N144*VLOOKUP('Données projet'!$B$9,Paramètres!$A$1:$I$89,3,0)*VLOOKUP('Données projet'!$B$9,Paramètres!$A$1:$I$89,5,0)</f>
        <v>0.48074000000019829</v>
      </c>
      <c r="P144" s="13">
        <f t="shared" si="141"/>
        <v>0.24126147010950588</v>
      </c>
      <c r="Q144" s="20">
        <f t="shared" si="108"/>
        <v>1.2574858937744013</v>
      </c>
      <c r="R144" s="59">
        <f t="shared" si="109"/>
        <v>294.59081922710772</v>
      </c>
      <c r="S144" s="59">
        <f ca="1">AVERAGE(OFFSET($R$3,0,0,'Données projet'!$E$9+1,1))-AVERAGE(OFFSET($H$3,0,0,'Données projet'!$E$9+1,1))</f>
        <v>406.53547024676948</v>
      </c>
      <c r="T144" s="59">
        <f t="shared" si="142"/>
        <v>534.37689844719353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67.705477868179315</v>
      </c>
      <c r="AA144" s="21">
        <f>EXP(-LN(2)/25)*AA143+(1-EXP(-LN(2)/25))/(LN(2)/25)*Calculateur!V144*Calculateur!X144*VLOOKUP('Données projet'!$B$9,Paramètres!$A$1:$I$89,3,0)*0.475*44/12</f>
        <v>2.32986465346612</v>
      </c>
      <c r="AB144" s="21">
        <f>EXP(-LN(2)/2)*AB143+(1-EXP(-LN(2)/2))/(LN(2)/2)*V144*Y144*VLOOKUP('Données projet'!$B$9,Paramètres!$A$1:$I$89,3,0)*0.475*44/12</f>
        <v>1.4521795533835379E-17</v>
      </c>
      <c r="AC144" s="22">
        <f t="shared" si="111"/>
        <v>70.035342521645433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1413.0078389119599</v>
      </c>
      <c r="AN144" s="59">
        <f ca="1">AVERAGE(OFFSET($AM$3,0,0,'Données projet'!$E$10+1,1))-AVERAGE(OFFSET($H$3,0,0,'Données projet'!$E$10+1,1))</f>
        <v>700.22008320816781</v>
      </c>
      <c r="AO144" s="59">
        <f t="shared" si="144"/>
        <v>253.69632691507996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0.8600000000003547</v>
      </c>
      <c r="O145" s="13">
        <f>N145*VLOOKUP('Données projet'!$B$9,Paramètres!$A$1:$I$89,3,0)*VLOOKUP('Données projet'!$B$9,Paramètres!$A$1:$I$89,5,0)</f>
        <v>0.48074000000019829</v>
      </c>
      <c r="P145" s="13">
        <f t="shared" si="141"/>
        <v>0.24126147010950588</v>
      </c>
      <c r="Q145" s="20">
        <f t="shared" si="108"/>
        <v>1.2574858937744013</v>
      </c>
      <c r="R145" s="59">
        <f t="shared" si="109"/>
        <v>294.59081922710772</v>
      </c>
      <c r="S145" s="59">
        <f ca="1">AVERAGE(OFFSET($R$3,0,0,'Données projet'!$E$9+1,1))-AVERAGE(OFFSET($H$3,0,0,'Données projet'!$E$9+1,1))</f>
        <v>406.53547024676948</v>
      </c>
      <c r="T145" s="59">
        <f t="shared" si="142"/>
        <v>534.37689844719353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66.377814743448155</v>
      </c>
      <c r="AA145" s="21">
        <f>EXP(-LN(2)/25)*AA144+(1-EXP(-LN(2)/25))/(LN(2)/25)*Calculateur!V145*Calculateur!X145*VLOOKUP('Données projet'!$B$9,Paramètres!$A$1:$I$89,3,0)*0.475*44/12</f>
        <v>2.266154381994832</v>
      </c>
      <c r="AB145" s="21">
        <f>EXP(-LN(2)/2)*AB144+(1-EXP(-LN(2)/2))/(LN(2)/2)*V145*Y145*VLOOKUP('Données projet'!$B$9,Paramètres!$A$1:$I$89,3,0)*0.475*44/12</f>
        <v>1.0268460096979517E-17</v>
      </c>
      <c r="AC145" s="22">
        <f t="shared" si="111"/>
        <v>68.643969125442993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1432.23678607489</v>
      </c>
      <c r="AN145" s="59">
        <f ca="1">AVERAGE(OFFSET($AM$3,0,0,'Données projet'!$E$10+1,1))-AVERAGE(OFFSET($H$3,0,0,'Données projet'!$E$10+1,1))</f>
        <v>700.22008320816781</v>
      </c>
      <c r="AO145" s="59">
        <f t="shared" si="144"/>
        <v>253.69632691507996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0.8600000000003547</v>
      </c>
      <c r="O146" s="13">
        <f>N146*VLOOKUP('Données projet'!$B$9,Paramètres!$A$1:$I$89,3,0)*VLOOKUP('Données projet'!$B$9,Paramètres!$A$1:$I$89,5,0)</f>
        <v>0.48074000000019829</v>
      </c>
      <c r="P146" s="13">
        <f t="shared" si="141"/>
        <v>0.24126147010950588</v>
      </c>
      <c r="Q146" s="20">
        <f t="shared" si="108"/>
        <v>1.2574858937744013</v>
      </c>
      <c r="R146" s="59">
        <f t="shared" si="109"/>
        <v>294.59081922710772</v>
      </c>
      <c r="S146" s="59">
        <f ca="1">AVERAGE(OFFSET($R$3,0,0,'Données projet'!$E$9+1,1))-AVERAGE(OFFSET($H$3,0,0,'Données projet'!$E$9+1,1))</f>
        <v>406.53547024676948</v>
      </c>
      <c r="T146" s="59">
        <f t="shared" si="142"/>
        <v>534.37689844719353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65.076186282798417</v>
      </c>
      <c r="AA146" s="21">
        <f>EXP(-LN(2)/25)*AA145+(1-EXP(-LN(2)/25))/(LN(2)/25)*Calculateur!V146*Calculateur!X146*VLOOKUP('Données projet'!$B$9,Paramètres!$A$1:$I$89,3,0)*0.475*44/12</f>
        <v>2.2041862712473037</v>
      </c>
      <c r="AB146" s="21">
        <f>EXP(-LN(2)/2)*AB145+(1-EXP(-LN(2)/2))/(LN(2)/2)*V146*Y146*VLOOKUP('Données projet'!$B$9,Paramètres!$A$1:$I$89,3,0)*0.475*44/12</f>
        <v>7.2608977669176894E-18</v>
      </c>
      <c r="AC146" s="22">
        <f t="shared" si="111"/>
        <v>67.280372554045726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1451.4594088531578</v>
      </c>
      <c r="AN146" s="59">
        <f ca="1">AVERAGE(OFFSET($AM$3,0,0,'Données projet'!$E$10+1,1))-AVERAGE(OFFSET($H$3,0,0,'Données projet'!$E$10+1,1))</f>
        <v>700.22008320816781</v>
      </c>
      <c r="AO146" s="59">
        <f t="shared" si="144"/>
        <v>253.69632691507996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0.8600000000003547</v>
      </c>
      <c r="O147" s="13">
        <f>N147*VLOOKUP('Données projet'!$B$9,Paramètres!$A$1:$I$89,3,0)*VLOOKUP('Données projet'!$B$9,Paramètres!$A$1:$I$89,5,0)</f>
        <v>0.48074000000019829</v>
      </c>
      <c r="P147" s="13">
        <f t="shared" si="141"/>
        <v>0.24126147010950588</v>
      </c>
      <c r="Q147" s="20">
        <f t="shared" si="108"/>
        <v>1.2574858937744013</v>
      </c>
      <c r="R147" s="59">
        <f t="shared" si="109"/>
        <v>294.59081922710772</v>
      </c>
      <c r="S147" s="59">
        <f ca="1">AVERAGE(OFFSET($R$3,0,0,'Données projet'!$E$9+1,1))-AVERAGE(OFFSET($H$3,0,0,'Données projet'!$E$9+1,1))</f>
        <v>406.53547024676948</v>
      </c>
      <c r="T147" s="59">
        <f t="shared" si="142"/>
        <v>534.37689844719353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63.800081962347058</v>
      </c>
      <c r="AA147" s="21">
        <f>EXP(-LN(2)/25)*AA146+(1-EXP(-LN(2)/25))/(LN(2)/25)*Calculateur!V147*Calculateur!X147*VLOOKUP('Données projet'!$B$9,Paramètres!$A$1:$I$89,3,0)*0.475*44/12</f>
        <v>2.1439126817469281</v>
      </c>
      <c r="AB147" s="21">
        <f>EXP(-LN(2)/2)*AB146+(1-EXP(-LN(2)/2))/(LN(2)/2)*V147*Y147*VLOOKUP('Données projet'!$B$9,Paramètres!$A$1:$I$89,3,0)*0.475*44/12</f>
        <v>5.1342300484897583E-18</v>
      </c>
      <c r="AC147" s="22">
        <f t="shared" si="111"/>
        <v>65.943994644093991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1470.6758268375538</v>
      </c>
      <c r="AN147" s="59">
        <f ca="1">AVERAGE(OFFSET($AM$3,0,0,'Données projet'!$E$10+1,1))-AVERAGE(OFFSET($H$3,0,0,'Données projet'!$E$10+1,1))</f>
        <v>700.22008320816781</v>
      </c>
      <c r="AO147" s="59">
        <f t="shared" si="144"/>
        <v>253.69632691507996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0.8600000000003547</v>
      </c>
      <c r="O148" s="13">
        <f>N148*VLOOKUP('Données projet'!$B$9,Paramètres!$A$1:$I$89,3,0)*VLOOKUP('Données projet'!$B$9,Paramètres!$A$1:$I$89,5,0)</f>
        <v>0.48074000000019829</v>
      </c>
      <c r="P148" s="13">
        <f t="shared" si="141"/>
        <v>0.24126147010950588</v>
      </c>
      <c r="Q148" s="20">
        <f t="shared" si="108"/>
        <v>1.2574858937744013</v>
      </c>
      <c r="R148" s="59">
        <f t="shared" si="109"/>
        <v>294.59081922710772</v>
      </c>
      <c r="S148" s="59">
        <f ca="1">AVERAGE(OFFSET($R$3,0,0,'Données projet'!$E$9+1,1))-AVERAGE(OFFSET($H$3,0,0,'Données projet'!$E$9+1,1))</f>
        <v>406.53547024676948</v>
      </c>
      <c r="T148" s="59">
        <f t="shared" si="142"/>
        <v>534.37689844719353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62.549001269272971</v>
      </c>
      <c r="AA148" s="21">
        <f>EXP(-LN(2)/25)*AA147+(1-EXP(-LN(2)/25))/(LN(2)/25)*Calculateur!V148*Calculateur!X148*VLOOKUP('Données projet'!$B$9,Paramètres!$A$1:$I$89,3,0)*0.475*44/12</f>
        <v>2.0852872767210902</v>
      </c>
      <c r="AB148" s="21">
        <f>EXP(-LN(2)/2)*AB147+(1-EXP(-LN(2)/2))/(LN(2)/2)*V148*Y148*VLOOKUP('Données projet'!$B$9,Paramètres!$A$1:$I$89,3,0)*0.475*44/12</f>
        <v>3.6304488834588447E-18</v>
      </c>
      <c r="AC148" s="22">
        <f t="shared" si="111"/>
        <v>64.634288545994067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1489.8861554030718</v>
      </c>
      <c r="AN148" s="59">
        <f ca="1">AVERAGE(OFFSET($AM$3,0,0,'Données projet'!$E$10+1,1))-AVERAGE(OFFSET($H$3,0,0,'Données projet'!$E$10+1,1))</f>
        <v>700.22008320816781</v>
      </c>
      <c r="AO148" s="59">
        <f t="shared" si="144"/>
        <v>253.69632691507996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0.8600000000003547</v>
      </c>
      <c r="O149" s="13">
        <f>N149*VLOOKUP('Données projet'!$B$9,Paramètres!$A$1:$I$89,3,0)*VLOOKUP('Données projet'!$B$9,Paramètres!$A$1:$I$89,5,0)</f>
        <v>0.48074000000019829</v>
      </c>
      <c r="P149" s="13">
        <f t="shared" si="141"/>
        <v>0.24126147010950588</v>
      </c>
      <c r="Q149" s="20">
        <f t="shared" si="108"/>
        <v>1.2574858937744013</v>
      </c>
      <c r="R149" s="59">
        <f t="shared" si="109"/>
        <v>294.59081922710772</v>
      </c>
      <c r="S149" s="59">
        <f ca="1">AVERAGE(OFFSET($R$3,0,0,'Données projet'!$E$9+1,1))-AVERAGE(OFFSET($H$3,0,0,'Données projet'!$E$9+1,1))</f>
        <v>406.53547024676948</v>
      </c>
      <c r="T149" s="59">
        <f t="shared" si="142"/>
        <v>534.37689844719353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61.322453505506189</v>
      </c>
      <c r="AA149" s="21">
        <f>EXP(-LN(2)/25)*AA148+(1-EXP(-LN(2)/25))/(LN(2)/25)*Calculateur!V149*Calculateur!X149*VLOOKUP('Données projet'!$B$9,Paramètres!$A$1:$I$89,3,0)*0.475*44/12</f>
        <v>2.0282649864786602</v>
      </c>
      <c r="AB149" s="21">
        <f>EXP(-LN(2)/2)*AB148+(1-EXP(-LN(2)/2))/(LN(2)/2)*V149*Y149*VLOOKUP('Données projet'!$B$9,Paramètres!$A$1:$I$89,3,0)*0.475*44/12</f>
        <v>2.5671150242448792E-18</v>
      </c>
      <c r="AC149" s="22">
        <f t="shared" si="111"/>
        <v>63.35071849198485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1509.0905059241695</v>
      </c>
      <c r="AN149" s="59">
        <f ca="1">AVERAGE(OFFSET($AM$3,0,0,'Données projet'!$E$10+1,1))-AVERAGE(OFFSET($H$3,0,0,'Données projet'!$E$10+1,1))</f>
        <v>700.22008320816781</v>
      </c>
      <c r="AO149" s="59">
        <f t="shared" si="144"/>
        <v>253.69632691507996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0.8600000000003547</v>
      </c>
      <c r="O150" s="13">
        <f>N150*VLOOKUP('Données projet'!$B$9,Paramètres!$A$1:$I$89,3,0)*VLOOKUP('Données projet'!$B$9,Paramètres!$A$1:$I$89,5,0)</f>
        <v>0.48074000000019829</v>
      </c>
      <c r="P150" s="13">
        <f t="shared" si="141"/>
        <v>0.24126147010950588</v>
      </c>
      <c r="Q150" s="20">
        <f t="shared" si="108"/>
        <v>1.2574858937744013</v>
      </c>
      <c r="R150" s="59">
        <f t="shared" si="109"/>
        <v>294.59081922710772</v>
      </c>
      <c r="S150" s="59">
        <f ca="1">AVERAGE(OFFSET($R$3,0,0,'Données projet'!$E$9+1,1))-AVERAGE(OFFSET($H$3,0,0,'Données projet'!$E$9+1,1))</f>
        <v>406.53547024676948</v>
      </c>
      <c r="T150" s="59">
        <f t="shared" si="142"/>
        <v>534.37689844719353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60.119957595266612</v>
      </c>
      <c r="AA150" s="21">
        <f>EXP(-LN(2)/25)*AA149+(1-EXP(-LN(2)/25))/(LN(2)/25)*Calculateur!V150*Calculateur!X150*VLOOKUP('Données projet'!$B$9,Paramètres!$A$1:$I$89,3,0)*0.475*44/12</f>
        <v>1.9728019737615812</v>
      </c>
      <c r="AB150" s="21">
        <f>EXP(-LN(2)/2)*AB149+(1-EXP(-LN(2)/2))/(LN(2)/2)*V150*Y150*VLOOKUP('Données projet'!$B$9,Paramètres!$A$1:$I$89,3,0)*0.475*44/12</f>
        <v>1.8152244417294224E-18</v>
      </c>
      <c r="AC150" s="22">
        <f t="shared" si="111"/>
        <v>62.092759569028196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1528.2889859757397</v>
      </c>
      <c r="AN150" s="59">
        <f ca="1">AVERAGE(OFFSET($AM$3,0,0,'Données projet'!$E$10+1,1))-AVERAGE(OFFSET($H$3,0,0,'Données projet'!$E$10+1,1))</f>
        <v>700.22008320816781</v>
      </c>
      <c r="AO150" s="59">
        <f t="shared" si="144"/>
        <v>253.69632691507996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0.8600000000003547</v>
      </c>
      <c r="O151" s="13">
        <f>N151*VLOOKUP('Données projet'!$B$9,Paramètres!$A$1:$I$89,3,0)*VLOOKUP('Données projet'!$B$9,Paramètres!$A$1:$I$89,5,0)</f>
        <v>0.48074000000019829</v>
      </c>
      <c r="P151" s="13">
        <f t="shared" si="141"/>
        <v>0.24126147010950588</v>
      </c>
      <c r="Q151" s="20">
        <f t="shared" si="108"/>
        <v>1.2574858937744013</v>
      </c>
      <c r="R151" s="59">
        <f t="shared" si="109"/>
        <v>294.59081922710772</v>
      </c>
      <c r="S151" s="59">
        <f ca="1">AVERAGE(OFFSET($R$3,0,0,'Données projet'!$E$9+1,1))-AVERAGE(OFFSET($H$3,0,0,'Données projet'!$E$9+1,1))</f>
        <v>406.53547024676948</v>
      </c>
      <c r="T151" s="59">
        <f t="shared" si="142"/>
        <v>534.37689844719353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58.941041896376753</v>
      </c>
      <c r="AA151" s="21">
        <f>EXP(-LN(2)/25)*AA150+(1-EXP(-LN(2)/25))/(LN(2)/25)*Calculateur!V151*Calculateur!X151*VLOOKUP('Données projet'!$B$9,Paramètres!$A$1:$I$89,3,0)*0.475*44/12</f>
        <v>1.9188556000439239</v>
      </c>
      <c r="AB151" s="21">
        <f>EXP(-LN(2)/2)*AB150+(1-EXP(-LN(2)/2))/(LN(2)/2)*V151*Y151*VLOOKUP('Données projet'!$B$9,Paramètres!$A$1:$I$89,3,0)*0.475*44/12</f>
        <v>1.2835575121224396E-18</v>
      </c>
      <c r="AC151" s="22">
        <f t="shared" si="111"/>
        <v>60.859897496420679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1547.4816995209637</v>
      </c>
      <c r="AN151" s="59">
        <f ca="1">AVERAGE(OFFSET($AM$3,0,0,'Données projet'!$E$10+1,1))-AVERAGE(OFFSET($H$3,0,0,'Données projet'!$E$10+1,1))</f>
        <v>700.22008320816781</v>
      </c>
      <c r="AO151" s="59">
        <f t="shared" si="144"/>
        <v>253.69632691507996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0.8600000000003547</v>
      </c>
      <c r="O152" s="13">
        <f>N152*VLOOKUP('Données projet'!$B$9,Paramètres!$A$1:$I$89,3,0)*VLOOKUP('Données projet'!$B$9,Paramètres!$A$1:$I$89,5,0)</f>
        <v>0.48074000000019829</v>
      </c>
      <c r="P152" s="13">
        <f t="shared" si="141"/>
        <v>0.24126147010950588</v>
      </c>
      <c r="Q152" s="20">
        <f t="shared" si="108"/>
        <v>1.2574858937744013</v>
      </c>
      <c r="R152" s="59">
        <f t="shared" si="109"/>
        <v>294.59081922710772</v>
      </c>
      <c r="S152" s="59">
        <f ca="1">AVERAGE(OFFSET($R$3,0,0,'Données projet'!$E$9+1,1))-AVERAGE(OFFSET($H$3,0,0,'Données projet'!$E$9+1,1))</f>
        <v>406.53547024676948</v>
      </c>
      <c r="T152" s="59">
        <f t="shared" si="142"/>
        <v>534.37689844719353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57.785244015274543</v>
      </c>
      <c r="AA152" s="21">
        <f>EXP(-LN(2)/25)*AA151+(1-EXP(-LN(2)/25))/(LN(2)/25)*Calculateur!V152*Calculateur!X152*VLOOKUP('Données projet'!$B$9,Paramètres!$A$1:$I$89,3,0)*0.475*44/12</f>
        <v>1.8663843927524923</v>
      </c>
      <c r="AB152" s="21">
        <f>EXP(-LN(2)/2)*AB151+(1-EXP(-LN(2)/2))/(LN(2)/2)*V152*Y152*VLOOKUP('Données projet'!$B$9,Paramètres!$A$1:$I$89,3,0)*0.475*44/12</f>
        <v>9.0761222086471118E-19</v>
      </c>
      <c r="AC152" s="22">
        <f t="shared" si="111"/>
        <v>59.651628408027037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1566.66874708708</v>
      </c>
      <c r="AN152" s="59">
        <f ca="1">AVERAGE(OFFSET($AM$3,0,0,'Données projet'!$E$10+1,1))-AVERAGE(OFFSET($H$3,0,0,'Données projet'!$E$10+1,1))</f>
        <v>700.22008320816781</v>
      </c>
      <c r="AO152" s="59">
        <f t="shared" si="144"/>
        <v>253.69632691507996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0.8600000000003547</v>
      </c>
      <c r="O153" s="13">
        <f>N153*VLOOKUP('Données projet'!$B$9,Paramètres!$A$1:$I$89,3,0)*VLOOKUP('Données projet'!$B$9,Paramètres!$A$1:$I$89,5,0)</f>
        <v>0.48074000000019829</v>
      </c>
      <c r="P153" s="13">
        <f t="shared" si="141"/>
        <v>0.24126147010950588</v>
      </c>
      <c r="Q153" s="20">
        <f t="shared" si="108"/>
        <v>1.2574858937744013</v>
      </c>
      <c r="R153" s="59">
        <f t="shared" si="109"/>
        <v>294.59081922710772</v>
      </c>
      <c r="S153" s="59">
        <f ca="1">AVERAGE(OFFSET($R$3,0,0,'Données projet'!$E$9+1,1))-AVERAGE(OFFSET($H$3,0,0,'Données projet'!$E$9+1,1))</f>
        <v>406.53547024676948</v>
      </c>
      <c r="T153" s="59">
        <f t="shared" si="142"/>
        <v>534.37689844719353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56.652110625653656</v>
      </c>
      <c r="AA153" s="21">
        <f>EXP(-LN(2)/25)*AA152+(1-EXP(-LN(2)/25))/(LN(2)/25)*Calculateur!V153*Calculateur!X153*VLOOKUP('Données projet'!$B$9,Paramètres!$A$1:$I$89,3,0)*0.475*44/12</f>
        <v>1.8153480133837858</v>
      </c>
      <c r="AB153" s="21">
        <f>EXP(-LN(2)/2)*AB152+(1-EXP(-LN(2)/2))/(LN(2)/2)*V153*Y153*VLOOKUP('Données projet'!$B$9,Paramètres!$A$1:$I$89,3,0)*0.475*44/12</f>
        <v>6.4177875606121979E-19</v>
      </c>
      <c r="AC153" s="22">
        <f t="shared" si="111"/>
        <v>58.467458639037439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1585.8502259300358</v>
      </c>
      <c r="AN153" s="59">
        <f ca="1">AVERAGE(OFFSET($AM$3,0,0,'Données projet'!$E$10+1,1))-AVERAGE(OFFSET($H$3,0,0,'Données projet'!$E$10+1,1))</f>
        <v>700.22008320816781</v>
      </c>
      <c r="AO153" s="59">
        <f t="shared" si="144"/>
        <v>253.69632691507996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0.8600000000003547</v>
      </c>
      <c r="O154" s="13">
        <f>N154*VLOOKUP('Données projet'!$B$9,Paramètres!$A$1:$I$89,3,0)*VLOOKUP('Données projet'!$B$9,Paramètres!$A$1:$I$89,5,0)</f>
        <v>0.48074000000019829</v>
      </c>
      <c r="P154" s="13">
        <f t="shared" si="141"/>
        <v>0.24126147010950588</v>
      </c>
      <c r="Q154" s="20">
        <f t="shared" ref="Q154:Q203" si="162">(O154+P154)*0.475*44/12</f>
        <v>1.2574858937744013</v>
      </c>
      <c r="R154" s="59">
        <f t="shared" si="109"/>
        <v>294.59081922710772</v>
      </c>
      <c r="S154" s="59">
        <f ca="1">AVERAGE(OFFSET($R$3,0,0,'Données projet'!$E$9+1,1))-AVERAGE(OFFSET($H$3,0,0,'Données projet'!$E$9+1,1))</f>
        <v>406.53547024676948</v>
      </c>
      <c r="T154" s="59">
        <f t="shared" si="142"/>
        <v>534.37689844719353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55.541197290660108</v>
      </c>
      <c r="AA154" s="21">
        <f>EXP(-LN(2)/25)*AA153+(1-EXP(-LN(2)/25))/(LN(2)/25)*Calculateur!V154*Calculateur!X154*VLOOKUP('Données projet'!$B$9,Paramètres!$A$1:$I$89,3,0)*0.475*44/12</f>
        <v>1.7657072264928033</v>
      </c>
      <c r="AB154" s="21">
        <f>EXP(-LN(2)/2)*AB153+(1-EXP(-LN(2)/2))/(LN(2)/2)*V154*Y154*VLOOKUP('Données projet'!$B$9,Paramètres!$A$1:$I$89,3,0)*0.475*44/12</f>
        <v>4.5380611043235559E-19</v>
      </c>
      <c r="AC154" s="22">
        <f t="shared" ref="AC154:AC203" si="163">SUM(Z154:AB154)</f>
        <v>57.306904517152908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1140.9669502470615</v>
      </c>
      <c r="AN154" s="59">
        <f ca="1">AVERAGE(OFFSET($AM$3,0,0,'Données projet'!$E$10+1,1))-AVERAGE(OFFSET($H$3,0,0,'Données projet'!$E$10+1,1))</f>
        <v>700.22008320816781</v>
      </c>
      <c r="AO154" s="59">
        <f t="shared" si="144"/>
        <v>253.69632691507996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0.8600000000003547</v>
      </c>
      <c r="O155" s="13">
        <f>N155*VLOOKUP('Données projet'!$B$9,Paramètres!$A$1:$I$89,3,0)*VLOOKUP('Données projet'!$B$9,Paramètres!$A$1:$I$89,5,0)</f>
        <v>0.48074000000019829</v>
      </c>
      <c r="P155" s="13">
        <f t="shared" si="141"/>
        <v>0.24126147010950588</v>
      </c>
      <c r="Q155" s="20">
        <f t="shared" si="162"/>
        <v>1.2574858937744013</v>
      </c>
      <c r="R155" s="59">
        <f t="shared" si="109"/>
        <v>294.59081922710772</v>
      </c>
      <c r="S155" s="59">
        <f ca="1">AVERAGE(OFFSET($R$3,0,0,'Données projet'!$E$9+1,1))-AVERAGE(OFFSET($H$3,0,0,'Données projet'!$E$9+1,1))</f>
        <v>406.53547024676948</v>
      </c>
      <c r="T155" s="59">
        <f t="shared" si="142"/>
        <v>534.37689844719353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54.452068288575553</v>
      </c>
      <c r="AA155" s="21">
        <f>EXP(-LN(2)/25)*AA154+(1-EXP(-LN(2)/25))/(LN(2)/25)*Calculateur!V155*Calculateur!X155*VLOOKUP('Données projet'!$B$9,Paramètres!$A$1:$I$89,3,0)*0.475*44/12</f>
        <v>1.71742386952985</v>
      </c>
      <c r="AB155" s="21">
        <f>EXP(-LN(2)/2)*AB154+(1-EXP(-LN(2)/2))/(LN(2)/2)*V155*Y155*VLOOKUP('Données projet'!$B$9,Paramètres!$A$1:$I$89,3,0)*0.475*44/12</f>
        <v>3.208893780306099E-19</v>
      </c>
      <c r="AC155" s="22">
        <f t="shared" si="163"/>
        <v>56.169492158105406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1138.6604062712454</v>
      </c>
      <c r="AN155" s="59">
        <f ca="1">AVERAGE(OFFSET($AM$3,0,0,'Données projet'!$E$10+1,1))-AVERAGE(OFFSET($H$3,0,0,'Données projet'!$E$10+1,1))</f>
        <v>700.22008320816781</v>
      </c>
      <c r="AO155" s="59">
        <f t="shared" si="144"/>
        <v>253.69632691507996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0.8600000000003547</v>
      </c>
      <c r="O156" s="13">
        <f>N156*VLOOKUP('Données projet'!$B$9,Paramètres!$A$1:$I$89,3,0)*VLOOKUP('Données projet'!$B$9,Paramètres!$A$1:$I$89,5,0)</f>
        <v>0.48074000000019829</v>
      </c>
      <c r="P156" s="13">
        <f t="shared" si="141"/>
        <v>0.24126147010950588</v>
      </c>
      <c r="Q156" s="20">
        <f t="shared" si="162"/>
        <v>1.2574858937744013</v>
      </c>
      <c r="R156" s="59">
        <f t="shared" si="109"/>
        <v>294.59081922710772</v>
      </c>
      <c r="S156" s="59">
        <f ca="1">AVERAGE(OFFSET($R$3,0,0,'Données projet'!$E$9+1,1))-AVERAGE(OFFSET($H$3,0,0,'Données projet'!$E$9+1,1))</f>
        <v>406.53547024676948</v>
      </c>
      <c r="T156" s="59">
        <f t="shared" si="142"/>
        <v>534.37689844719353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53.384296441918785</v>
      </c>
      <c r="AA156" s="21">
        <f>EXP(-LN(2)/25)*AA155+(1-EXP(-LN(2)/25))/(LN(2)/25)*Calculateur!V156*Calculateur!X156*VLOOKUP('Données projet'!$B$9,Paramètres!$A$1:$I$89,3,0)*0.475*44/12</f>
        <v>1.6704608235021603</v>
      </c>
      <c r="AB156" s="21">
        <f>EXP(-LN(2)/2)*AB155+(1-EXP(-LN(2)/2))/(LN(2)/2)*V156*Y156*VLOOKUP('Données projet'!$B$9,Paramètres!$A$1:$I$89,3,0)*0.475*44/12</f>
        <v>2.269030552161778E-19</v>
      </c>
      <c r="AC156" s="22">
        <f t="shared" si="163"/>
        <v>55.054757265420946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1136.3537358947829</v>
      </c>
      <c r="AN156" s="59">
        <f ca="1">AVERAGE(OFFSET($AM$3,0,0,'Données projet'!$E$10+1,1))-AVERAGE(OFFSET($H$3,0,0,'Données projet'!$E$10+1,1))</f>
        <v>700.22008320816781</v>
      </c>
      <c r="AO156" s="59">
        <f t="shared" si="144"/>
        <v>253.69632691507996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0.8600000000003547</v>
      </c>
      <c r="O157" s="13">
        <f>N157*VLOOKUP('Données projet'!$B$9,Paramètres!$A$1:$I$89,3,0)*VLOOKUP('Données projet'!$B$9,Paramètres!$A$1:$I$89,5,0)</f>
        <v>0.48074000000019829</v>
      </c>
      <c r="P157" s="13">
        <f t="shared" si="141"/>
        <v>0.24126147010950588</v>
      </c>
      <c r="Q157" s="20">
        <f t="shared" si="162"/>
        <v>1.2574858937744013</v>
      </c>
      <c r="R157" s="59">
        <f t="shared" si="109"/>
        <v>294.59081922710772</v>
      </c>
      <c r="S157" s="59">
        <f ca="1">AVERAGE(OFFSET($R$3,0,0,'Données projet'!$E$9+1,1))-AVERAGE(OFFSET($H$3,0,0,'Données projet'!$E$9+1,1))</f>
        <v>406.53547024676948</v>
      </c>
      <c r="T157" s="59">
        <f t="shared" si="142"/>
        <v>534.37689844719353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52.337462949898438</v>
      </c>
      <c r="AA157" s="21">
        <f>EXP(-LN(2)/25)*AA156+(1-EXP(-LN(2)/25))/(LN(2)/25)*Calculateur!V157*Calculateur!X157*VLOOKUP('Données projet'!$B$9,Paramètres!$A$1:$I$89,3,0)*0.475*44/12</f>
        <v>1.6247819844377769</v>
      </c>
      <c r="AB157" s="21">
        <f>EXP(-LN(2)/2)*AB156+(1-EXP(-LN(2)/2))/(LN(2)/2)*V157*Y157*VLOOKUP('Données projet'!$B$9,Paramètres!$A$1:$I$89,3,0)*0.475*44/12</f>
        <v>1.6044468901530495E-19</v>
      </c>
      <c r="AC157" s="22">
        <f t="shared" si="163"/>
        <v>53.962244934336212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865.8323087522167</v>
      </c>
      <c r="AN157" s="59">
        <f ca="1">AVERAGE(OFFSET($AM$3,0,0,'Données projet'!$E$10+1,1))-AVERAGE(OFFSET($H$3,0,0,'Données projet'!$E$10+1,1))</f>
        <v>700.22008320816781</v>
      </c>
      <c r="AO157" s="59">
        <f t="shared" si="144"/>
        <v>253.69632691507996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0.8600000000003547</v>
      </c>
      <c r="O158" s="13">
        <f>N158*VLOOKUP('Données projet'!$B$9,Paramètres!$A$1:$I$89,3,0)*VLOOKUP('Données projet'!$B$9,Paramètres!$A$1:$I$89,5,0)</f>
        <v>0.48074000000019829</v>
      </c>
      <c r="P158" s="13">
        <f t="shared" si="141"/>
        <v>0.24126147010950588</v>
      </c>
      <c r="Q158" s="20">
        <f t="shared" si="162"/>
        <v>1.2574858937744013</v>
      </c>
      <c r="R158" s="59">
        <f t="shared" si="109"/>
        <v>294.59081922710772</v>
      </c>
      <c r="S158" s="59">
        <f ca="1">AVERAGE(OFFSET($R$3,0,0,'Données projet'!$E$9+1,1))-AVERAGE(OFFSET($H$3,0,0,'Données projet'!$E$9+1,1))</f>
        <v>406.53547024676948</v>
      </c>
      <c r="T158" s="59">
        <f t="shared" si="142"/>
        <v>534.37689844719353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51.311157224151223</v>
      </c>
      <c r="AA158" s="21">
        <f>EXP(-LN(2)/25)*AA157+(1-EXP(-LN(2)/25))/(LN(2)/25)*Calculateur!V158*Calculateur!X158*VLOOKUP('Données projet'!$B$9,Paramètres!$A$1:$I$89,3,0)*0.475*44/12</f>
        <v>1.5803522356297548</v>
      </c>
      <c r="AB158" s="21">
        <f>EXP(-LN(2)/2)*AB157+(1-EXP(-LN(2)/2))/(LN(2)/2)*V158*Y158*VLOOKUP('Données projet'!$B$9,Paramètres!$A$1:$I$89,3,0)*0.475*44/12</f>
        <v>1.134515276080889E-19</v>
      </c>
      <c r="AC158" s="22">
        <f t="shared" si="163"/>
        <v>52.891509459780977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864.03587657838307</v>
      </c>
      <c r="AN158" s="59">
        <f ca="1">AVERAGE(OFFSET($AM$3,0,0,'Données projet'!$E$10+1,1))-AVERAGE(OFFSET($H$3,0,0,'Données projet'!$E$10+1,1))</f>
        <v>700.22008320816781</v>
      </c>
      <c r="AO158" s="59">
        <f t="shared" si="144"/>
        <v>253.69632691507996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0.8600000000003547</v>
      </c>
      <c r="O159" s="13">
        <f>N159*VLOOKUP('Données projet'!$B$9,Paramètres!$A$1:$I$89,3,0)*VLOOKUP('Données projet'!$B$9,Paramètres!$A$1:$I$89,5,0)</f>
        <v>0.48074000000019829</v>
      </c>
      <c r="P159" s="13">
        <f t="shared" si="141"/>
        <v>0.24126147010950588</v>
      </c>
      <c r="Q159" s="20">
        <f t="shared" si="162"/>
        <v>1.2574858937744013</v>
      </c>
      <c r="R159" s="59">
        <f t="shared" si="109"/>
        <v>294.59081922710772</v>
      </c>
      <c r="S159" s="59">
        <f ca="1">AVERAGE(OFFSET($R$3,0,0,'Données projet'!$E$9+1,1))-AVERAGE(OFFSET($H$3,0,0,'Données projet'!$E$9+1,1))</f>
        <v>406.53547024676948</v>
      </c>
      <c r="T159" s="59">
        <f t="shared" si="142"/>
        <v>534.37689844719353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50.304976727701231</v>
      </c>
      <c r="AA159" s="21">
        <f>EXP(-LN(2)/25)*AA158+(1-EXP(-LN(2)/25))/(LN(2)/25)*Calculateur!V159*Calculateur!X159*VLOOKUP('Données projet'!$B$9,Paramètres!$A$1:$I$89,3,0)*0.475*44/12</f>
        <v>1.5371374206393471</v>
      </c>
      <c r="AB159" s="21">
        <f>EXP(-LN(2)/2)*AB158+(1-EXP(-LN(2)/2))/(LN(2)/2)*V159*Y159*VLOOKUP('Données projet'!$B$9,Paramètres!$A$1:$I$89,3,0)*0.475*44/12</f>
        <v>8.0222344507652474E-20</v>
      </c>
      <c r="AC159" s="22">
        <f t="shared" si="163"/>
        <v>51.842114148340578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862.23932624883059</v>
      </c>
      <c r="AN159" s="59">
        <f ca="1">AVERAGE(OFFSET($AM$3,0,0,'Données projet'!$E$10+1,1))-AVERAGE(OFFSET($H$3,0,0,'Données projet'!$E$10+1,1))</f>
        <v>700.22008320816781</v>
      </c>
      <c r="AO159" s="59">
        <f t="shared" si="144"/>
        <v>253.69632691507996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0.8600000000003547</v>
      </c>
      <c r="O160" s="13">
        <f>N160*VLOOKUP('Données projet'!$B$9,Paramètres!$A$1:$I$89,3,0)*VLOOKUP('Données projet'!$B$9,Paramètres!$A$1:$I$89,5,0)</f>
        <v>0.48074000000019829</v>
      </c>
      <c r="P160" s="13">
        <f t="shared" si="141"/>
        <v>0.24126147010950588</v>
      </c>
      <c r="Q160" s="20">
        <f t="shared" si="162"/>
        <v>1.2574858937744013</v>
      </c>
      <c r="R160" s="59">
        <f t="shared" si="109"/>
        <v>294.59081922710772</v>
      </c>
      <c r="S160" s="59">
        <f ca="1">AVERAGE(OFFSET($R$3,0,0,'Données projet'!$E$9+1,1))-AVERAGE(OFFSET($H$3,0,0,'Données projet'!$E$9+1,1))</f>
        <v>406.53547024676948</v>
      </c>
      <c r="T160" s="59">
        <f t="shared" si="142"/>
        <v>534.37689844719353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49.318526817077121</v>
      </c>
      <c r="AA160" s="21">
        <f>EXP(-LN(2)/25)*AA159+(1-EXP(-LN(2)/25))/(LN(2)/25)*Calculateur!V160*Calculateur!X160*VLOOKUP('Données projet'!$B$9,Paramètres!$A$1:$I$89,3,0)*0.475*44/12</f>
        <v>1.4951043170374203</v>
      </c>
      <c r="AB160" s="21">
        <f>EXP(-LN(2)/2)*AB159+(1-EXP(-LN(2)/2))/(LN(2)/2)*V160*Y160*VLOOKUP('Données projet'!$B$9,Paramètres!$A$1:$I$89,3,0)*0.475*44/12</f>
        <v>5.6725763804044449E-20</v>
      </c>
      <c r="AC160" s="22">
        <f t="shared" si="163"/>
        <v>50.813631134114544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693.44995020280771</v>
      </c>
      <c r="AN160" s="59">
        <f ca="1">AVERAGE(OFFSET($AM$3,0,0,'Données projet'!$E$10+1,1))-AVERAGE(OFFSET($H$3,0,0,'Données projet'!$E$10+1,1))</f>
        <v>700.22008320816781</v>
      </c>
      <c r="AO160" s="59">
        <f t="shared" si="144"/>
        <v>253.69632691507996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0.8600000000003547</v>
      </c>
      <c r="O161" s="13">
        <f>N161*VLOOKUP('Données projet'!$B$9,Paramètres!$A$1:$I$89,3,0)*VLOOKUP('Données projet'!$B$9,Paramètres!$A$1:$I$89,5,0)</f>
        <v>0.48074000000019829</v>
      </c>
      <c r="P161" s="13">
        <f t="shared" si="141"/>
        <v>0.24126147010950588</v>
      </c>
      <c r="Q161" s="20">
        <f t="shared" si="162"/>
        <v>1.2574858937744013</v>
      </c>
      <c r="R161" s="59">
        <f t="shared" si="109"/>
        <v>294.59081922710772</v>
      </c>
      <c r="S161" s="59">
        <f ca="1">AVERAGE(OFFSET($R$3,0,0,'Données projet'!$E$9+1,1))-AVERAGE(OFFSET($H$3,0,0,'Données projet'!$E$9+1,1))</f>
        <v>406.53547024676948</v>
      </c>
      <c r="T161" s="59">
        <f t="shared" si="142"/>
        <v>534.37689844719353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48.351420587525311</v>
      </c>
      <c r="AA161" s="21">
        <f>EXP(-LN(2)/25)*AA160+(1-EXP(-LN(2)/25))/(LN(2)/25)*Calculateur!V161*Calculateur!X161*VLOOKUP('Données projet'!$B$9,Paramètres!$A$1:$I$89,3,0)*0.475*44/12</f>
        <v>1.4542206108639131</v>
      </c>
      <c r="AB161" s="21">
        <f>EXP(-LN(2)/2)*AB160+(1-EXP(-LN(2)/2))/(LN(2)/2)*V161*Y161*VLOOKUP('Données projet'!$B$9,Paramètres!$A$1:$I$89,3,0)*0.475*44/12</f>
        <v>4.0111172253826237E-20</v>
      </c>
      <c r="AC161" s="22">
        <f t="shared" si="163"/>
        <v>49.805641198389225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692.05701021686423</v>
      </c>
      <c r="AN161" s="59">
        <f ca="1">AVERAGE(OFFSET($AM$3,0,0,'Données projet'!$E$10+1,1))-AVERAGE(OFFSET($H$3,0,0,'Données projet'!$E$10+1,1))</f>
        <v>700.22008320816781</v>
      </c>
      <c r="AO161" s="59">
        <f t="shared" si="144"/>
        <v>253.69632691507996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0.8600000000003547</v>
      </c>
      <c r="O162" s="13">
        <f>N162*VLOOKUP('Données projet'!$B$9,Paramètres!$A$1:$I$89,3,0)*VLOOKUP('Données projet'!$B$9,Paramètres!$A$1:$I$89,5,0)</f>
        <v>0.48074000000019829</v>
      </c>
      <c r="P162" s="13">
        <f t="shared" si="141"/>
        <v>0.24126147010950588</v>
      </c>
      <c r="Q162" s="20">
        <f t="shared" si="162"/>
        <v>1.2574858937744013</v>
      </c>
      <c r="R162" s="59">
        <f t="shared" si="109"/>
        <v>294.59081922710772</v>
      </c>
      <c r="S162" s="59">
        <f ca="1">AVERAGE(OFFSET($R$3,0,0,'Données projet'!$E$9+1,1))-AVERAGE(OFFSET($H$3,0,0,'Données projet'!$E$9+1,1))</f>
        <v>406.53547024676948</v>
      </c>
      <c r="T162" s="59">
        <f t="shared" si="142"/>
        <v>534.37689844719353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47.403278721258459</v>
      </c>
      <c r="AA162" s="21">
        <f>EXP(-LN(2)/25)*AA161+(1-EXP(-LN(2)/25))/(LN(2)/25)*Calculateur!V162*Calculateur!X162*VLOOKUP('Données projet'!$B$9,Paramètres!$A$1:$I$89,3,0)*0.475*44/12</f>
        <v>1.4144548717857011</v>
      </c>
      <c r="AB162" s="21">
        <f>EXP(-LN(2)/2)*AB161+(1-EXP(-LN(2)/2))/(LN(2)/2)*V162*Y162*VLOOKUP('Données projet'!$B$9,Paramètres!$A$1:$I$89,3,0)*0.475*44/12</f>
        <v>2.8362881902022224E-20</v>
      </c>
      <c r="AC162" s="22">
        <f t="shared" si="163"/>
        <v>48.81773359304416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690.66396483309677</v>
      </c>
      <c r="AN162" s="59">
        <f ca="1">AVERAGE(OFFSET($AM$3,0,0,'Données projet'!$E$10+1,1))-AVERAGE(OFFSET($H$3,0,0,'Données projet'!$E$10+1,1))</f>
        <v>700.22008320816781</v>
      </c>
      <c r="AO162" s="59">
        <f t="shared" si="144"/>
        <v>253.69632691507996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0.8600000000003547</v>
      </c>
      <c r="O163" s="13">
        <f>N163*VLOOKUP('Données projet'!$B$9,Paramètres!$A$1:$I$89,3,0)*VLOOKUP('Données projet'!$B$9,Paramètres!$A$1:$I$89,5,0)</f>
        <v>0.48074000000019829</v>
      </c>
      <c r="P163" s="13">
        <f t="shared" si="141"/>
        <v>0.24126147010950588</v>
      </c>
      <c r="Q163" s="20">
        <f t="shared" si="162"/>
        <v>1.2574858937744013</v>
      </c>
      <c r="R163" s="59">
        <f t="shared" si="109"/>
        <v>294.59081922710772</v>
      </c>
      <c r="S163" s="59">
        <f ca="1">AVERAGE(OFFSET($R$3,0,0,'Données projet'!$E$9+1,1))-AVERAGE(OFFSET($H$3,0,0,'Données projet'!$E$9+1,1))</f>
        <v>406.53547024676948</v>
      </c>
      <c r="T163" s="59">
        <f t="shared" si="142"/>
        <v>534.37689844719353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46.473729338679668</v>
      </c>
      <c r="AA163" s="21">
        <f>EXP(-LN(2)/25)*AA162+(1-EXP(-LN(2)/25))/(LN(2)/25)*Calculateur!V163*Calculateur!X163*VLOOKUP('Données projet'!$B$9,Paramètres!$A$1:$I$89,3,0)*0.475*44/12</f>
        <v>1.3757765289337722</v>
      </c>
      <c r="AB163" s="21">
        <f>EXP(-LN(2)/2)*AB162+(1-EXP(-LN(2)/2))/(LN(2)/2)*V163*Y163*VLOOKUP('Données projet'!$B$9,Paramètres!$A$1:$I$89,3,0)*0.475*44/12</f>
        <v>2.0055586126913119E-20</v>
      </c>
      <c r="AC163" s="22">
        <f t="shared" si="163"/>
        <v>47.849505867613438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337.00791351100759</v>
      </c>
      <c r="AN163" s="59">
        <f ca="1">AVERAGE(OFFSET($AM$3,0,0,'Données projet'!$E$10+1,1))-AVERAGE(OFFSET($H$3,0,0,'Données projet'!$E$10+1,1))</f>
        <v>700.22008320816781</v>
      </c>
      <c r="AO163" s="59">
        <f t="shared" si="144"/>
        <v>253.69632691507996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0.8600000000003547</v>
      </c>
      <c r="O164" s="13">
        <f>N164*VLOOKUP('Données projet'!$B$9,Paramètres!$A$1:$I$89,3,0)*VLOOKUP('Données projet'!$B$9,Paramètres!$A$1:$I$89,5,0)</f>
        <v>0.48074000000019829</v>
      </c>
      <c r="P164" s="13">
        <f t="shared" si="141"/>
        <v>0.24126147010950588</v>
      </c>
      <c r="Q164" s="20">
        <f t="shared" si="162"/>
        <v>1.2574858937744013</v>
      </c>
      <c r="R164" s="59">
        <f t="shared" si="109"/>
        <v>294.59081922710772</v>
      </c>
      <c r="S164" s="59">
        <f ca="1">AVERAGE(OFFSET($R$3,0,0,'Données projet'!$E$9+1,1))-AVERAGE(OFFSET($H$3,0,0,'Données projet'!$E$9+1,1))</f>
        <v>406.53547024676948</v>
      </c>
      <c r="T164" s="59">
        <f t="shared" si="142"/>
        <v>534.37689844719353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45.562407852524103</v>
      </c>
      <c r="AA164" s="21">
        <f>EXP(-LN(2)/25)*AA163+(1-EXP(-LN(2)/25))/(LN(2)/25)*Calculateur!V164*Calculateur!X164*VLOOKUP('Données projet'!$B$9,Paramètres!$A$1:$I$89,3,0)*0.475*44/12</f>
        <v>1.338155847401135</v>
      </c>
      <c r="AB164" s="21">
        <f>EXP(-LN(2)/2)*AB163+(1-EXP(-LN(2)/2))/(LN(2)/2)*V164*Y164*VLOOKUP('Données projet'!$B$9,Paramètres!$A$1:$I$89,3,0)*0.475*44/12</f>
        <v>1.4181440951011112E-20</v>
      </c>
      <c r="AC164" s="22">
        <f t="shared" si="163"/>
        <v>46.900563699925236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337.00791351100759</v>
      </c>
      <c r="AN164" s="59">
        <f ca="1">AVERAGE(OFFSET($AM$3,0,0,'Données projet'!$E$10+1,1))-AVERAGE(OFFSET($H$3,0,0,'Données projet'!$E$10+1,1))</f>
        <v>700.22008320816781</v>
      </c>
      <c r="AO164" s="59">
        <f t="shared" si="144"/>
        <v>253.69632691507996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0.8600000000003547</v>
      </c>
      <c r="O165" s="13">
        <f>N165*VLOOKUP('Données projet'!$B$9,Paramètres!$A$1:$I$89,3,0)*VLOOKUP('Données projet'!$B$9,Paramètres!$A$1:$I$89,5,0)</f>
        <v>0.48074000000019829</v>
      </c>
      <c r="P165" s="13">
        <f t="shared" si="141"/>
        <v>0.24126147010950588</v>
      </c>
      <c r="Q165" s="20">
        <f t="shared" si="162"/>
        <v>1.2574858937744013</v>
      </c>
      <c r="R165" s="59">
        <f t="shared" si="109"/>
        <v>294.59081922710772</v>
      </c>
      <c r="S165" s="59">
        <f ca="1">AVERAGE(OFFSET($R$3,0,0,'Données projet'!$E$9+1,1))-AVERAGE(OFFSET($H$3,0,0,'Données projet'!$E$9+1,1))</f>
        <v>406.53547024676948</v>
      </c>
      <c r="T165" s="59">
        <f t="shared" si="142"/>
        <v>534.37689844719353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44.668956824860828</v>
      </c>
      <c r="AA165" s="21">
        <f>EXP(-LN(2)/25)*AA164+(1-EXP(-LN(2)/25))/(LN(2)/25)*Calculateur!V165*Calculateur!X165*VLOOKUP('Données projet'!$B$9,Paramètres!$A$1:$I$89,3,0)*0.475*44/12</f>
        <v>1.3015639053833934</v>
      </c>
      <c r="AB165" s="21">
        <f>EXP(-LN(2)/2)*AB164+(1-EXP(-LN(2)/2))/(LN(2)/2)*V165*Y165*VLOOKUP('Données projet'!$B$9,Paramètres!$A$1:$I$89,3,0)*0.475*44/12</f>
        <v>1.0027793063456559E-20</v>
      </c>
      <c r="AC165" s="22">
        <f t="shared" si="163"/>
        <v>45.970520730244225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337.00791351100759</v>
      </c>
      <c r="AN165" s="59">
        <f ca="1">AVERAGE(OFFSET($AM$3,0,0,'Données projet'!$E$10+1,1))-AVERAGE(OFFSET($H$3,0,0,'Données projet'!$E$10+1,1))</f>
        <v>700.22008320816781</v>
      </c>
      <c r="AO165" s="59">
        <f t="shared" si="144"/>
        <v>253.69632691507996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0.8600000000003547</v>
      </c>
      <c r="O166" s="13">
        <f>N166*VLOOKUP('Données projet'!$B$9,Paramètres!$A$1:$I$89,3,0)*VLOOKUP('Données projet'!$B$9,Paramètres!$A$1:$I$89,5,0)</f>
        <v>0.48074000000019829</v>
      </c>
      <c r="P166" s="13">
        <f t="shared" si="141"/>
        <v>0.24126147010950588</v>
      </c>
      <c r="Q166" s="20">
        <f t="shared" si="162"/>
        <v>1.2574858937744013</v>
      </c>
      <c r="R166" s="59">
        <f t="shared" si="109"/>
        <v>294.59081922710772</v>
      </c>
      <c r="S166" s="59">
        <f ca="1">AVERAGE(OFFSET($R$3,0,0,'Données projet'!$E$9+1,1))-AVERAGE(OFFSET($H$3,0,0,'Données projet'!$E$9+1,1))</f>
        <v>406.53547024676948</v>
      </c>
      <c r="T166" s="59">
        <f t="shared" si="142"/>
        <v>534.37689844719353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43.793025826898713</v>
      </c>
      <c r="AA166" s="21">
        <f>EXP(-LN(2)/25)*AA165+(1-EXP(-LN(2)/25))/(LN(2)/25)*Calculateur!V166*Calculateur!X166*VLOOKUP('Données projet'!$B$9,Paramètres!$A$1:$I$89,3,0)*0.475*44/12</f>
        <v>1.2659725719444135</v>
      </c>
      <c r="AB166" s="21">
        <f>EXP(-LN(2)/2)*AB165+(1-EXP(-LN(2)/2))/(LN(2)/2)*V166*Y166*VLOOKUP('Données projet'!$B$9,Paramètres!$A$1:$I$89,3,0)*0.475*44/12</f>
        <v>7.0907204755055561E-21</v>
      </c>
      <c r="AC166" s="22">
        <f t="shared" si="163"/>
        <v>45.05899839884313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337.00791351100759</v>
      </c>
      <c r="AN166" s="59">
        <f ca="1">AVERAGE(OFFSET($AM$3,0,0,'Données projet'!$E$10+1,1))-AVERAGE(OFFSET($H$3,0,0,'Données projet'!$E$10+1,1))</f>
        <v>700.22008320816781</v>
      </c>
      <c r="AO166" s="59">
        <f t="shared" si="144"/>
        <v>253.69632691507996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0.8600000000003547</v>
      </c>
      <c r="O167" s="13">
        <f>N167*VLOOKUP('Données projet'!$B$9,Paramètres!$A$1:$I$89,3,0)*VLOOKUP('Données projet'!$B$9,Paramètres!$A$1:$I$89,5,0)</f>
        <v>0.48074000000019829</v>
      </c>
      <c r="P167" s="13">
        <f t="shared" si="141"/>
        <v>0.24126147010950588</v>
      </c>
      <c r="Q167" s="20">
        <f t="shared" si="162"/>
        <v>1.2574858937744013</v>
      </c>
      <c r="R167" s="59">
        <f t="shared" si="109"/>
        <v>294.59081922710772</v>
      </c>
      <c r="S167" s="59">
        <f ca="1">AVERAGE(OFFSET($R$3,0,0,'Données projet'!$E$9+1,1))-AVERAGE(OFFSET($H$3,0,0,'Données projet'!$E$9+1,1))</f>
        <v>406.53547024676948</v>
      </c>
      <c r="T167" s="59">
        <f t="shared" si="142"/>
        <v>534.37689844719353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42.934271301541479</v>
      </c>
      <c r="AA167" s="21">
        <f>EXP(-LN(2)/25)*AA166+(1-EXP(-LN(2)/25))/(LN(2)/25)*Calculateur!V167*Calculateur!X167*VLOOKUP('Données projet'!$B$9,Paramètres!$A$1:$I$89,3,0)*0.475*44/12</f>
        <v>1.2313544853899894</v>
      </c>
      <c r="AB167" s="21">
        <f>EXP(-LN(2)/2)*AB166+(1-EXP(-LN(2)/2))/(LN(2)/2)*V167*Y167*VLOOKUP('Données projet'!$B$9,Paramètres!$A$1:$I$89,3,0)*0.475*44/12</f>
        <v>5.0138965317282796E-21</v>
      </c>
      <c r="AC167" s="22">
        <f t="shared" si="163"/>
        <v>44.165625786931471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337.00791351100759</v>
      </c>
      <c r="AN167" s="59">
        <f ca="1">AVERAGE(OFFSET($AM$3,0,0,'Données projet'!$E$10+1,1))-AVERAGE(OFFSET($H$3,0,0,'Données projet'!$E$10+1,1))</f>
        <v>700.22008320816781</v>
      </c>
      <c r="AO167" s="59">
        <f t="shared" si="144"/>
        <v>253.69632691507996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0.8600000000003547</v>
      </c>
      <c r="O168" s="13">
        <f>N168*VLOOKUP('Données projet'!$B$9,Paramètres!$A$1:$I$89,3,0)*VLOOKUP('Données projet'!$B$9,Paramètres!$A$1:$I$89,5,0)</f>
        <v>0.48074000000019829</v>
      </c>
      <c r="P168" s="13">
        <f t="shared" si="141"/>
        <v>0.24126147010950588</v>
      </c>
      <c r="Q168" s="20">
        <f t="shared" si="162"/>
        <v>1.2574858937744013</v>
      </c>
      <c r="R168" s="59">
        <f t="shared" si="109"/>
        <v>294.59081922710772</v>
      </c>
      <c r="S168" s="59">
        <f ca="1">AVERAGE(OFFSET($R$3,0,0,'Données projet'!$E$9+1,1))-AVERAGE(OFFSET($H$3,0,0,'Données projet'!$E$9+1,1))</f>
        <v>406.53547024676948</v>
      </c>
      <c r="T168" s="59">
        <f t="shared" si="142"/>
        <v>534.37689844719353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42.092356428637963</v>
      </c>
      <c r="AA168" s="21">
        <f>EXP(-LN(2)/25)*AA167+(1-EXP(-LN(2)/25))/(LN(2)/25)*Calculateur!V168*Calculateur!X168*VLOOKUP('Données projet'!$B$9,Paramètres!$A$1:$I$89,3,0)*0.475*44/12</f>
        <v>1.197683032232882</v>
      </c>
      <c r="AB168" s="21">
        <f>EXP(-LN(2)/2)*AB167+(1-EXP(-LN(2)/2))/(LN(2)/2)*V168*Y168*VLOOKUP('Données projet'!$B$9,Paramètres!$A$1:$I$89,3,0)*0.475*44/12</f>
        <v>3.5453602377527781E-21</v>
      </c>
      <c r="AC168" s="22">
        <f t="shared" si="163"/>
        <v>43.290039460870844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337.00791351100759</v>
      </c>
      <c r="AN168" s="59">
        <f ca="1">AVERAGE(OFFSET($AM$3,0,0,'Données projet'!$E$10+1,1))-AVERAGE(OFFSET($H$3,0,0,'Données projet'!$E$10+1,1))</f>
        <v>700.22008320816781</v>
      </c>
      <c r="AO168" s="59">
        <f t="shared" si="144"/>
        <v>253.69632691507996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0.8600000000003547</v>
      </c>
      <c r="O169" s="13">
        <f>N169*VLOOKUP('Données projet'!$B$9,Paramètres!$A$1:$I$89,3,0)*VLOOKUP('Données projet'!$B$9,Paramètres!$A$1:$I$89,5,0)</f>
        <v>0.48074000000019829</v>
      </c>
      <c r="P169" s="13">
        <f t="shared" si="141"/>
        <v>0.24126147010950588</v>
      </c>
      <c r="Q169" s="20">
        <f t="shared" si="162"/>
        <v>1.2574858937744013</v>
      </c>
      <c r="R169" s="59">
        <f t="shared" si="109"/>
        <v>294.59081922710772</v>
      </c>
      <c r="S169" s="59">
        <f ca="1">AVERAGE(OFFSET($R$3,0,0,'Données projet'!$E$9+1,1))-AVERAGE(OFFSET($H$3,0,0,'Données projet'!$E$9+1,1))</f>
        <v>406.53547024676948</v>
      </c>
      <c r="T169" s="59">
        <f t="shared" si="142"/>
        <v>534.37689844719353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41.266950992874719</v>
      </c>
      <c r="AA169" s="21">
        <f>EXP(-LN(2)/25)*AA168+(1-EXP(-LN(2)/25))/(LN(2)/25)*Calculateur!V169*Calculateur!X169*VLOOKUP('Données projet'!$B$9,Paramètres!$A$1:$I$89,3,0)*0.475*44/12</f>
        <v>1.1649323267330605</v>
      </c>
      <c r="AB169" s="21">
        <f>EXP(-LN(2)/2)*AB168+(1-EXP(-LN(2)/2))/(LN(2)/2)*V169*Y169*VLOOKUP('Données projet'!$B$9,Paramètres!$A$1:$I$89,3,0)*0.475*44/12</f>
        <v>2.5069482658641398E-21</v>
      </c>
      <c r="AC169" s="22">
        <f t="shared" si="163"/>
        <v>42.431883319607778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337.00791351100759</v>
      </c>
      <c r="AN169" s="59">
        <f ca="1">AVERAGE(OFFSET($AM$3,0,0,'Données projet'!$E$10+1,1))-AVERAGE(OFFSET($H$3,0,0,'Données projet'!$E$10+1,1))</f>
        <v>700.22008320816781</v>
      </c>
      <c r="AO169" s="59">
        <f t="shared" si="144"/>
        <v>253.69632691507996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0.8600000000003547</v>
      </c>
      <c r="O170" s="13">
        <f>N170*VLOOKUP('Données projet'!$B$9,Paramètres!$A$1:$I$89,3,0)*VLOOKUP('Données projet'!$B$9,Paramètres!$A$1:$I$89,5,0)</f>
        <v>0.48074000000019829</v>
      </c>
      <c r="P170" s="13">
        <f t="shared" si="141"/>
        <v>0.24126147010950588</v>
      </c>
      <c r="Q170" s="20">
        <f t="shared" si="162"/>
        <v>1.2574858937744013</v>
      </c>
      <c r="R170" s="59">
        <f t="shared" si="109"/>
        <v>294.59081922710772</v>
      </c>
      <c r="S170" s="59">
        <f ca="1">AVERAGE(OFFSET($R$3,0,0,'Données projet'!$E$9+1,1))-AVERAGE(OFFSET($H$3,0,0,'Données projet'!$E$9+1,1))</f>
        <v>406.53547024676948</v>
      </c>
      <c r="T170" s="59">
        <f t="shared" si="142"/>
        <v>534.37689844719353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40.457731254259187</v>
      </c>
      <c r="AA170" s="21">
        <f>EXP(-LN(2)/25)*AA169+(1-EXP(-LN(2)/25))/(LN(2)/25)*Calculateur!V170*Calculateur!X170*VLOOKUP('Données projet'!$B$9,Paramètres!$A$1:$I$89,3,0)*0.475*44/12</f>
        <v>1.1330771909974164</v>
      </c>
      <c r="AB170" s="21">
        <f>EXP(-LN(2)/2)*AB169+(1-EXP(-LN(2)/2))/(LN(2)/2)*V170*Y170*VLOOKUP('Données projet'!$B$9,Paramètres!$A$1:$I$89,3,0)*0.475*44/12</f>
        <v>1.772680118876389E-21</v>
      </c>
      <c r="AC170" s="22">
        <f t="shared" si="163"/>
        <v>41.590808445256606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337.00791351100759</v>
      </c>
      <c r="AN170" s="59">
        <f ca="1">AVERAGE(OFFSET($AM$3,0,0,'Données projet'!$E$10+1,1))-AVERAGE(OFFSET($H$3,0,0,'Données projet'!$E$10+1,1))</f>
        <v>700.22008320816781</v>
      </c>
      <c r="AO170" s="59">
        <f t="shared" si="144"/>
        <v>253.69632691507996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0.8600000000003547</v>
      </c>
      <c r="O171" s="13">
        <f>N171*VLOOKUP('Données projet'!$B$9,Paramètres!$A$1:$I$89,3,0)*VLOOKUP('Données projet'!$B$9,Paramètres!$A$1:$I$89,5,0)</f>
        <v>0.48074000000019829</v>
      </c>
      <c r="P171" s="13">
        <f t="shared" si="141"/>
        <v>0.24126147010950588</v>
      </c>
      <c r="Q171" s="20">
        <f t="shared" si="162"/>
        <v>1.2574858937744013</v>
      </c>
      <c r="R171" s="59">
        <f t="shared" si="109"/>
        <v>294.59081922710772</v>
      </c>
      <c r="S171" s="59">
        <f ca="1">AVERAGE(OFFSET($R$3,0,0,'Données projet'!$E$9+1,1))-AVERAGE(OFFSET($H$3,0,0,'Données projet'!$E$9+1,1))</f>
        <v>406.53547024676948</v>
      </c>
      <c r="T171" s="59">
        <f t="shared" si="142"/>
        <v>534.37689844719353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39.664379821142603</v>
      </c>
      <c r="AA171" s="21">
        <f>EXP(-LN(2)/25)*AA170+(1-EXP(-LN(2)/25))/(LN(2)/25)*Calculateur!V171*Calculateur!X171*VLOOKUP('Données projet'!$B$9,Paramètres!$A$1:$I$89,3,0)*0.475*44/12</f>
        <v>1.1020931356236523</v>
      </c>
      <c r="AB171" s="21">
        <f>EXP(-LN(2)/2)*AB170+(1-EXP(-LN(2)/2))/(LN(2)/2)*V171*Y171*VLOOKUP('Données projet'!$B$9,Paramètres!$A$1:$I$89,3,0)*0.475*44/12</f>
        <v>1.2534741329320699E-21</v>
      </c>
      <c r="AC171" s="22">
        <f t="shared" si="163"/>
        <v>40.766472956766258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337.00791351100759</v>
      </c>
      <c r="AN171" s="59">
        <f ca="1">AVERAGE(OFFSET($AM$3,0,0,'Données projet'!$E$10+1,1))-AVERAGE(OFFSET($H$3,0,0,'Données projet'!$E$10+1,1))</f>
        <v>700.22008320816781</v>
      </c>
      <c r="AO171" s="59">
        <f t="shared" si="144"/>
        <v>253.69632691507996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0.8600000000003547</v>
      </c>
      <c r="O172" s="13">
        <f>N172*VLOOKUP('Données projet'!$B$9,Paramètres!$A$1:$I$89,3,0)*VLOOKUP('Données projet'!$B$9,Paramètres!$A$1:$I$89,5,0)</f>
        <v>0.48074000000019829</v>
      </c>
      <c r="P172" s="13">
        <f t="shared" si="141"/>
        <v>0.24126147010950588</v>
      </c>
      <c r="Q172" s="20">
        <f t="shared" si="162"/>
        <v>1.2574858937744013</v>
      </c>
      <c r="R172" s="59">
        <f t="shared" si="109"/>
        <v>294.59081922710772</v>
      </c>
      <c r="S172" s="59">
        <f ca="1">AVERAGE(OFFSET($R$3,0,0,'Données projet'!$E$9+1,1))-AVERAGE(OFFSET($H$3,0,0,'Données projet'!$E$9+1,1))</f>
        <v>406.53547024676948</v>
      </c>
      <c r="T172" s="59">
        <f t="shared" si="142"/>
        <v>534.37689844719353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38.886585525732841</v>
      </c>
      <c r="AA172" s="21">
        <f>EXP(-LN(2)/25)*AA171+(1-EXP(-LN(2)/25))/(LN(2)/25)*Calculateur!V172*Calculateur!X172*VLOOKUP('Données projet'!$B$9,Paramètres!$A$1:$I$89,3,0)*0.475*44/12</f>
        <v>1.0719563408734645</v>
      </c>
      <c r="AB172" s="21">
        <f>EXP(-LN(2)/2)*AB171+(1-EXP(-LN(2)/2))/(LN(2)/2)*V172*Y172*VLOOKUP('Données projet'!$B$9,Paramètres!$A$1:$I$89,3,0)*0.475*44/12</f>
        <v>8.8634005943819451E-22</v>
      </c>
      <c r="AC172" s="22">
        <f t="shared" si="163"/>
        <v>39.958541866606303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337.00791351100759</v>
      </c>
      <c r="AN172" s="59">
        <f ca="1">AVERAGE(OFFSET($AM$3,0,0,'Données projet'!$E$10+1,1))-AVERAGE(OFFSET($H$3,0,0,'Données projet'!$E$10+1,1))</f>
        <v>700.22008320816781</v>
      </c>
      <c r="AO172" s="59">
        <f t="shared" si="144"/>
        <v>253.69632691507996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0.8600000000003547</v>
      </c>
      <c r="O173" s="13">
        <f>N173*VLOOKUP('Données projet'!$B$9,Paramètres!$A$1:$I$89,3,0)*VLOOKUP('Données projet'!$B$9,Paramètres!$A$1:$I$89,5,0)</f>
        <v>0.48074000000019829</v>
      </c>
      <c r="P173" s="13">
        <f t="shared" si="141"/>
        <v>0.24126147010950588</v>
      </c>
      <c r="Q173" s="20">
        <f t="shared" si="162"/>
        <v>1.2574858937744013</v>
      </c>
      <c r="R173" s="59">
        <f t="shared" si="109"/>
        <v>294.59081922710772</v>
      </c>
      <c r="S173" s="59">
        <f ca="1">AVERAGE(OFFSET($R$3,0,0,'Données projet'!$E$9+1,1))-AVERAGE(OFFSET($H$3,0,0,'Données projet'!$E$9+1,1))</f>
        <v>406.53547024676948</v>
      </c>
      <c r="T173" s="59">
        <f t="shared" si="142"/>
        <v>534.37689844719353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38.124043302048385</v>
      </c>
      <c r="AA173" s="21">
        <f>EXP(-LN(2)/25)*AA172+(1-EXP(-LN(2)/25))/(LN(2)/25)*Calculateur!V173*Calculateur!X173*VLOOKUP('Données projet'!$B$9,Paramètres!$A$1:$I$89,3,0)*0.475*44/12</f>
        <v>1.0426436383605455</v>
      </c>
      <c r="AB173" s="21">
        <f>EXP(-LN(2)/2)*AB172+(1-EXP(-LN(2)/2))/(LN(2)/2)*V173*Y173*VLOOKUP('Données projet'!$B$9,Paramètres!$A$1:$I$89,3,0)*0.475*44/12</f>
        <v>6.2673706646603495E-22</v>
      </c>
      <c r="AC173" s="22">
        <f t="shared" si="163"/>
        <v>39.16668694040893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337.00791351100759</v>
      </c>
      <c r="AN173" s="59">
        <f ca="1">AVERAGE(OFFSET($AM$3,0,0,'Données projet'!$E$10+1,1))-AVERAGE(OFFSET($H$3,0,0,'Données projet'!$E$10+1,1))</f>
        <v>700.22008320816781</v>
      </c>
      <c r="AO173" s="59">
        <f t="shared" si="144"/>
        <v>253.69632691507996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0.8600000000003547</v>
      </c>
      <c r="O174" s="13">
        <f>N174*VLOOKUP('Données projet'!$B$9,Paramètres!$A$1:$I$89,3,0)*VLOOKUP('Données projet'!$B$9,Paramètres!$A$1:$I$89,5,0)</f>
        <v>0.48074000000019829</v>
      </c>
      <c r="P174" s="13">
        <f t="shared" si="141"/>
        <v>0.24126147010950588</v>
      </c>
      <c r="Q174" s="20">
        <f t="shared" si="162"/>
        <v>1.2574858937744013</v>
      </c>
      <c r="R174" s="59">
        <f t="shared" si="109"/>
        <v>294.59081922710772</v>
      </c>
      <c r="S174" s="59">
        <f ca="1">AVERAGE(OFFSET($R$3,0,0,'Données projet'!$E$9+1,1))-AVERAGE(OFFSET($H$3,0,0,'Données projet'!$E$9+1,1))</f>
        <v>406.53547024676948</v>
      </c>
      <c r="T174" s="59">
        <f t="shared" si="142"/>
        <v>534.37689844719353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37.376454066265552</v>
      </c>
      <c r="AA174" s="21">
        <f>EXP(-LN(2)/25)*AA173+(1-EXP(-LN(2)/25))/(LN(2)/25)*Calculateur!V174*Calculateur!X174*VLOOKUP('Données projet'!$B$9,Paramètres!$A$1:$I$89,3,0)*0.475*44/12</f>
        <v>1.0141324932393305</v>
      </c>
      <c r="AB174" s="21">
        <f>EXP(-LN(2)/2)*AB173+(1-EXP(-LN(2)/2))/(LN(2)/2)*V174*Y174*VLOOKUP('Données projet'!$B$9,Paramètres!$A$1:$I$89,3,0)*0.475*44/12</f>
        <v>4.4317002971909726E-22</v>
      </c>
      <c r="AC174" s="22">
        <f t="shared" si="163"/>
        <v>38.390586559504882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337.00791351100759</v>
      </c>
      <c r="AN174" s="59">
        <f ca="1">AVERAGE(OFFSET($AM$3,0,0,'Données projet'!$E$10+1,1))-AVERAGE(OFFSET($H$3,0,0,'Données projet'!$E$10+1,1))</f>
        <v>700.22008320816781</v>
      </c>
      <c r="AO174" s="59">
        <f t="shared" si="144"/>
        <v>253.69632691507996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0.8600000000003547</v>
      </c>
      <c r="O175" s="13">
        <f>N175*VLOOKUP('Données projet'!$B$9,Paramètres!$A$1:$I$89,3,0)*VLOOKUP('Données projet'!$B$9,Paramètres!$A$1:$I$89,5,0)</f>
        <v>0.48074000000019829</v>
      </c>
      <c r="P175" s="13">
        <f t="shared" si="141"/>
        <v>0.24126147010950588</v>
      </c>
      <c r="Q175" s="20">
        <f t="shared" si="162"/>
        <v>1.2574858937744013</v>
      </c>
      <c r="R175" s="59">
        <f t="shared" si="109"/>
        <v>294.59081922710772</v>
      </c>
      <c r="S175" s="59">
        <f ca="1">AVERAGE(OFFSET($R$3,0,0,'Données projet'!$E$9+1,1))-AVERAGE(OFFSET($H$3,0,0,'Données projet'!$E$9+1,1))</f>
        <v>406.53547024676948</v>
      </c>
      <c r="T175" s="59">
        <f t="shared" si="142"/>
        <v>534.37689844719353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36.643524599412011</v>
      </c>
      <c r="AA175" s="21">
        <f>EXP(-LN(2)/25)*AA174+(1-EXP(-LN(2)/25))/(LN(2)/25)*Calculateur!V175*Calculateur!X175*VLOOKUP('Données projet'!$B$9,Paramètres!$A$1:$I$89,3,0)*0.475*44/12</f>
        <v>0.98640098688079103</v>
      </c>
      <c r="AB175" s="21">
        <f>EXP(-LN(2)/2)*AB174+(1-EXP(-LN(2)/2))/(LN(2)/2)*V175*Y175*VLOOKUP('Données projet'!$B$9,Paramètres!$A$1:$I$89,3,0)*0.475*44/12</f>
        <v>3.1336853323301748E-22</v>
      </c>
      <c r="AC175" s="22">
        <f t="shared" si="163"/>
        <v>37.629925586292799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337.00791351100759</v>
      </c>
      <c r="AN175" s="59">
        <f ca="1">AVERAGE(OFFSET($AM$3,0,0,'Données projet'!$E$10+1,1))-AVERAGE(OFFSET($H$3,0,0,'Données projet'!$E$10+1,1))</f>
        <v>700.22008320816781</v>
      </c>
      <c r="AO175" s="59">
        <f t="shared" si="144"/>
        <v>253.69632691507996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0.8600000000003547</v>
      </c>
      <c r="O176" s="13">
        <f>N176*VLOOKUP('Données projet'!$B$9,Paramètres!$A$1:$I$89,3,0)*VLOOKUP('Données projet'!$B$9,Paramètres!$A$1:$I$89,5,0)</f>
        <v>0.48074000000019829</v>
      </c>
      <c r="P176" s="13">
        <f t="shared" si="141"/>
        <v>0.24126147010950588</v>
      </c>
      <c r="Q176" s="20">
        <f t="shared" si="162"/>
        <v>1.2574858937744013</v>
      </c>
      <c r="R176" s="59">
        <f t="shared" si="109"/>
        <v>294.59081922710772</v>
      </c>
      <c r="S176" s="59">
        <f ca="1">AVERAGE(OFFSET($R$3,0,0,'Données projet'!$E$9+1,1))-AVERAGE(OFFSET($H$3,0,0,'Données projet'!$E$9+1,1))</f>
        <v>406.53547024676948</v>
      </c>
      <c r="T176" s="59">
        <f t="shared" si="142"/>
        <v>534.37689844719353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35.924967432360631</v>
      </c>
      <c r="AA176" s="21">
        <f>EXP(-LN(2)/25)*AA175+(1-EXP(-LN(2)/25))/(LN(2)/25)*Calculateur!V176*Calculateur!X176*VLOOKUP('Données projet'!$B$9,Paramètres!$A$1:$I$89,3,0)*0.475*44/12</f>
        <v>0.95942780002196237</v>
      </c>
      <c r="AB176" s="21">
        <f>EXP(-LN(2)/2)*AB175+(1-EXP(-LN(2)/2))/(LN(2)/2)*V176*Y176*VLOOKUP('Données projet'!$B$9,Paramètres!$A$1:$I$89,3,0)*0.475*44/12</f>
        <v>2.2158501485954863E-22</v>
      </c>
      <c r="AC176" s="22">
        <f t="shared" si="163"/>
        <v>36.884395232382595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337.00791351100759</v>
      </c>
      <c r="AN176" s="59">
        <f ca="1">AVERAGE(OFFSET($AM$3,0,0,'Données projet'!$E$10+1,1))-AVERAGE(OFFSET($H$3,0,0,'Données projet'!$E$10+1,1))</f>
        <v>700.22008320816781</v>
      </c>
      <c r="AO176" s="59">
        <f t="shared" si="144"/>
        <v>253.69632691507996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0.8600000000003547</v>
      </c>
      <c r="O177" s="13">
        <f>N177*VLOOKUP('Données projet'!$B$9,Paramètres!$A$1:$I$89,3,0)*VLOOKUP('Données projet'!$B$9,Paramètres!$A$1:$I$89,5,0)</f>
        <v>0.48074000000019829</v>
      </c>
      <c r="P177" s="13">
        <f t="shared" si="141"/>
        <v>0.24126147010950588</v>
      </c>
      <c r="Q177" s="20">
        <f t="shared" si="162"/>
        <v>1.2574858937744013</v>
      </c>
      <c r="R177" s="59">
        <f t="shared" si="109"/>
        <v>294.59081922710772</v>
      </c>
      <c r="S177" s="59">
        <f ca="1">AVERAGE(OFFSET($R$3,0,0,'Données projet'!$E$9+1,1))-AVERAGE(OFFSET($H$3,0,0,'Données projet'!$E$9+1,1))</f>
        <v>406.53547024676948</v>
      </c>
      <c r="T177" s="59">
        <f t="shared" si="142"/>
        <v>534.37689844719353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35.220500733078538</v>
      </c>
      <c r="AA177" s="21">
        <f>EXP(-LN(2)/25)*AA176+(1-EXP(-LN(2)/25))/(LN(2)/25)*Calculateur!V177*Calculateur!X177*VLOOKUP('Données projet'!$B$9,Paramètres!$A$1:$I$89,3,0)*0.475*44/12</f>
        <v>0.93319219637624662</v>
      </c>
      <c r="AB177" s="21">
        <f>EXP(-LN(2)/2)*AB176+(1-EXP(-LN(2)/2))/(LN(2)/2)*V177*Y177*VLOOKUP('Données projet'!$B$9,Paramètres!$A$1:$I$89,3,0)*0.475*44/12</f>
        <v>1.5668426661650874E-22</v>
      </c>
      <c r="AC177" s="22">
        <f t="shared" si="163"/>
        <v>36.153692929454785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337.00791351100759</v>
      </c>
      <c r="AN177" s="59">
        <f ca="1">AVERAGE(OFFSET($AM$3,0,0,'Données projet'!$E$10+1,1))-AVERAGE(OFFSET($H$3,0,0,'Données projet'!$E$10+1,1))</f>
        <v>700.22008320816781</v>
      </c>
      <c r="AO177" s="59">
        <f t="shared" si="144"/>
        <v>253.69632691507996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0.8600000000003547</v>
      </c>
      <c r="O178" s="13">
        <f>N178*VLOOKUP('Données projet'!$B$9,Paramètres!$A$1:$I$89,3,0)*VLOOKUP('Données projet'!$B$9,Paramètres!$A$1:$I$89,5,0)</f>
        <v>0.48074000000019829</v>
      </c>
      <c r="P178" s="13">
        <f t="shared" si="141"/>
        <v>0.24126147010950588</v>
      </c>
      <c r="Q178" s="20">
        <f t="shared" si="162"/>
        <v>1.2574858937744013</v>
      </c>
      <c r="R178" s="59">
        <f t="shared" si="109"/>
        <v>294.59081922710772</v>
      </c>
      <c r="S178" s="59">
        <f ca="1">AVERAGE(OFFSET($R$3,0,0,'Données projet'!$E$9+1,1))-AVERAGE(OFFSET($H$3,0,0,'Données projet'!$E$9+1,1))</f>
        <v>406.53547024676948</v>
      </c>
      <c r="T178" s="59">
        <f t="shared" si="142"/>
        <v>534.37689844719353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34.529848196087109</v>
      </c>
      <c r="AA178" s="21">
        <f>EXP(-LN(2)/25)*AA177+(1-EXP(-LN(2)/25))/(LN(2)/25)*Calculateur!V178*Calculateur!X178*VLOOKUP('Données projet'!$B$9,Paramètres!$A$1:$I$89,3,0)*0.475*44/12</f>
        <v>0.90767400669189335</v>
      </c>
      <c r="AB178" s="21">
        <f>EXP(-LN(2)/2)*AB177+(1-EXP(-LN(2)/2))/(LN(2)/2)*V178*Y178*VLOOKUP('Données projet'!$B$9,Paramètres!$A$1:$I$89,3,0)*0.475*44/12</f>
        <v>1.1079250742977431E-22</v>
      </c>
      <c r="AC178" s="22">
        <f t="shared" si="163"/>
        <v>35.437522202779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337.00791351100759</v>
      </c>
      <c r="AN178" s="59">
        <f ca="1">AVERAGE(OFFSET($AM$3,0,0,'Données projet'!$E$10+1,1))-AVERAGE(OFFSET($H$3,0,0,'Données projet'!$E$10+1,1))</f>
        <v>700.22008320816781</v>
      </c>
      <c r="AO178" s="59">
        <f t="shared" si="144"/>
        <v>253.69632691507996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0.8600000000003547</v>
      </c>
      <c r="O179" s="13">
        <f>N179*VLOOKUP('Données projet'!$B$9,Paramètres!$A$1:$I$89,3,0)*VLOOKUP('Données projet'!$B$9,Paramètres!$A$1:$I$89,5,0)</f>
        <v>0.48074000000019829</v>
      </c>
      <c r="P179" s="13">
        <f t="shared" si="141"/>
        <v>0.24126147010950588</v>
      </c>
      <c r="Q179" s="20">
        <f t="shared" si="162"/>
        <v>1.2574858937744013</v>
      </c>
      <c r="R179" s="59">
        <f t="shared" si="109"/>
        <v>294.59081922710772</v>
      </c>
      <c r="S179" s="59">
        <f ca="1">AVERAGE(OFFSET($R$3,0,0,'Données projet'!$E$9+1,1))-AVERAGE(OFFSET($H$3,0,0,'Données projet'!$E$9+1,1))</f>
        <v>406.53547024676948</v>
      </c>
      <c r="T179" s="59">
        <f t="shared" si="142"/>
        <v>534.37689844719353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33.852738934089629</v>
      </c>
      <c r="AA179" s="21">
        <f>EXP(-LN(2)/25)*AA178+(1-EXP(-LN(2)/25))/(LN(2)/25)*Calculateur!V179*Calculateur!X179*VLOOKUP('Données projet'!$B$9,Paramètres!$A$1:$I$89,3,0)*0.475*44/12</f>
        <v>0.88285361324640199</v>
      </c>
      <c r="AB179" s="21">
        <f>EXP(-LN(2)/2)*AB178+(1-EXP(-LN(2)/2))/(LN(2)/2)*V179*Y179*VLOOKUP('Données projet'!$B$9,Paramètres!$A$1:$I$89,3,0)*0.475*44/12</f>
        <v>7.8342133308254369E-23</v>
      </c>
      <c r="AC179" s="22">
        <f t="shared" si="163"/>
        <v>34.735592547336033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337.00791351100759</v>
      </c>
      <c r="AN179" s="59">
        <f ca="1">AVERAGE(OFFSET($AM$3,0,0,'Données projet'!$E$10+1,1))-AVERAGE(OFFSET($H$3,0,0,'Données projet'!$E$10+1,1))</f>
        <v>700.22008320816781</v>
      </c>
      <c r="AO179" s="59">
        <f t="shared" si="144"/>
        <v>253.69632691507996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0.8600000000003547</v>
      </c>
      <c r="O180" s="13">
        <f>N180*VLOOKUP('Données projet'!$B$9,Paramètres!$A$1:$I$89,3,0)*VLOOKUP('Données projet'!$B$9,Paramètres!$A$1:$I$89,5,0)</f>
        <v>0.48074000000019829</v>
      </c>
      <c r="P180" s="13">
        <f t="shared" si="141"/>
        <v>0.24126147010950588</v>
      </c>
      <c r="Q180" s="20">
        <f t="shared" si="162"/>
        <v>1.2574858937744013</v>
      </c>
      <c r="R180" s="59">
        <f t="shared" si="109"/>
        <v>294.59081922710772</v>
      </c>
      <c r="S180" s="59">
        <f ca="1">AVERAGE(OFFSET($R$3,0,0,'Données projet'!$E$9+1,1))-AVERAGE(OFFSET($H$3,0,0,'Données projet'!$E$9+1,1))</f>
        <v>406.53547024676948</v>
      </c>
      <c r="T180" s="59">
        <f t="shared" si="142"/>
        <v>534.37689844719353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33.188907371724049</v>
      </c>
      <c r="AA180" s="21">
        <f>EXP(-LN(2)/25)*AA179+(1-EXP(-LN(2)/25))/(LN(2)/25)*Calculateur!V180*Calculateur!X180*VLOOKUP('Données projet'!$B$9,Paramètres!$A$1:$I$89,3,0)*0.475*44/12</f>
        <v>0.85871193476492536</v>
      </c>
      <c r="AB180" s="21">
        <f>EXP(-LN(2)/2)*AB179+(1-EXP(-LN(2)/2))/(LN(2)/2)*V180*Y180*VLOOKUP('Données projet'!$B$9,Paramètres!$A$1:$I$89,3,0)*0.475*44/12</f>
        <v>5.5396253714887157E-23</v>
      </c>
      <c r="AC180" s="22">
        <f t="shared" si="163"/>
        <v>34.047619306488976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337.00791351100759</v>
      </c>
      <c r="AN180" s="59">
        <f ca="1">AVERAGE(OFFSET($AM$3,0,0,'Données projet'!$E$10+1,1))-AVERAGE(OFFSET($H$3,0,0,'Données projet'!$E$10+1,1))</f>
        <v>700.22008320816781</v>
      </c>
      <c r="AO180" s="59">
        <f t="shared" si="144"/>
        <v>253.69632691507996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0.8600000000003547</v>
      </c>
      <c r="O181" s="13">
        <f>N181*VLOOKUP('Données projet'!$B$9,Paramètres!$A$1:$I$89,3,0)*VLOOKUP('Données projet'!$B$9,Paramètres!$A$1:$I$89,5,0)</f>
        <v>0.48074000000019829</v>
      </c>
      <c r="P181" s="13">
        <f t="shared" si="141"/>
        <v>0.24126147010950588</v>
      </c>
      <c r="Q181" s="20">
        <f t="shared" si="162"/>
        <v>1.2574858937744013</v>
      </c>
      <c r="R181" s="59">
        <f t="shared" si="109"/>
        <v>294.59081922710772</v>
      </c>
      <c r="S181" s="59">
        <f ca="1">AVERAGE(OFFSET($R$3,0,0,'Données projet'!$E$9+1,1))-AVERAGE(OFFSET($H$3,0,0,'Données projet'!$E$9+1,1))</f>
        <v>406.53547024676948</v>
      </c>
      <c r="T181" s="59">
        <f t="shared" si="142"/>
        <v>534.37689844719353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32.538093141399187</v>
      </c>
      <c r="AA181" s="21">
        <f>EXP(-LN(2)/25)*AA180+(1-EXP(-LN(2)/25))/(LN(2)/25)*Calculateur!V181*Calculateur!X181*VLOOKUP('Données projet'!$B$9,Paramètres!$A$1:$I$89,3,0)*0.475*44/12</f>
        <v>0.83523041175108048</v>
      </c>
      <c r="AB181" s="21">
        <f>EXP(-LN(2)/2)*AB180+(1-EXP(-LN(2)/2))/(LN(2)/2)*V181*Y181*VLOOKUP('Données projet'!$B$9,Paramètres!$A$1:$I$89,3,0)*0.475*44/12</f>
        <v>3.9171066654127185E-23</v>
      </c>
      <c r="AC181" s="22">
        <f t="shared" si="163"/>
        <v>33.373323553150271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337.00791351100759</v>
      </c>
      <c r="AN181" s="59">
        <f ca="1">AVERAGE(OFFSET($AM$3,0,0,'Données projet'!$E$10+1,1))-AVERAGE(OFFSET($H$3,0,0,'Données projet'!$E$10+1,1))</f>
        <v>700.22008320816781</v>
      </c>
      <c r="AO181" s="59">
        <f t="shared" si="144"/>
        <v>253.69632691507996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0.8600000000003547</v>
      </c>
      <c r="O182" s="13">
        <f>N182*VLOOKUP('Données projet'!$B$9,Paramètres!$A$1:$I$89,3,0)*VLOOKUP('Données projet'!$B$9,Paramètres!$A$1:$I$89,5,0)</f>
        <v>0.48074000000019829</v>
      </c>
      <c r="P182" s="13">
        <f t="shared" si="141"/>
        <v>0.24126147010950588</v>
      </c>
      <c r="Q182" s="20">
        <f t="shared" si="162"/>
        <v>1.2574858937744013</v>
      </c>
      <c r="R182" s="59">
        <f t="shared" si="109"/>
        <v>294.59081922710772</v>
      </c>
      <c r="S182" s="59">
        <f ca="1">AVERAGE(OFFSET($R$3,0,0,'Données projet'!$E$9+1,1))-AVERAGE(OFFSET($H$3,0,0,'Données projet'!$E$9+1,1))</f>
        <v>406.53547024676948</v>
      </c>
      <c r="T182" s="59">
        <f t="shared" si="142"/>
        <v>534.37689844719353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31.900040981173508</v>
      </c>
      <c r="AA182" s="21">
        <f>EXP(-LN(2)/25)*AA181+(1-EXP(-LN(2)/25))/(LN(2)/25)*Calculateur!V182*Calculateur!X182*VLOOKUP('Données projet'!$B$9,Paramètres!$A$1:$I$89,3,0)*0.475*44/12</f>
        <v>0.81239099221888877</v>
      </c>
      <c r="AB182" s="21">
        <f>EXP(-LN(2)/2)*AB181+(1-EXP(-LN(2)/2))/(LN(2)/2)*V182*Y182*VLOOKUP('Données projet'!$B$9,Paramètres!$A$1:$I$89,3,0)*0.475*44/12</f>
        <v>2.7698126857443579E-23</v>
      </c>
      <c r="AC182" s="22">
        <f t="shared" si="163"/>
        <v>32.712431973392398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337.00791351100759</v>
      </c>
      <c r="AN182" s="59">
        <f ca="1">AVERAGE(OFFSET($AM$3,0,0,'Données projet'!$E$10+1,1))-AVERAGE(OFFSET($H$3,0,0,'Données projet'!$E$10+1,1))</f>
        <v>700.22008320816781</v>
      </c>
      <c r="AO182" s="59">
        <f t="shared" si="144"/>
        <v>253.69632691507996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0.8600000000003547</v>
      </c>
      <c r="O183" s="13">
        <f>N183*VLOOKUP('Données projet'!$B$9,Paramètres!$A$1:$I$89,3,0)*VLOOKUP('Données projet'!$B$9,Paramètres!$A$1:$I$89,5,0)</f>
        <v>0.48074000000019829</v>
      </c>
      <c r="P183" s="13">
        <f t="shared" si="141"/>
        <v>0.24126147010950588</v>
      </c>
      <c r="Q183" s="20">
        <f t="shared" si="162"/>
        <v>1.2574858937744013</v>
      </c>
      <c r="R183" s="59">
        <f t="shared" si="109"/>
        <v>294.59081922710772</v>
      </c>
      <c r="S183" s="59">
        <f ca="1">AVERAGE(OFFSET($R$3,0,0,'Données projet'!$E$9+1,1))-AVERAGE(OFFSET($H$3,0,0,'Données projet'!$E$9+1,1))</f>
        <v>406.53547024676948</v>
      </c>
      <c r="T183" s="59">
        <f t="shared" si="142"/>
        <v>534.37689844719353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31.274500634636464</v>
      </c>
      <c r="AA183" s="21">
        <f>EXP(-LN(2)/25)*AA182+(1-EXP(-LN(2)/25))/(LN(2)/25)*Calculateur!V183*Calculateur!X183*VLOOKUP('Données projet'!$B$9,Paramètres!$A$1:$I$89,3,0)*0.475*44/12</f>
        <v>0.79017611781487773</v>
      </c>
      <c r="AB183" s="21">
        <f>EXP(-LN(2)/2)*AB182+(1-EXP(-LN(2)/2))/(LN(2)/2)*V183*Y183*VLOOKUP('Données projet'!$B$9,Paramètres!$A$1:$I$89,3,0)*0.475*44/12</f>
        <v>1.9585533327063592E-23</v>
      </c>
      <c r="AC183" s="22">
        <f t="shared" si="163"/>
        <v>32.064676752451341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337.00791351100759</v>
      </c>
      <c r="AN183" s="59">
        <f ca="1">AVERAGE(OFFSET($AM$3,0,0,'Données projet'!$E$10+1,1))-AVERAGE(OFFSET($H$3,0,0,'Données projet'!$E$10+1,1))</f>
        <v>700.22008320816781</v>
      </c>
      <c r="AO183" s="59">
        <f t="shared" si="144"/>
        <v>253.69632691507996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0.8600000000003547</v>
      </c>
      <c r="O184" s="13">
        <f>N184*VLOOKUP('Données projet'!$B$9,Paramètres!$A$1:$I$89,3,0)*VLOOKUP('Données projet'!$B$9,Paramètres!$A$1:$I$89,5,0)</f>
        <v>0.48074000000019829</v>
      </c>
      <c r="P184" s="13">
        <f t="shared" si="141"/>
        <v>0.24126147010950588</v>
      </c>
      <c r="Q184" s="20">
        <f t="shared" si="162"/>
        <v>1.2574858937744013</v>
      </c>
      <c r="R184" s="59">
        <f t="shared" si="109"/>
        <v>294.59081922710772</v>
      </c>
      <c r="S184" s="59">
        <f ca="1">AVERAGE(OFFSET($R$3,0,0,'Données projet'!$E$9+1,1))-AVERAGE(OFFSET($H$3,0,0,'Données projet'!$E$9+1,1))</f>
        <v>406.53547024676948</v>
      </c>
      <c r="T184" s="59">
        <f t="shared" si="142"/>
        <v>534.37689844719353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30.661226752753073</v>
      </c>
      <c r="AA184" s="21">
        <f>EXP(-LN(2)/25)*AA183+(1-EXP(-LN(2)/25))/(LN(2)/25)*Calculateur!V184*Calculateur!X184*VLOOKUP('Données projet'!$B$9,Paramètres!$A$1:$I$89,3,0)*0.475*44/12</f>
        <v>0.76856871031967389</v>
      </c>
      <c r="AB184" s="21">
        <f>EXP(-LN(2)/2)*AB183+(1-EXP(-LN(2)/2))/(LN(2)/2)*V184*Y184*VLOOKUP('Données projet'!$B$9,Paramètres!$A$1:$I$89,3,0)*0.475*44/12</f>
        <v>1.3849063428721789E-23</v>
      </c>
      <c r="AC184" s="22">
        <f t="shared" si="163"/>
        <v>31.429795463072747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337.00791351100759</v>
      </c>
      <c r="AN184" s="59">
        <f ca="1">AVERAGE(OFFSET($AM$3,0,0,'Données projet'!$E$10+1,1))-AVERAGE(OFFSET($H$3,0,0,'Données projet'!$E$10+1,1))</f>
        <v>700.22008320816781</v>
      </c>
      <c r="AO184" s="59">
        <f t="shared" si="144"/>
        <v>253.69632691507996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0.8600000000003547</v>
      </c>
      <c r="O185" s="13">
        <f>N185*VLOOKUP('Données projet'!$B$9,Paramètres!$A$1:$I$89,3,0)*VLOOKUP('Données projet'!$B$9,Paramètres!$A$1:$I$89,5,0)</f>
        <v>0.48074000000019829</v>
      </c>
      <c r="P185" s="13">
        <f t="shared" si="141"/>
        <v>0.24126147010950588</v>
      </c>
      <c r="Q185" s="20">
        <f t="shared" si="162"/>
        <v>1.2574858937744013</v>
      </c>
      <c r="R185" s="59">
        <f t="shared" si="109"/>
        <v>294.59081922710772</v>
      </c>
      <c r="S185" s="59">
        <f ca="1">AVERAGE(OFFSET($R$3,0,0,'Données projet'!$E$9+1,1))-AVERAGE(OFFSET($H$3,0,0,'Données projet'!$E$9+1,1))</f>
        <v>406.53547024676948</v>
      </c>
      <c r="T185" s="59">
        <f t="shared" si="142"/>
        <v>534.37689844719353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30.059978797633285</v>
      </c>
      <c r="AA185" s="21">
        <f>EXP(-LN(2)/25)*AA184+(1-EXP(-LN(2)/25))/(LN(2)/25)*Calculateur!V185*Calculateur!X185*VLOOKUP('Données projet'!$B$9,Paramètres!$A$1:$I$89,3,0)*0.475*44/12</f>
        <v>0.74755215851871049</v>
      </c>
      <c r="AB185" s="21">
        <f>EXP(-LN(2)/2)*AB184+(1-EXP(-LN(2)/2))/(LN(2)/2)*V185*Y185*VLOOKUP('Données projet'!$B$9,Paramètres!$A$1:$I$89,3,0)*0.475*44/12</f>
        <v>9.7927666635317962E-24</v>
      </c>
      <c r="AC185" s="22">
        <f t="shared" si="163"/>
        <v>30.807530956151997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337.00791351100759</v>
      </c>
      <c r="AN185" s="59">
        <f ca="1">AVERAGE(OFFSET($AM$3,0,0,'Données projet'!$E$10+1,1))-AVERAGE(OFFSET($H$3,0,0,'Données projet'!$E$10+1,1))</f>
        <v>700.22008320816781</v>
      </c>
      <c r="AO185" s="59">
        <f t="shared" si="144"/>
        <v>253.69632691507996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0.8600000000003547</v>
      </c>
      <c r="O186" s="13">
        <f>N186*VLOOKUP('Données projet'!$B$9,Paramètres!$A$1:$I$89,3,0)*VLOOKUP('Données projet'!$B$9,Paramètres!$A$1:$I$89,5,0)</f>
        <v>0.48074000000019829</v>
      </c>
      <c r="P186" s="13">
        <f t="shared" si="141"/>
        <v>0.24126147010950588</v>
      </c>
      <c r="Q186" s="20">
        <f t="shared" si="162"/>
        <v>1.2574858937744013</v>
      </c>
      <c r="R186" s="59">
        <f t="shared" si="109"/>
        <v>294.59081922710772</v>
      </c>
      <c r="S186" s="59">
        <f ca="1">AVERAGE(OFFSET($R$3,0,0,'Données projet'!$E$9+1,1))-AVERAGE(OFFSET($H$3,0,0,'Données projet'!$E$9+1,1))</f>
        <v>406.53547024676948</v>
      </c>
      <c r="T186" s="59">
        <f t="shared" si="142"/>
        <v>534.37689844719353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29.470520948188355</v>
      </c>
      <c r="AA186" s="21">
        <f>EXP(-LN(2)/25)*AA185+(1-EXP(-LN(2)/25))/(LN(2)/25)*Calculateur!V186*Calculateur!X186*VLOOKUP('Données projet'!$B$9,Paramètres!$A$1:$I$89,3,0)*0.475*44/12</f>
        <v>0.72711030543195687</v>
      </c>
      <c r="AB186" s="21">
        <f>EXP(-LN(2)/2)*AB185+(1-EXP(-LN(2)/2))/(LN(2)/2)*V186*Y186*VLOOKUP('Données projet'!$B$9,Paramètres!$A$1:$I$89,3,0)*0.475*44/12</f>
        <v>6.9245317143608946E-24</v>
      </c>
      <c r="AC186" s="22">
        <f t="shared" si="163"/>
        <v>30.197631253620312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337.00791351100759</v>
      </c>
      <c r="AN186" s="59">
        <f ca="1">AVERAGE(OFFSET($AM$3,0,0,'Données projet'!$E$10+1,1))-AVERAGE(OFFSET($H$3,0,0,'Données projet'!$E$10+1,1))</f>
        <v>700.22008320816781</v>
      </c>
      <c r="AO186" s="59">
        <f t="shared" si="144"/>
        <v>253.69632691507996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0.8600000000003547</v>
      </c>
      <c r="O187" s="13">
        <f>N187*VLOOKUP('Données projet'!$B$9,Paramètres!$A$1:$I$89,3,0)*VLOOKUP('Données projet'!$B$9,Paramètres!$A$1:$I$89,5,0)</f>
        <v>0.48074000000019829</v>
      </c>
      <c r="P187" s="13">
        <f t="shared" si="141"/>
        <v>0.24126147010950588</v>
      </c>
      <c r="Q187" s="20">
        <f t="shared" si="162"/>
        <v>1.2574858937744013</v>
      </c>
      <c r="R187" s="59">
        <f t="shared" si="109"/>
        <v>294.59081922710772</v>
      </c>
      <c r="S187" s="59">
        <f ca="1">AVERAGE(OFFSET($R$3,0,0,'Données projet'!$E$9+1,1))-AVERAGE(OFFSET($H$3,0,0,'Données projet'!$E$9+1,1))</f>
        <v>406.53547024676948</v>
      </c>
      <c r="T187" s="59">
        <f t="shared" si="142"/>
        <v>534.37689844719353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28.89262200763725</v>
      </c>
      <c r="AA187" s="21">
        <f>EXP(-LN(2)/25)*AA186+(1-EXP(-LN(2)/25))/(LN(2)/25)*Calculateur!V187*Calculateur!X187*VLOOKUP('Données projet'!$B$9,Paramètres!$A$1:$I$89,3,0)*0.475*44/12</f>
        <v>0.70722743589285086</v>
      </c>
      <c r="AB187" s="21">
        <f>EXP(-LN(2)/2)*AB186+(1-EXP(-LN(2)/2))/(LN(2)/2)*V187*Y187*VLOOKUP('Données projet'!$B$9,Paramètres!$A$1:$I$89,3,0)*0.475*44/12</f>
        <v>4.8963833317658981E-24</v>
      </c>
      <c r="AC187" s="22">
        <f t="shared" si="163"/>
        <v>29.599849443530101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337.00791351100759</v>
      </c>
      <c r="AN187" s="59">
        <f ca="1">AVERAGE(OFFSET($AM$3,0,0,'Données projet'!$E$10+1,1))-AVERAGE(OFFSET($H$3,0,0,'Données projet'!$E$10+1,1))</f>
        <v>700.22008320816781</v>
      </c>
      <c r="AO187" s="59">
        <f t="shared" si="144"/>
        <v>253.69632691507996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0.8600000000003547</v>
      </c>
      <c r="O188" s="13">
        <f>N188*VLOOKUP('Données projet'!$B$9,Paramètres!$A$1:$I$89,3,0)*VLOOKUP('Données projet'!$B$9,Paramètres!$A$1:$I$89,5,0)</f>
        <v>0.48074000000019829</v>
      </c>
      <c r="P188" s="13">
        <f t="shared" si="141"/>
        <v>0.24126147010950588</v>
      </c>
      <c r="Q188" s="20">
        <f t="shared" si="162"/>
        <v>1.2574858937744013</v>
      </c>
      <c r="R188" s="59">
        <f t="shared" si="109"/>
        <v>294.59081922710772</v>
      </c>
      <c r="S188" s="59">
        <f ca="1">AVERAGE(OFFSET($R$3,0,0,'Données projet'!$E$9+1,1))-AVERAGE(OFFSET($H$3,0,0,'Données projet'!$E$9+1,1))</f>
        <v>406.53547024676948</v>
      </c>
      <c r="T188" s="59">
        <f t="shared" si="142"/>
        <v>534.37689844719353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28.326055312826806</v>
      </c>
      <c r="AA188" s="21">
        <f>EXP(-LN(2)/25)*AA187+(1-EXP(-LN(2)/25))/(LN(2)/25)*Calculateur!V188*Calculateur!X188*VLOOKUP('Données projet'!$B$9,Paramètres!$A$1:$I$89,3,0)*0.475*44/12</f>
        <v>0.68788826446688645</v>
      </c>
      <c r="AB188" s="21">
        <f>EXP(-LN(2)/2)*AB187+(1-EXP(-LN(2)/2))/(LN(2)/2)*V188*Y188*VLOOKUP('Données projet'!$B$9,Paramètres!$A$1:$I$89,3,0)*0.475*44/12</f>
        <v>3.4622658571804473E-24</v>
      </c>
      <c r="AC188" s="22">
        <f t="shared" si="163"/>
        <v>29.013943577293691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337.00791351100759</v>
      </c>
      <c r="AN188" s="59">
        <f ca="1">AVERAGE(OFFSET($AM$3,0,0,'Données projet'!$E$10+1,1))-AVERAGE(OFFSET($H$3,0,0,'Données projet'!$E$10+1,1))</f>
        <v>700.22008320816781</v>
      </c>
      <c r="AO188" s="59">
        <f t="shared" si="144"/>
        <v>253.69632691507996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0.8600000000003547</v>
      </c>
      <c r="O189" s="13">
        <f>N189*VLOOKUP('Données projet'!$B$9,Paramètres!$A$1:$I$89,3,0)*VLOOKUP('Données projet'!$B$9,Paramètres!$A$1:$I$89,5,0)</f>
        <v>0.48074000000019829</v>
      </c>
      <c r="P189" s="13">
        <f t="shared" si="141"/>
        <v>0.24126147010950588</v>
      </c>
      <c r="Q189" s="20">
        <f t="shared" si="162"/>
        <v>1.2574858937744013</v>
      </c>
      <c r="R189" s="59">
        <f t="shared" si="109"/>
        <v>294.59081922710772</v>
      </c>
      <c r="S189" s="59">
        <f ca="1">AVERAGE(OFFSET($R$3,0,0,'Données projet'!$E$9+1,1))-AVERAGE(OFFSET($H$3,0,0,'Données projet'!$E$9+1,1))</f>
        <v>406.53547024676948</v>
      </c>
      <c r="T189" s="59">
        <f t="shared" si="142"/>
        <v>534.37689844719353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27.770598645330033</v>
      </c>
      <c r="AA189" s="21">
        <f>EXP(-LN(2)/25)*AA188+(1-EXP(-LN(2)/25))/(LN(2)/25)*Calculateur!V189*Calculateur!X189*VLOOKUP('Données projet'!$B$9,Paramètres!$A$1:$I$89,3,0)*0.475*44/12</f>
        <v>0.66907792370056784</v>
      </c>
      <c r="AB189" s="21">
        <f>EXP(-LN(2)/2)*AB188+(1-EXP(-LN(2)/2))/(LN(2)/2)*V189*Y189*VLOOKUP('Données projet'!$B$9,Paramètres!$A$1:$I$89,3,0)*0.475*44/12</f>
        <v>2.448191665882949E-24</v>
      </c>
      <c r="AC189" s="22">
        <f t="shared" si="163"/>
        <v>28.439676569030599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337.00791351100759</v>
      </c>
      <c r="AN189" s="59">
        <f ca="1">AVERAGE(OFFSET($AM$3,0,0,'Données projet'!$E$10+1,1))-AVERAGE(OFFSET($H$3,0,0,'Données projet'!$E$10+1,1))</f>
        <v>700.22008320816781</v>
      </c>
      <c r="AO189" s="59">
        <f t="shared" si="144"/>
        <v>253.69632691507996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0.8600000000003547</v>
      </c>
      <c r="O190" s="13">
        <f>N190*VLOOKUP('Données projet'!$B$9,Paramètres!$A$1:$I$89,3,0)*VLOOKUP('Données projet'!$B$9,Paramètres!$A$1:$I$89,5,0)</f>
        <v>0.48074000000019829</v>
      </c>
      <c r="P190" s="13">
        <f t="shared" si="141"/>
        <v>0.24126147010950588</v>
      </c>
      <c r="Q190" s="20">
        <f t="shared" si="162"/>
        <v>1.2574858937744013</v>
      </c>
      <c r="R190" s="59">
        <f t="shared" si="109"/>
        <v>294.59081922710772</v>
      </c>
      <c r="S190" s="59">
        <f ca="1">AVERAGE(OFFSET($R$3,0,0,'Données projet'!$E$9+1,1))-AVERAGE(OFFSET($H$3,0,0,'Données projet'!$E$9+1,1))</f>
        <v>406.53547024676948</v>
      </c>
      <c r="T190" s="59">
        <f t="shared" si="142"/>
        <v>534.37689844719353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27.226034144287755</v>
      </c>
      <c r="AA190" s="21">
        <f>EXP(-LN(2)/25)*AA189+(1-EXP(-LN(2)/25))/(LN(2)/25)*Calculateur!V190*Calculateur!X190*VLOOKUP('Données projet'!$B$9,Paramètres!$A$1:$I$89,3,0)*0.475*44/12</f>
        <v>0.65078195269169703</v>
      </c>
      <c r="AB190" s="21">
        <f>EXP(-LN(2)/2)*AB189+(1-EXP(-LN(2)/2))/(LN(2)/2)*V190*Y190*VLOOKUP('Données projet'!$B$9,Paramètres!$A$1:$I$89,3,0)*0.475*44/12</f>
        <v>1.7311329285902237E-24</v>
      </c>
      <c r="AC190" s="22">
        <f t="shared" si="163"/>
        <v>27.876816096979454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337.00791351100759</v>
      </c>
      <c r="AN190" s="59">
        <f ca="1">AVERAGE(OFFSET($AM$3,0,0,'Données projet'!$E$10+1,1))-AVERAGE(OFFSET($H$3,0,0,'Données projet'!$E$10+1,1))</f>
        <v>700.22008320816781</v>
      </c>
      <c r="AO190" s="59">
        <f t="shared" si="144"/>
        <v>253.69632691507996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0.8600000000003547</v>
      </c>
      <c r="O191" s="13">
        <f>N191*VLOOKUP('Données projet'!$B$9,Paramètres!$A$1:$I$89,3,0)*VLOOKUP('Données projet'!$B$9,Paramètres!$A$1:$I$89,5,0)</f>
        <v>0.48074000000019829</v>
      </c>
      <c r="P191" s="13">
        <f t="shared" si="141"/>
        <v>0.24126147010950588</v>
      </c>
      <c r="Q191" s="20">
        <f t="shared" si="162"/>
        <v>1.2574858937744013</v>
      </c>
      <c r="R191" s="59">
        <f t="shared" si="109"/>
        <v>294.59081922710772</v>
      </c>
      <c r="S191" s="59">
        <f ca="1">AVERAGE(OFFSET($R$3,0,0,'Données projet'!$E$9+1,1))-AVERAGE(OFFSET($H$3,0,0,'Données projet'!$E$9+1,1))</f>
        <v>406.53547024676948</v>
      </c>
      <c r="T191" s="59">
        <f t="shared" si="142"/>
        <v>534.37689844719353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26.692148220959371</v>
      </c>
      <c r="AA191" s="21">
        <f>EXP(-LN(2)/25)*AA190+(1-EXP(-LN(2)/25))/(LN(2)/25)*Calculateur!V191*Calculateur!X191*VLOOKUP('Données projet'!$B$9,Paramètres!$A$1:$I$89,3,0)*0.475*44/12</f>
        <v>0.63298628597220707</v>
      </c>
      <c r="AB191" s="21">
        <f>EXP(-LN(2)/2)*AB190+(1-EXP(-LN(2)/2))/(LN(2)/2)*V191*Y191*VLOOKUP('Données projet'!$B$9,Paramètres!$A$1:$I$89,3,0)*0.475*44/12</f>
        <v>1.2240958329414745E-24</v>
      </c>
      <c r="AC191" s="22">
        <f t="shared" si="163"/>
        <v>27.32513450693158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337.00791351100759</v>
      </c>
      <c r="AN191" s="59">
        <f ca="1">AVERAGE(OFFSET($AM$3,0,0,'Données projet'!$E$10+1,1))-AVERAGE(OFFSET($H$3,0,0,'Données projet'!$E$10+1,1))</f>
        <v>700.22008320816781</v>
      </c>
      <c r="AO191" s="59">
        <f t="shared" si="144"/>
        <v>253.69632691507996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0.8600000000003547</v>
      </c>
      <c r="O192" s="13">
        <f>N192*VLOOKUP('Données projet'!$B$9,Paramètres!$A$1:$I$89,3,0)*VLOOKUP('Données projet'!$B$9,Paramètres!$A$1:$I$89,5,0)</f>
        <v>0.48074000000019829</v>
      </c>
      <c r="P192" s="13">
        <f t="shared" si="141"/>
        <v>0.24126147010950588</v>
      </c>
      <c r="Q192" s="20">
        <f t="shared" si="162"/>
        <v>1.2574858937744013</v>
      </c>
      <c r="R192" s="59">
        <f t="shared" si="109"/>
        <v>294.59081922710772</v>
      </c>
      <c r="S192" s="59">
        <f ca="1">AVERAGE(OFFSET($R$3,0,0,'Données projet'!$E$9+1,1))-AVERAGE(OFFSET($H$3,0,0,'Données projet'!$E$9+1,1))</f>
        <v>406.53547024676948</v>
      </c>
      <c r="T192" s="59">
        <f t="shared" si="142"/>
        <v>534.37689844719353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26.168731474949197</v>
      </c>
      <c r="AA192" s="21">
        <f>EXP(-LN(2)/25)*AA191+(1-EXP(-LN(2)/25))/(LN(2)/25)*Calculateur!V192*Calculateur!X192*VLOOKUP('Données projet'!$B$9,Paramètres!$A$1:$I$89,3,0)*0.475*44/12</f>
        <v>0.61567724269499502</v>
      </c>
      <c r="AB192" s="21">
        <f>EXP(-LN(2)/2)*AB191+(1-EXP(-LN(2)/2))/(LN(2)/2)*V192*Y192*VLOOKUP('Données projet'!$B$9,Paramètres!$A$1:$I$89,3,0)*0.475*44/12</f>
        <v>8.6556646429511183E-25</v>
      </c>
      <c r="AC192" s="22">
        <f t="shared" si="163"/>
        <v>26.784408717644194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337.00791351100759</v>
      </c>
      <c r="AN192" s="59">
        <f ca="1">AVERAGE(OFFSET($AM$3,0,0,'Données projet'!$E$10+1,1))-AVERAGE(OFFSET($H$3,0,0,'Données projet'!$E$10+1,1))</f>
        <v>700.22008320816781</v>
      </c>
      <c r="AO192" s="59">
        <f t="shared" si="144"/>
        <v>253.69632691507996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0.8600000000003547</v>
      </c>
      <c r="O193" s="13">
        <f>N193*VLOOKUP('Données projet'!$B$9,Paramètres!$A$1:$I$89,3,0)*VLOOKUP('Données projet'!$B$9,Paramètres!$A$1:$I$89,5,0)</f>
        <v>0.48074000000019829</v>
      </c>
      <c r="P193" s="13">
        <f t="shared" si="141"/>
        <v>0.24126147010950588</v>
      </c>
      <c r="Q193" s="20">
        <f t="shared" si="162"/>
        <v>1.2574858937744013</v>
      </c>
      <c r="R193" s="59">
        <f t="shared" si="109"/>
        <v>294.59081922710772</v>
      </c>
      <c r="S193" s="59">
        <f ca="1">AVERAGE(OFFSET($R$3,0,0,'Données projet'!$E$9+1,1))-AVERAGE(OFFSET($H$3,0,0,'Données projet'!$E$9+1,1))</f>
        <v>406.53547024676948</v>
      </c>
      <c r="T193" s="59">
        <f t="shared" si="142"/>
        <v>534.37689844719353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25.65557861207559</v>
      </c>
      <c r="AA193" s="21">
        <f>EXP(-LN(2)/25)*AA192+(1-EXP(-LN(2)/25))/(LN(2)/25)*Calculateur!V193*Calculateur!X193*VLOOKUP('Données projet'!$B$9,Paramètres!$A$1:$I$89,3,0)*0.475*44/12</f>
        <v>0.59884151611644132</v>
      </c>
      <c r="AB193" s="21">
        <f>EXP(-LN(2)/2)*AB192+(1-EXP(-LN(2)/2))/(LN(2)/2)*V193*Y193*VLOOKUP('Données projet'!$B$9,Paramètres!$A$1:$I$89,3,0)*0.475*44/12</f>
        <v>6.1204791647073726E-25</v>
      </c>
      <c r="AC193" s="22">
        <f t="shared" si="163"/>
        <v>26.254420128192031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337.00791351100759</v>
      </c>
      <c r="AN193" s="59">
        <f ca="1">AVERAGE(OFFSET($AM$3,0,0,'Données projet'!$E$10+1,1))-AVERAGE(OFFSET($H$3,0,0,'Données projet'!$E$10+1,1))</f>
        <v>700.22008320816781</v>
      </c>
      <c r="AO193" s="59">
        <f t="shared" si="144"/>
        <v>253.69632691507996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0.8600000000003547</v>
      </c>
      <c r="O194" s="13">
        <f>N194*VLOOKUP('Données projet'!$B$9,Paramètres!$A$1:$I$89,3,0)*VLOOKUP('Données projet'!$B$9,Paramètres!$A$1:$I$89,5,0)</f>
        <v>0.48074000000019829</v>
      </c>
      <c r="P194" s="13">
        <f t="shared" si="141"/>
        <v>0.24126147010950588</v>
      </c>
      <c r="Q194" s="20">
        <f t="shared" si="162"/>
        <v>1.2574858937744013</v>
      </c>
      <c r="R194" s="59">
        <f t="shared" si="109"/>
        <v>294.59081922710772</v>
      </c>
      <c r="S194" s="59">
        <f ca="1">AVERAGE(OFFSET($R$3,0,0,'Données projet'!$E$9+1,1))-AVERAGE(OFFSET($H$3,0,0,'Données projet'!$E$9+1,1))</f>
        <v>406.53547024676948</v>
      </c>
      <c r="T194" s="59">
        <f t="shared" si="142"/>
        <v>534.37689844719353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25.152488363850594</v>
      </c>
      <c r="AA194" s="21">
        <f>EXP(-LN(2)/25)*AA193+(1-EXP(-LN(2)/25))/(LN(2)/25)*Calculateur!V194*Calculateur!X194*VLOOKUP('Données projet'!$B$9,Paramètres!$A$1:$I$89,3,0)*0.475*44/12</f>
        <v>0.58246616336653056</v>
      </c>
      <c r="AB194" s="21">
        <f>EXP(-LN(2)/2)*AB193+(1-EXP(-LN(2)/2))/(LN(2)/2)*V194*Y194*VLOOKUP('Données projet'!$B$9,Paramètres!$A$1:$I$89,3,0)*0.475*44/12</f>
        <v>4.3278323214755591E-25</v>
      </c>
      <c r="AC194" s="22">
        <f t="shared" si="163"/>
        <v>25.734954527217123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337.00791351100759</v>
      </c>
      <c r="AN194" s="59">
        <f ca="1">AVERAGE(OFFSET($AM$3,0,0,'Données projet'!$E$10+1,1))-AVERAGE(OFFSET($H$3,0,0,'Données projet'!$E$10+1,1))</f>
        <v>700.22008320816781</v>
      </c>
      <c r="AO194" s="59">
        <f t="shared" si="144"/>
        <v>253.69632691507996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0.8600000000003547</v>
      </c>
      <c r="O195" s="13">
        <f>N195*VLOOKUP('Données projet'!$B$9,Paramètres!$A$1:$I$89,3,0)*VLOOKUP('Données projet'!$B$9,Paramètres!$A$1:$I$89,5,0)</f>
        <v>0.48074000000019829</v>
      </c>
      <c r="P195" s="13">
        <f t="shared" si="141"/>
        <v>0.24126147010950588</v>
      </c>
      <c r="Q195" s="20">
        <f t="shared" si="162"/>
        <v>1.2574858937744013</v>
      </c>
      <c r="R195" s="59">
        <f t="shared" ref="R195:R203" si="191">Q195+(I195+J195)*44/12</f>
        <v>294.59081922710772</v>
      </c>
      <c r="S195" s="59">
        <f ca="1">AVERAGE(OFFSET($R$3,0,0,'Données projet'!$E$9+1,1))-AVERAGE(OFFSET($H$3,0,0,'Données projet'!$E$9+1,1))</f>
        <v>406.53547024676948</v>
      </c>
      <c r="T195" s="59">
        <f t="shared" si="142"/>
        <v>534.37689844719353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24.659263408538539</v>
      </c>
      <c r="AA195" s="21">
        <f>EXP(-LN(2)/25)*AA194+(1-EXP(-LN(2)/25))/(LN(2)/25)*Calculateur!V195*Calculateur!X195*VLOOKUP('Données projet'!$B$9,Paramètres!$A$1:$I$89,3,0)*0.475*44/12</f>
        <v>0.56653859549870855</v>
      </c>
      <c r="AB195" s="21">
        <f>EXP(-LN(2)/2)*AB194+(1-EXP(-LN(2)/2))/(LN(2)/2)*V195*Y195*VLOOKUP('Données projet'!$B$9,Paramètres!$A$1:$I$89,3,0)*0.475*44/12</f>
        <v>3.0602395823536863E-25</v>
      </c>
      <c r="AC195" s="22">
        <f t="shared" si="163"/>
        <v>25.225802004037249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337.00791351100759</v>
      </c>
      <c r="AN195" s="59">
        <f ca="1">AVERAGE(OFFSET($AM$3,0,0,'Données projet'!$E$10+1,1))-AVERAGE(OFFSET($H$3,0,0,'Données projet'!$E$10+1,1))</f>
        <v>700.22008320816781</v>
      </c>
      <c r="AO195" s="59">
        <f t="shared" si="144"/>
        <v>253.69632691507996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0.8600000000003547</v>
      </c>
      <c r="O196" s="13">
        <f>N196*VLOOKUP('Données projet'!$B$9,Paramètres!$A$1:$I$89,3,0)*VLOOKUP('Données projet'!$B$9,Paramètres!$A$1:$I$89,5,0)</f>
        <v>0.48074000000019829</v>
      </c>
      <c r="P196" s="13">
        <f t="shared" si="141"/>
        <v>0.24126147010950588</v>
      </c>
      <c r="Q196" s="20">
        <f t="shared" si="162"/>
        <v>1.2574858937744013</v>
      </c>
      <c r="R196" s="59">
        <f t="shared" si="191"/>
        <v>294.59081922710772</v>
      </c>
      <c r="S196" s="59">
        <f ca="1">AVERAGE(OFFSET($R$3,0,0,'Données projet'!$E$9+1,1))-AVERAGE(OFFSET($H$3,0,0,'Données projet'!$E$9+1,1))</f>
        <v>406.53547024676948</v>
      </c>
      <c r="T196" s="59">
        <f t="shared" si="142"/>
        <v>534.37689844719353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24.175710293762634</v>
      </c>
      <c r="AA196" s="21">
        <f>EXP(-LN(2)/25)*AA195+(1-EXP(-LN(2)/25))/(LN(2)/25)*Calculateur!V196*Calculateur!X196*VLOOKUP('Données projet'!$B$9,Paramètres!$A$1:$I$89,3,0)*0.475*44/12</f>
        <v>0.55104656781182648</v>
      </c>
      <c r="AB196" s="21">
        <f>EXP(-LN(2)/2)*AB195+(1-EXP(-LN(2)/2))/(LN(2)/2)*V196*Y196*VLOOKUP('Données projet'!$B$9,Paramètres!$A$1:$I$89,3,0)*0.475*44/12</f>
        <v>2.1639161607377796E-25</v>
      </c>
      <c r="AC196" s="22">
        <f t="shared" si="163"/>
        <v>24.726756861574462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337.00791351100759</v>
      </c>
      <c r="AN196" s="59">
        <f ca="1">AVERAGE(OFFSET($AM$3,0,0,'Données projet'!$E$10+1,1))-AVERAGE(OFFSET($H$3,0,0,'Données projet'!$E$10+1,1))</f>
        <v>700.22008320816781</v>
      </c>
      <c r="AO196" s="59">
        <f t="shared" si="144"/>
        <v>253.69632691507996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0.8600000000003547</v>
      </c>
      <c r="O197" s="13">
        <f>N197*VLOOKUP('Données projet'!$B$9,Paramètres!$A$1:$I$89,3,0)*VLOOKUP('Données projet'!$B$9,Paramètres!$A$1:$I$89,5,0)</f>
        <v>0.48074000000019829</v>
      </c>
      <c r="P197" s="13">
        <f t="shared" ref="P197:P203" si="203">EXP(-1.0587+0.8836*LN(O197)+0.284)</f>
        <v>0.24126147010950588</v>
      </c>
      <c r="Q197" s="20">
        <f t="shared" si="162"/>
        <v>1.2574858937744013</v>
      </c>
      <c r="R197" s="59">
        <f t="shared" si="191"/>
        <v>294.59081922710772</v>
      </c>
      <c r="S197" s="59">
        <f ca="1">AVERAGE(OFFSET($R$3,0,0,'Données projet'!$E$9+1,1))-AVERAGE(OFFSET($H$3,0,0,'Données projet'!$E$9+1,1))</f>
        <v>406.53547024676948</v>
      </c>
      <c r="T197" s="59">
        <f t="shared" ref="T197:T203" si="204">$T$3</f>
        <v>534.37689844719353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23.701639360629208</v>
      </c>
      <c r="AA197" s="21">
        <f>EXP(-LN(2)/25)*AA196+(1-EXP(-LN(2)/25))/(LN(2)/25)*Calculateur!V197*Calculateur!X197*VLOOKUP('Données projet'!$B$9,Paramètres!$A$1:$I$89,3,0)*0.475*44/12</f>
        <v>0.53597817043673257</v>
      </c>
      <c r="AB197" s="21">
        <f>EXP(-LN(2)/2)*AB196+(1-EXP(-LN(2)/2))/(LN(2)/2)*V197*Y197*VLOOKUP('Données projet'!$B$9,Paramètres!$A$1:$I$89,3,0)*0.475*44/12</f>
        <v>1.5301197911768432E-25</v>
      </c>
      <c r="AC197" s="22">
        <f t="shared" si="163"/>
        <v>24.23761753106594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337.00791351100759</v>
      </c>
      <c r="AN197" s="59">
        <f ca="1">AVERAGE(OFFSET($AM$3,0,0,'Données projet'!$E$10+1,1))-AVERAGE(OFFSET($H$3,0,0,'Données projet'!$E$10+1,1))</f>
        <v>700.22008320816781</v>
      </c>
      <c r="AO197" s="59">
        <f t="shared" ref="AO197:AO203" si="205">$AO$3</f>
        <v>253.69632691507996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0.8600000000003547</v>
      </c>
      <c r="O198" s="13">
        <f>N198*VLOOKUP('Données projet'!$B$9,Paramètres!$A$1:$I$89,3,0)*VLOOKUP('Données projet'!$B$9,Paramètres!$A$1:$I$89,5,0)</f>
        <v>0.48074000000019829</v>
      </c>
      <c r="P198" s="13">
        <f t="shared" si="203"/>
        <v>0.24126147010950588</v>
      </c>
      <c r="Q198" s="20">
        <f t="shared" si="162"/>
        <v>1.2574858937744013</v>
      </c>
      <c r="R198" s="59">
        <f t="shared" si="191"/>
        <v>294.59081922710772</v>
      </c>
      <c r="S198" s="59">
        <f ca="1">AVERAGE(OFFSET($R$3,0,0,'Données projet'!$E$9+1,1))-AVERAGE(OFFSET($H$3,0,0,'Données projet'!$E$9+1,1))</f>
        <v>406.53547024676948</v>
      </c>
      <c r="T198" s="59">
        <f t="shared" si="204"/>
        <v>534.37689844719353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23.236864669339813</v>
      </c>
      <c r="AA198" s="21">
        <f>EXP(-LN(2)/25)*AA197+(1-EXP(-LN(2)/25))/(LN(2)/25)*Calculateur!V198*Calculateur!X198*VLOOKUP('Données projet'!$B$9,Paramètres!$A$1:$I$89,3,0)*0.475*44/12</f>
        <v>0.52132181918027309</v>
      </c>
      <c r="AB198" s="21">
        <f>EXP(-LN(2)/2)*AB197+(1-EXP(-LN(2)/2))/(LN(2)/2)*V198*Y198*VLOOKUP('Données projet'!$B$9,Paramètres!$A$1:$I$89,3,0)*0.475*44/12</f>
        <v>1.0819580803688898E-25</v>
      </c>
      <c r="AC198" s="22">
        <f t="shared" si="163"/>
        <v>23.758186488520085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337.00791351100759</v>
      </c>
      <c r="AN198" s="59">
        <f ca="1">AVERAGE(OFFSET($AM$3,0,0,'Données projet'!$E$10+1,1))-AVERAGE(OFFSET($H$3,0,0,'Données projet'!$E$10+1,1))</f>
        <v>700.22008320816781</v>
      </c>
      <c r="AO198" s="59">
        <f t="shared" si="205"/>
        <v>253.69632691507996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0.8600000000003547</v>
      </c>
      <c r="O199" s="13">
        <f>N199*VLOOKUP('Données projet'!$B$9,Paramètres!$A$1:$I$89,3,0)*VLOOKUP('Données projet'!$B$9,Paramètres!$A$1:$I$89,5,0)</f>
        <v>0.48074000000019829</v>
      </c>
      <c r="P199" s="13">
        <f t="shared" si="203"/>
        <v>0.24126147010950588</v>
      </c>
      <c r="Q199" s="20">
        <f t="shared" si="162"/>
        <v>1.2574858937744013</v>
      </c>
      <c r="R199" s="59">
        <f t="shared" si="191"/>
        <v>294.59081922710772</v>
      </c>
      <c r="S199" s="59">
        <f ca="1">AVERAGE(OFFSET($R$3,0,0,'Données projet'!$E$9+1,1))-AVERAGE(OFFSET($H$3,0,0,'Données projet'!$E$9+1,1))</f>
        <v>406.53547024676948</v>
      </c>
      <c r="T199" s="59">
        <f t="shared" si="204"/>
        <v>534.37689844719353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22.78120392626203</v>
      </c>
      <c r="AA199" s="21">
        <f>EXP(-LN(2)/25)*AA198+(1-EXP(-LN(2)/25))/(LN(2)/25)*Calculateur!V199*Calculateur!X199*VLOOKUP('Données projet'!$B$9,Paramètres!$A$1:$I$89,3,0)*0.475*44/12</f>
        <v>0.50706624661966559</v>
      </c>
      <c r="AB199" s="21">
        <f>EXP(-LN(2)/2)*AB198+(1-EXP(-LN(2)/2))/(LN(2)/2)*V199*Y199*VLOOKUP('Données projet'!$B$9,Paramètres!$A$1:$I$89,3,0)*0.475*44/12</f>
        <v>7.6505989558842158E-26</v>
      </c>
      <c r="AC199" s="22">
        <f t="shared" si="163"/>
        <v>23.288270172881695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337.00791351100759</v>
      </c>
      <c r="AN199" s="59">
        <f ca="1">AVERAGE(OFFSET($AM$3,0,0,'Données projet'!$E$10+1,1))-AVERAGE(OFFSET($H$3,0,0,'Données projet'!$E$10+1,1))</f>
        <v>700.22008320816781</v>
      </c>
      <c r="AO199" s="59">
        <f t="shared" si="205"/>
        <v>253.69632691507996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0.8600000000003547</v>
      </c>
      <c r="O200" s="13">
        <f>N200*VLOOKUP('Données projet'!$B$9,Paramètres!$A$1:$I$89,3,0)*VLOOKUP('Données projet'!$B$9,Paramètres!$A$1:$I$89,5,0)</f>
        <v>0.48074000000019829</v>
      </c>
      <c r="P200" s="13">
        <f t="shared" si="203"/>
        <v>0.24126147010950588</v>
      </c>
      <c r="Q200" s="20">
        <f t="shared" si="162"/>
        <v>1.2574858937744013</v>
      </c>
      <c r="R200" s="59">
        <f t="shared" si="191"/>
        <v>294.59081922710772</v>
      </c>
      <c r="S200" s="59">
        <f ca="1">AVERAGE(OFFSET($R$3,0,0,'Données projet'!$E$9+1,1))-AVERAGE(OFFSET($H$3,0,0,'Données projet'!$E$9+1,1))</f>
        <v>406.53547024676948</v>
      </c>
      <c r="T200" s="59">
        <f t="shared" si="204"/>
        <v>534.37689844719353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22.334478412430393</v>
      </c>
      <c r="AA200" s="21">
        <f>EXP(-LN(2)/25)*AA199+(1-EXP(-LN(2)/25))/(LN(2)/25)*Calculateur!V200*Calculateur!X200*VLOOKUP('Données projet'!$B$9,Paramètres!$A$1:$I$89,3,0)*0.475*44/12</f>
        <v>0.49320049344039585</v>
      </c>
      <c r="AB200" s="21">
        <f>EXP(-LN(2)/2)*AB199+(1-EXP(-LN(2)/2))/(LN(2)/2)*V200*Y200*VLOOKUP('Données projet'!$B$9,Paramètres!$A$1:$I$89,3,0)*0.475*44/12</f>
        <v>5.4097904018444489E-26</v>
      </c>
      <c r="AC200" s="22">
        <f t="shared" si="163"/>
        <v>22.827678905870787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337.00791351100759</v>
      </c>
      <c r="AN200" s="59">
        <f ca="1">AVERAGE(OFFSET($AM$3,0,0,'Données projet'!$E$10+1,1))-AVERAGE(OFFSET($H$3,0,0,'Données projet'!$E$10+1,1))</f>
        <v>700.22008320816781</v>
      </c>
      <c r="AO200" s="59">
        <f t="shared" si="205"/>
        <v>253.69632691507996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0.8600000000003547</v>
      </c>
      <c r="O201" s="13">
        <f>N201*VLOOKUP('Données projet'!$B$9,Paramètres!$A$1:$I$89,3,0)*VLOOKUP('Données projet'!$B$9,Paramètres!$A$1:$I$89,5,0)</f>
        <v>0.48074000000019829</v>
      </c>
      <c r="P201" s="13">
        <f t="shared" si="203"/>
        <v>0.24126147010950588</v>
      </c>
      <c r="Q201" s="20">
        <f t="shared" si="162"/>
        <v>1.2574858937744013</v>
      </c>
      <c r="R201" s="59">
        <f t="shared" si="191"/>
        <v>294.59081922710772</v>
      </c>
      <c r="S201" s="59">
        <f ca="1">AVERAGE(OFFSET($R$3,0,0,'Données projet'!$E$9+1,1))-AVERAGE(OFFSET($H$3,0,0,'Données projet'!$E$9+1,1))</f>
        <v>406.53547024676948</v>
      </c>
      <c r="T201" s="59">
        <f t="shared" si="204"/>
        <v>534.37689844719353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21.896512913449335</v>
      </c>
      <c r="AA201" s="21">
        <f>EXP(-LN(2)/25)*AA200+(1-EXP(-LN(2)/25))/(LN(2)/25)*Calculateur!V201*Calculateur!X201*VLOOKUP('Données projet'!$B$9,Paramètres!$A$1:$I$89,3,0)*0.475*44/12</f>
        <v>0.47971390001098152</v>
      </c>
      <c r="AB201" s="21">
        <f>EXP(-LN(2)/2)*AB200+(1-EXP(-LN(2)/2))/(LN(2)/2)*V201*Y201*VLOOKUP('Données projet'!$B$9,Paramètres!$A$1:$I$89,3,0)*0.475*44/12</f>
        <v>3.8252994779421079E-26</v>
      </c>
      <c r="AC201" s="22">
        <f t="shared" si="163"/>
        <v>22.376226813460317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337.00791351100759</v>
      </c>
      <c r="AN201" s="59">
        <f ca="1">AVERAGE(OFFSET($AM$3,0,0,'Données projet'!$E$10+1,1))-AVERAGE(OFFSET($H$3,0,0,'Données projet'!$E$10+1,1))</f>
        <v>700.22008320816781</v>
      </c>
      <c r="AO201" s="59">
        <f t="shared" si="205"/>
        <v>253.69632691507996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0.8600000000003547</v>
      </c>
      <c r="O202" s="13">
        <f>N202*VLOOKUP('Données projet'!$B$9,Paramètres!$A$1:$I$89,3,0)*VLOOKUP('Données projet'!$B$9,Paramètres!$A$1:$I$89,5,0)</f>
        <v>0.48074000000019829</v>
      </c>
      <c r="P202" s="13">
        <f t="shared" si="203"/>
        <v>0.24126147010950588</v>
      </c>
      <c r="Q202" s="20">
        <f t="shared" si="162"/>
        <v>1.2574858937744013</v>
      </c>
      <c r="R202" s="59">
        <f t="shared" si="191"/>
        <v>294.59081922710772</v>
      </c>
      <c r="S202" s="59">
        <f ca="1">AVERAGE(OFFSET($R$3,0,0,'Données projet'!$E$9+1,1))-AVERAGE(OFFSET($H$3,0,0,'Données projet'!$E$9+1,1))</f>
        <v>406.53547024676948</v>
      </c>
      <c r="T202" s="59">
        <f t="shared" si="204"/>
        <v>534.37689844719353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21.467135650770718</v>
      </c>
      <c r="AA202" s="21">
        <f>EXP(-LN(2)/25)*AA201+(1-EXP(-LN(2)/25))/(LN(2)/25)*Calculateur!V202*Calculateur!X202*VLOOKUP('Données projet'!$B$9,Paramètres!$A$1:$I$89,3,0)*0.475*44/12</f>
        <v>0.46659609818812364</v>
      </c>
      <c r="AB202" s="21">
        <f>EXP(-LN(2)/2)*AB201+(1-EXP(-LN(2)/2))/(LN(2)/2)*V202*Y202*VLOOKUP('Données projet'!$B$9,Paramètres!$A$1:$I$89,3,0)*0.475*44/12</f>
        <v>2.7048952009222245E-26</v>
      </c>
      <c r="AC202" s="22">
        <f t="shared" si="163"/>
        <v>21.933731748958841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337.00791351100759</v>
      </c>
      <c r="AN202" s="59">
        <f ca="1">AVERAGE(OFFSET($AM$3,0,0,'Données projet'!$E$10+1,1))-AVERAGE(OFFSET($H$3,0,0,'Données projet'!$E$10+1,1))</f>
        <v>700.22008320816781</v>
      </c>
      <c r="AO202" s="59">
        <f t="shared" si="205"/>
        <v>253.69632691507996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0.8600000000003547</v>
      </c>
      <c r="O203" s="13">
        <f>N203*VLOOKUP('Données projet'!$B$9,Paramètres!$A$1:$I$89,3,0)*VLOOKUP('Données projet'!$B$9,Paramètres!$A$1:$I$89,5,0)</f>
        <v>0.48074000000019829</v>
      </c>
      <c r="P203" s="13">
        <f t="shared" si="203"/>
        <v>0.24126147010950588</v>
      </c>
      <c r="Q203" s="20">
        <f t="shared" si="162"/>
        <v>1.2574858937744013</v>
      </c>
      <c r="R203" s="59">
        <f t="shared" si="191"/>
        <v>294.59081922710772</v>
      </c>
      <c r="S203" s="59">
        <f ca="1">AVERAGE(OFFSET($R$3,0,0,'Données projet'!$E$9+1,1))-AVERAGE(OFFSET($H$3,0,0,'Données projet'!$E$9+1,1))</f>
        <v>406.53547024676948</v>
      </c>
      <c r="T203" s="59">
        <f t="shared" si="204"/>
        <v>534.37689844719353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21.04617821431896</v>
      </c>
      <c r="AA203" s="21">
        <f>EXP(-LN(2)/25)*AA202+(1-EXP(-LN(2)/25))/(LN(2)/25)*Calculateur!V203*Calculateur!X203*VLOOKUP('Données projet'!$B$9,Paramètres!$A$1:$I$89,3,0)*0.475*44/12</f>
        <v>0.45383700334594701</v>
      </c>
      <c r="AB203" s="21">
        <f>EXP(-LN(2)/2)*AB202+(1-EXP(-LN(2)/2))/(LN(2)/2)*V203*Y203*VLOOKUP('Données projet'!$B$9,Paramètres!$A$1:$I$89,3,0)*0.475*44/12</f>
        <v>1.9126497389710539E-26</v>
      </c>
      <c r="AC203" s="22">
        <f t="shared" si="163"/>
        <v>21.500015217664906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337.00791351100759</v>
      </c>
      <c r="AN203" s="59">
        <f ca="1">AVERAGE(OFFSET($AM$3,0,0,'Données projet'!$E$10+1,1))-AVERAGE(OFFSET($H$3,0,0,'Données projet'!$E$10+1,1))</f>
        <v>700.22008320816781</v>
      </c>
      <c r="AO203" s="59">
        <f t="shared" si="205"/>
        <v>253.69632691507996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1.3540417154604885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1.1690615876247106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1.456249999932</v>
      </c>
      <c r="C6" s="145">
        <f ca="1">IF(OR('Données projet'!B9="",'Données projet'!C9="",'Données projet'!C9=0%),0,Calculateur!S3)</f>
        <v>406.53547024676948</v>
      </c>
      <c r="D6" s="145">
        <f>IF(OR('Données projet'!B9="",'Données projet'!C9="",'Données projet'!C9=0%),0,Calculateur!T3)</f>
        <v>534.37689844719353</v>
      </c>
      <c r="E6" s="145">
        <f ca="1">MIN(C6,D6)</f>
        <v>406.53547024676948</v>
      </c>
      <c r="F6" s="145">
        <f ca="1">E6*B6</f>
        <v>592.01727851921362</v>
      </c>
      <c r="G6" s="145">
        <f ca="1">F6*(100%-'Données projet'!$C$24)*(100%-'Données projet'!$C$25)*(100%-'Données projet'!$C$26)*(100%-'Données projet'!$C$27)</f>
        <v>452.89321806719846</v>
      </c>
      <c r="H6" s="146">
        <f>IF(OR('Données projet'!B9="",'Données projet'!C9="",'Données projet'!C9=0%),0,AVERAGE(Calculateur!$AC$3:$AC$33)*B6)</f>
        <v>15.383138372776333</v>
      </c>
      <c r="I6" s="147">
        <f>H6*(100%-'Données projet'!$C$24)*(100%-'Données projet'!$C$25)*(100%-'Données projet'!$C$26)*(100%-'Données projet'!$C$27)</f>
        <v>11.768100855173895</v>
      </c>
      <c r="J6" s="148">
        <f>IF(OR('Données projet'!B9="",'Données projet'!C9="",'Données projet'!C9=0%),0,SUM(Calculateur!$V$3:$V$33)*VLOOKUP('Données projet'!$B$9,Paramètres!$A$1:$I$89,9,0)*B6)</f>
        <v>129.73352624394207</v>
      </c>
      <c r="K6" s="149">
        <f>J6*(100%-'Données projet'!$C$24)*(100%-'Données projet'!$C$25)*(100%-'Données projet'!$C$26)*(100%-'Données projet'!$C$27)</f>
        <v>99.24614757661567</v>
      </c>
      <c r="L6" s="150">
        <f ca="1">G6+I6+K6</f>
        <v>563.90746649898801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0.36375000006800001</v>
      </c>
      <c r="C7" s="145">
        <f ca="1">IF(OR('Données projet'!B10="",'Données projet'!C10="",'Données projet'!C10=0%),0,Calculateur!AN3)</f>
        <v>700.22008320816781</v>
      </c>
      <c r="D7" s="145">
        <f>IF(OR('Données projet'!B10="",'Données projet'!C10="",'Données projet'!C10=0%),0,Calculateur!AO3)</f>
        <v>253.69632691507996</v>
      </c>
      <c r="E7" s="145">
        <f t="shared" ref="E7:E15" ca="1" si="0">MIN(C7,D7)</f>
        <v>253.69632691507996</v>
      </c>
      <c r="F7" s="145">
        <f t="shared" ref="F7:F15" ca="1" si="1">E7*B7</f>
        <v>92.282038932611684</v>
      </c>
      <c r="G7" s="145">
        <f ca="1">F7*(100%-'Données projet'!$C$24)*(100%-'Données projet'!$C$25)*(100%-'Données projet'!$C$26)*(100%-'Données projet'!$C$27)</f>
        <v>70.595759783447932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70.595759783447932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684.29931745182535</v>
      </c>
      <c r="G16" s="164">
        <f t="shared" ca="1" si="3"/>
        <v>523.48897785064639</v>
      </c>
      <c r="H16" s="165">
        <f t="shared" si="3"/>
        <v>15.383138372776333</v>
      </c>
      <c r="I16" s="165">
        <f t="shared" si="3"/>
        <v>11.768100855173895</v>
      </c>
      <c r="J16" s="166">
        <f t="shared" si="3"/>
        <v>129.73352624394207</v>
      </c>
      <c r="K16" s="166">
        <f t="shared" si="3"/>
        <v>99.24614757661567</v>
      </c>
      <c r="L16" s="167">
        <f t="shared" ca="1" si="3"/>
        <v>634.50322628243589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42" sqref="F4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7386.2424515723978</v>
      </c>
      <c r="U10" s="176">
        <f>'Données projet'!D9</f>
        <v>1.456249999932</v>
      </c>
      <c r="V10" s="175">
        <f>U10*T10</f>
        <v>10756.215569600039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4376.3430561680416</v>
      </c>
      <c r="U11" s="176">
        <f>'Données projet'!D10</f>
        <v>0.36375000006800001</v>
      </c>
      <c r="V11" s="175">
        <f t="shared" ref="V11" si="0">U11*T11</f>
        <v>1591.8947869787164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2362.96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5925.29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1155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1155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17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-2372.4523212857621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74.819999999999993</v>
      </c>
      <c r="C24" s="191">
        <v>25</v>
      </c>
      <c r="D24" s="180">
        <f t="shared" ref="D24:D42" si="2">B24*C24</f>
        <v>1870.4999999999998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51.39</v>
      </c>
      <c r="C25" s="191">
        <v>25</v>
      </c>
      <c r="D25" s="180">
        <f t="shared" si="2"/>
        <v>1284.75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-2372.4523212857621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80.97</v>
      </c>
      <c r="C26" s="191">
        <v>25</v>
      </c>
      <c r="D26" s="180">
        <f t="shared" si="2"/>
        <v>2024.25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85.88</v>
      </c>
      <c r="C27" s="191">
        <v>72</v>
      </c>
      <c r="D27" s="180">
        <f t="shared" si="2"/>
        <v>6183.36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91.25</v>
      </c>
      <c r="C28" s="191">
        <v>72</v>
      </c>
      <c r="D28" s="180">
        <f t="shared" si="2"/>
        <v>6570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101.34</v>
      </c>
      <c r="C29" s="191">
        <v>72</v>
      </c>
      <c r="D29" s="180">
        <f t="shared" si="2"/>
        <v>7296.4800000000005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707.75</v>
      </c>
      <c r="C30" s="191">
        <v>72</v>
      </c>
      <c r="D30" s="180">
        <f t="shared" si="2"/>
        <v>50958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3426.4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>
        <v>235</v>
      </c>
      <c r="D55" s="177">
        <f t="shared" ref="D55:D73" si="4">B55*C55</f>
        <v>8330.75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>
        <v>235</v>
      </c>
      <c r="D56" s="177">
        <f t="shared" si="4"/>
        <v>13021.349999999999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>
        <v>235</v>
      </c>
      <c r="D57" s="177">
        <f t="shared" si="4"/>
        <v>15655.7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>
        <v>235</v>
      </c>
      <c r="D58" s="177">
        <f t="shared" si="4"/>
        <v>14607.599999999999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>
        <v>235</v>
      </c>
      <c r="D59" s="177">
        <f t="shared" si="4"/>
        <v>16764.900000000001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>
        <v>235</v>
      </c>
      <c r="D60" s="177">
        <f t="shared" si="4"/>
        <v>16499.349999999999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>
        <v>235</v>
      </c>
      <c r="D61" s="177">
        <f t="shared" si="4"/>
        <v>12671.2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>
        <v>235</v>
      </c>
      <c r="D62" s="177">
        <f t="shared" si="4"/>
        <v>14863.75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>
        <v>235</v>
      </c>
      <c r="D63" s="177">
        <f t="shared" si="4"/>
        <v>20029.05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>
        <v>235</v>
      </c>
      <c r="D64" s="177">
        <f t="shared" si="4"/>
        <v>15796.699999999999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>
        <v>235</v>
      </c>
      <c r="D65" s="177">
        <f t="shared" si="4"/>
        <v>14208.1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>
        <v>235</v>
      </c>
      <c r="D66" s="177">
        <f t="shared" si="4"/>
        <v>16215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>
        <v>235</v>
      </c>
      <c r="D67" s="177">
        <f t="shared" si="4"/>
        <v>15963.550000000001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>
        <v>235</v>
      </c>
      <c r="D68" s="177">
        <f t="shared" si="4"/>
        <v>55109.85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>
        <v>235</v>
      </c>
      <c r="D69" s="177">
        <f t="shared" si="4"/>
        <v>33186.699999999997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>
        <v>235</v>
      </c>
      <c r="D70" s="177">
        <f t="shared" si="4"/>
        <v>20510.8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>
        <v>235</v>
      </c>
      <c r="D71" s="177">
        <f t="shared" si="4"/>
        <v>42441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str">
        <f>IF(O87+1&lt;=MIN('Données projet'!$E$9:$E$18),O87+1,"STOP")</f>
        <v>STOP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2024-07-08T12:33:53Z</dcterms:modified>
</cp:coreProperties>
</file>