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orestiersfransylva.sharepoint.com/sites/FransylvaServices/Shared Documents/Financements innovants/CLIENTS 2024-2025/GOURAND (Gennes sur Seiche) - 15803363 LE/"/>
    </mc:Choice>
  </mc:AlternateContent>
  <xr:revisionPtr revIDLastSave="160" documentId="8_{D580C7AB-F5E0-4A55-A7DA-69BBCA25F904}" xr6:coauthVersionLast="47" xr6:coauthVersionMax="47" xr10:uidLastSave="{12113D36-967F-4CE9-8F79-7A80051A149B}"/>
  <bookViews>
    <workbookView xWindow="-28920" yWindow="7515" windowWidth="29040" windowHeight="1572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externalReferences>
    <externalReference r:id="rId8"/>
  </externalReference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1" i="6" l="1"/>
  <c r="I20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BQ4" i="2"/>
  <c r="EA4" i="2"/>
  <c r="FR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B7" i="2"/>
  <c r="HI7" i="2"/>
  <c r="EW7" i="2"/>
  <c r="EV7" i="2"/>
  <c r="EX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HH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A18" i="2"/>
  <c r="EV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G22" i="2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CM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W38" i="2"/>
  <c r="EA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HG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EA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H60" i="2"/>
  <c r="EV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HG63" i="2"/>
  <c r="EB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HH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B78" i="2"/>
  <c r="HI78" i="2"/>
  <c r="EW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W85" i="2" s="1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FS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B107" i="2"/>
  <c r="EX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FS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X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HH114" i="2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G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HI130" i="2"/>
  <c r="EW130" i="2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EB139" i="2" s="1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FS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FR144" i="2" s="1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HH144" i="2"/>
  <c r="EX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H146" i="2"/>
  <c r="FR146" i="2"/>
  <c r="HG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X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EB154" i="2" l="1"/>
  <c r="AB154" i="2"/>
  <c r="HG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EA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AB156" i="2" l="1"/>
  <c r="DH156" i="2"/>
  <c r="EX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H158" i="2" l="1"/>
  <c r="EV158" i="2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ED158" i="2"/>
  <c r="EA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FS160" i="2"/>
  <c r="EC160" i="2"/>
  <c r="H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D160" i="2" l="1"/>
  <c r="EB161" i="2"/>
  <c r="FS161" i="2"/>
  <c r="A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DI161" i="2"/>
  <c r="HH162" i="2"/>
  <c r="EC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A163" i="2" l="1"/>
  <c r="EV163" i="2"/>
  <c r="HI163" i="2"/>
  <c r="FS163" i="2"/>
  <c r="EC163" i="2"/>
  <c r="ED163" i="2" s="1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/>
  <c r="DI163" i="2" l="1"/>
  <c r="DH164" i="2"/>
  <c r="HG164" i="2"/>
  <c r="EX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DG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DI167" i="2"/>
  <c r="EC168" i="2"/>
  <c r="EV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EB172" i="2"/>
  <c r="HG172" i="2"/>
  <c r="EW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C173" i="2" l="1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H174" i="2"/>
  <c r="HG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B175" i="2" l="1"/>
  <c r="AA175" i="2"/>
  <c r="EW175" i="2"/>
  <c r="EA175" i="2"/>
  <c r="FS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ED178" i="2" s="1"/>
  <c r="HH178" i="2"/>
  <c r="HG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B179" i="2" l="1"/>
  <c r="HH179" i="2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ED182" i="2" l="1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B185" i="2" l="1"/>
  <c r="HH185" i="2"/>
  <c r="HG185" i="2"/>
  <c r="EA185" i="2"/>
  <c r="EV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FR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C187" i="2" l="1"/>
  <c r="HG187" i="2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B189" i="2" l="1"/>
  <c r="EV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H191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EW192" i="2"/>
  <c r="HG192" i="2"/>
  <c r="EA192" i="2"/>
  <c r="ED192" i="2" s="1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Y192" i="2"/>
  <c r="AX190" i="2"/>
  <c r="DI192" i="2" l="1"/>
  <c r="EB193" i="2"/>
  <c r="ED193" i="2" s="1"/>
  <c r="EX193" i="2"/>
  <c r="FQ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B194" i="2" l="1"/>
  <c r="EA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DH195" i="2" l="1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W197" i="2" l="1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H199" i="2" l="1"/>
  <c r="EB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DI200" i="2" s="1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EI4" i="2" a="1"/>
  <c r="EI4" i="2" s="1"/>
  <c r="EJ4" i="2" s="1"/>
  <c r="AX198" i="2"/>
  <c r="EY200" i="2"/>
  <c r="ED200" i="2" l="1"/>
  <c r="EA201" i="2"/>
  <c r="EB201" i="2"/>
  <c r="HH201" i="2"/>
  <c r="HI201" i="2"/>
  <c r="EX201" i="2"/>
  <c r="AI5" i="2"/>
  <c r="EW201" i="2"/>
  <c r="EC201" i="2"/>
  <c r="ED201" i="2" s="1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EX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35" i="2" a="1"/>
  <c r="FY35" i="2" s="1"/>
  <c r="FY69" i="2" a="1"/>
  <c r="FY69" i="2" s="1"/>
  <c r="FY186" i="2" a="1"/>
  <c r="FY186" i="2" s="1"/>
  <c r="FY78" i="2" a="1"/>
  <c r="FY78" i="2" s="1"/>
  <c r="FY190" i="2" a="1"/>
  <c r="FY190" i="2" s="1"/>
  <c r="FY104" i="2" a="1"/>
  <c r="FY104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66" i="2" a="1"/>
  <c r="EI166" i="2" s="1"/>
  <c r="EI106" i="2" a="1"/>
  <c r="EI106" i="2" s="1"/>
  <c r="EI142" i="2" a="1"/>
  <c r="EI142" i="2" s="1"/>
  <c r="CS66" i="2" a="1"/>
  <c r="CS66" i="2" s="1"/>
  <c r="CS52" i="2" a="1"/>
  <c r="CS52" i="2" s="1"/>
  <c r="DN50" i="2" a="1"/>
  <c r="DN50" i="2" s="1"/>
  <c r="DN129" i="2" a="1"/>
  <c r="DN129" i="2" s="1"/>
  <c r="EI195" i="2" a="1"/>
  <c r="EI195" i="2" s="1"/>
  <c r="CS137" i="2" a="1"/>
  <c r="CS137" i="2" s="1"/>
  <c r="AH151" i="2" a="1"/>
  <c r="AH151" i="2" s="1"/>
  <c r="DN103" i="2" a="1"/>
  <c r="DN103" i="2" s="1"/>
  <c r="DN114" i="2" a="1"/>
  <c r="DN114" i="2" s="1"/>
  <c r="AH19" i="2" a="1"/>
  <c r="AH19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FY196" i="2" a="1"/>
  <c r="FY196" i="2" s="1"/>
  <c r="FY30" i="2" a="1"/>
  <c r="FY30" i="2" s="1"/>
  <c r="FY142" i="2" a="1"/>
  <c r="FY142" i="2" s="1"/>
  <c r="FD188" i="2" a="1"/>
  <c r="FD188" i="2" s="1"/>
  <c r="FD48" i="2" a="1"/>
  <c r="FD48" i="2" s="1"/>
  <c r="FD189" i="2" a="1"/>
  <c r="FD189" i="2" s="1"/>
  <c r="FD167" i="2" a="1"/>
  <c r="FD167" i="2" s="1"/>
  <c r="FD159" i="2" a="1"/>
  <c r="FD159" i="2" s="1"/>
  <c r="FD160" i="2" a="1"/>
  <c r="FD160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CS185" i="2" a="1"/>
  <c r="CS185" i="2" s="1"/>
  <c r="DN55" i="2" a="1"/>
  <c r="DN55" i="2" s="1"/>
  <c r="DN70" i="2" a="1"/>
  <c r="DN70" i="2" s="1"/>
  <c r="DN6" i="2" a="1"/>
  <c r="DN6" i="2" s="1"/>
  <c r="DO6" i="2" s="1"/>
  <c r="CS24" i="2" a="1"/>
  <c r="CS24" i="2" s="1"/>
  <c r="CS134" i="2" a="1"/>
  <c r="CS134" i="2" s="1"/>
  <c r="BX107" i="2" a="1"/>
  <c r="BX107" i="2" s="1"/>
  <c r="FD82" i="2" a="1"/>
  <c r="FD82" i="2" s="1"/>
  <c r="DN187" i="2" a="1"/>
  <c r="DN187" i="2" s="1"/>
  <c r="HJ202" i="2"/>
  <c r="EY202" i="2"/>
  <c r="AX200" i="2"/>
  <c r="CS114" i="2" l="1" a="1"/>
  <c r="CS114" i="2" s="1"/>
  <c r="CS120" i="2" a="1"/>
  <c r="CS120" i="2" s="1"/>
  <c r="CS56" i="2" a="1"/>
  <c r="CS56" i="2" s="1"/>
  <c r="CS116" i="2" a="1"/>
  <c r="CS116" i="2" s="1"/>
  <c r="CS77" i="2" a="1"/>
  <c r="CS77" i="2" s="1"/>
  <c r="CS72" i="2" a="1"/>
  <c r="CS72" i="2" s="1"/>
  <c r="CS38" i="2" a="1"/>
  <c r="CS38" i="2" s="1"/>
  <c r="CS129" i="2" a="1"/>
  <c r="CS129" i="2" s="1"/>
  <c r="DN110" i="2" a="1"/>
  <c r="DN110" i="2" s="1"/>
  <c r="DN113" i="2" a="1"/>
  <c r="DN113" i="2" s="1"/>
  <c r="DN31" i="2" a="1"/>
  <c r="DN31" i="2" s="1"/>
  <c r="DN25" i="2" a="1"/>
  <c r="DN25" i="2" s="1"/>
  <c r="DN167" i="2" a="1"/>
  <c r="DN167" i="2" s="1"/>
  <c r="DN123" i="2" a="1"/>
  <c r="DN123" i="2" s="1"/>
  <c r="DN184" i="2" a="1"/>
  <c r="DN184" i="2" s="1"/>
  <c r="DN45" i="2" a="1"/>
  <c r="DN45" i="2" s="1"/>
  <c r="DN16" i="2" a="1"/>
  <c r="DN16" i="2" s="1"/>
  <c r="DN152" i="2" a="1"/>
  <c r="DN152" i="2" s="1"/>
  <c r="DN162" i="2" a="1"/>
  <c r="DN162" i="2" s="1"/>
  <c r="DN29" i="2" a="1"/>
  <c r="DN29" i="2" s="1"/>
  <c r="DN49" i="2" a="1"/>
  <c r="DN49" i="2" s="1"/>
  <c r="DN150" i="2" a="1"/>
  <c r="DN150" i="2" s="1"/>
  <c r="DN41" i="2" a="1"/>
  <c r="DN41" i="2" s="1"/>
  <c r="DN132" i="2" a="1"/>
  <c r="DN132" i="2" s="1"/>
  <c r="DN164" i="2" a="1"/>
  <c r="DN164" i="2" s="1"/>
  <c r="DN192" i="2" a="1"/>
  <c r="DN192" i="2" s="1"/>
  <c r="DN43" i="2" a="1"/>
  <c r="DN43" i="2" s="1"/>
  <c r="DN30" i="2" a="1"/>
  <c r="DN30" i="2" s="1"/>
  <c r="DN135" i="2" a="1"/>
  <c r="DN135" i="2" s="1"/>
  <c r="DN66" i="2" a="1"/>
  <c r="DN66" i="2" s="1"/>
  <c r="DN186" i="2" a="1"/>
  <c r="DN186" i="2" s="1"/>
  <c r="DN46" i="2" a="1"/>
  <c r="DN46" i="2" s="1"/>
  <c r="DN38" i="2" a="1"/>
  <c r="DN38" i="2" s="1"/>
  <c r="DN188" i="2" a="1"/>
  <c r="DN188" i="2" s="1"/>
  <c r="DN137" i="2" a="1"/>
  <c r="DN137" i="2" s="1"/>
  <c r="DN86" i="2" a="1"/>
  <c r="DN86" i="2" s="1"/>
  <c r="DN176" i="2" a="1"/>
  <c r="DN176" i="2" s="1"/>
  <c r="DN177" i="2" a="1"/>
  <c r="DN177" i="2" s="1"/>
  <c r="DN190" i="2" a="1"/>
  <c r="DN190" i="2" s="1"/>
  <c r="DN80" i="2" a="1"/>
  <c r="DN80" i="2" s="1"/>
  <c r="DN115" i="2" a="1"/>
  <c r="DN115" i="2" s="1"/>
  <c r="DN124" i="2" a="1"/>
  <c r="DN124" i="2" s="1"/>
  <c r="DN133" i="2" a="1"/>
  <c r="DN133" i="2" s="1"/>
  <c r="DN153" i="2" a="1"/>
  <c r="DN153" i="2" s="1"/>
  <c r="DN65" i="2" a="1"/>
  <c r="DN65" i="2" s="1"/>
  <c r="DN168" i="2" a="1"/>
  <c r="DN168" i="2" s="1"/>
  <c r="DN170" i="2" a="1"/>
  <c r="DN170" i="2" s="1"/>
  <c r="DN155" i="2" a="1"/>
  <c r="DN155" i="2" s="1"/>
  <c r="AH166" i="2" a="1"/>
  <c r="AH166" i="2" s="1"/>
  <c r="AH92" i="2" a="1"/>
  <c r="AH92" i="2" s="1"/>
  <c r="AH90" i="2" a="1"/>
  <c r="AH90" i="2" s="1"/>
  <c r="FD107" i="2" a="1"/>
  <c r="FD107" i="2" s="1"/>
  <c r="FD44" i="2" a="1"/>
  <c r="FD44" i="2" s="1"/>
  <c r="FY42" i="2" a="1"/>
  <c r="FY42" i="2" s="1"/>
  <c r="EI153" i="2" a="1"/>
  <c r="EI153" i="2" s="1"/>
  <c r="FY34" i="2" a="1"/>
  <c r="FY34" i="2" s="1"/>
  <c r="FY72" i="2" a="1"/>
  <c r="FY72" i="2" s="1"/>
  <c r="FY174" i="2" a="1"/>
  <c r="FY174" i="2" s="1"/>
  <c r="FY173" i="2" a="1"/>
  <c r="FY173" i="2" s="1"/>
  <c r="FY66" i="2" a="1"/>
  <c r="FY66" i="2" s="1"/>
  <c r="FY165" i="2" a="1"/>
  <c r="FY165" i="2" s="1"/>
  <c r="FY109" i="2" a="1"/>
  <c r="FY109" i="2" s="1"/>
  <c r="HG203" i="2"/>
  <c r="FY164" i="2" a="1"/>
  <c r="FY164" i="2" s="1"/>
  <c r="FY99" i="2" a="1"/>
  <c r="FY99" i="2" s="1"/>
  <c r="FY159" i="2" a="1"/>
  <c r="FY159" i="2" s="1"/>
  <c r="FY120" i="2" a="1"/>
  <c r="FY120" i="2" s="1"/>
  <c r="FY146" i="2" a="1"/>
  <c r="FY146" i="2" s="1"/>
  <c r="FY79" i="2" a="1"/>
  <c r="FY79" i="2" s="1"/>
  <c r="FD187" i="2" a="1"/>
  <c r="FD187" i="2" s="1"/>
  <c r="FD131" i="2" a="1"/>
  <c r="FD131" i="2" s="1"/>
  <c r="FD60" i="2" a="1"/>
  <c r="FD60" i="2" s="1"/>
  <c r="FY82" i="2" a="1"/>
  <c r="FY82" i="2" s="1"/>
  <c r="EI178" i="2" a="1"/>
  <c r="EI178" i="2" s="1"/>
  <c r="EI198" i="2" a="1"/>
  <c r="EI198" i="2" s="1"/>
  <c r="FY149" i="2" a="1"/>
  <c r="FY149" i="2" s="1"/>
  <c r="FY178" i="2" a="1"/>
  <c r="FY178" i="2" s="1"/>
  <c r="FY116" i="2" a="1"/>
  <c r="FY116" i="2" s="1"/>
  <c r="FY143" i="2" a="1"/>
  <c r="FY143" i="2" s="1"/>
  <c r="FY71" i="2" a="1"/>
  <c r="FY71" i="2" s="1"/>
  <c r="FY32" i="2" a="1"/>
  <c r="FY32" i="2" s="1"/>
  <c r="FY47" i="2" a="1"/>
  <c r="FY47" i="2" s="1"/>
  <c r="FD194" i="2" a="1"/>
  <c r="FD194" i="2" s="1"/>
  <c r="FD43" i="2" a="1"/>
  <c r="FD43" i="2" s="1"/>
  <c r="FY121" i="2" a="1"/>
  <c r="FY121" i="2" s="1"/>
  <c r="FY182" i="2" a="1"/>
  <c r="FY182" i="2" s="1"/>
  <c r="EI145" i="2" a="1"/>
  <c r="EI145" i="2" s="1"/>
  <c r="FD59" i="2" a="1"/>
  <c r="FD59" i="2" s="1"/>
  <c r="FY24" i="2" a="1"/>
  <c r="FY24" i="2" s="1"/>
  <c r="FY55" i="2" a="1"/>
  <c r="FY55" i="2" s="1"/>
  <c r="FY92" i="2" a="1"/>
  <c r="FY92" i="2" s="1"/>
  <c r="FY191" i="2" a="1"/>
  <c r="FY191" i="2" s="1"/>
  <c r="FY18" i="2" a="1"/>
  <c r="FY18" i="2" s="1"/>
  <c r="FY22" i="2" a="1"/>
  <c r="FY22" i="2" s="1"/>
  <c r="FR203" i="2"/>
  <c r="FD19" i="2" a="1"/>
  <c r="FD19" i="2" s="1"/>
  <c r="FD64" i="2" a="1"/>
  <c r="FD64" i="2" s="1"/>
  <c r="FY167" i="2" a="1"/>
  <c r="FY167" i="2" s="1"/>
  <c r="FY115" i="2" a="1"/>
  <c r="FY115" i="2" s="1"/>
  <c r="EI162" i="2" a="1"/>
  <c r="EI162" i="2" s="1"/>
  <c r="FD144" i="2" a="1"/>
  <c r="FD144" i="2" s="1"/>
  <c r="FY124" i="2" a="1"/>
  <c r="FY124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FY86" i="2" a="1"/>
  <c r="FY86" i="2" s="1"/>
  <c r="EI150" i="2" a="1"/>
  <c r="EI150" i="2" s="1"/>
  <c r="FD21" i="2" a="1"/>
  <c r="FD21" i="2" s="1"/>
  <c r="FY169" i="2" a="1"/>
  <c r="FY169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FD137" i="2" a="1"/>
  <c r="FD137" i="2" s="1"/>
  <c r="FD14" i="2" a="1"/>
  <c r="FD14" i="2" s="1"/>
  <c r="FY80" i="2" a="1"/>
  <c r="FY80" i="2" s="1"/>
  <c r="FY58" i="2" a="1"/>
  <c r="FY58" i="2" s="1"/>
  <c r="EI29" i="2" a="1"/>
  <c r="EI29" i="2" s="1"/>
  <c r="FY172" i="2" a="1"/>
  <c r="FY172" i="2" s="1"/>
  <c r="FY62" i="2" a="1"/>
  <c r="FY62" i="2" s="1"/>
  <c r="FY28" i="2" a="1"/>
  <c r="FY28" i="2" s="1"/>
  <c r="FY152" i="2" a="1"/>
  <c r="FY152" i="2" s="1"/>
  <c r="FY102" i="2" a="1"/>
  <c r="FY102" i="2" s="1"/>
  <c r="FY29" i="2" a="1"/>
  <c r="FY29" i="2" s="1"/>
  <c r="FY54" i="2" a="1"/>
  <c r="FY54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Z9" i="2" s="1"/>
  <c r="FZ10" i="2" s="1"/>
  <c r="FZ11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N203" i="2" s="1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ED203" i="2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CY37" i="2" l="1"/>
  <c r="CY104" i="2"/>
  <c r="CY153" i="2"/>
  <c r="CY191" i="2"/>
  <c r="CY11" i="2"/>
  <c r="CY20" i="2"/>
  <c r="CY148" i="2"/>
  <c r="CY90" i="2"/>
  <c r="CY151" i="2"/>
  <c r="CY100" i="2"/>
  <c r="CY3" i="2"/>
  <c r="C10" i="4" s="1"/>
  <c r="E10" i="4" s="1"/>
  <c r="F10" i="4" s="1"/>
  <c r="G10" i="4" s="1"/>
  <c r="L10" i="4" s="1"/>
  <c r="CY69" i="2"/>
  <c r="CY80" i="2"/>
  <c r="CY31" i="2"/>
  <c r="CY62" i="2"/>
  <c r="CY10" i="2"/>
  <c r="CY133" i="2"/>
  <c r="CY15" i="2"/>
  <c r="CY9" i="2"/>
  <c r="CY35" i="2"/>
  <c r="CY108" i="2"/>
  <c r="CY91" i="2"/>
  <c r="CY87" i="2"/>
  <c r="CY21" i="2"/>
  <c r="CY57" i="2"/>
  <c r="CY25" i="2"/>
  <c r="CY185" i="2"/>
  <c r="CY14" i="2"/>
  <c r="CY53" i="2"/>
  <c r="CY173" i="2"/>
  <c r="CY44" i="2"/>
  <c r="CY81" i="2"/>
  <c r="CY102" i="2"/>
  <c r="CY188" i="2"/>
  <c r="CY128" i="2"/>
  <c r="CY113" i="2"/>
  <c r="CY178" i="2"/>
  <c r="CY123" i="2"/>
  <c r="CY149" i="2"/>
  <c r="CY201" i="2"/>
  <c r="CY174" i="2"/>
  <c r="CY126" i="2"/>
  <c r="CY83" i="2"/>
  <c r="CY147" i="2"/>
  <c r="CY82" i="2"/>
  <c r="CY131" i="2"/>
  <c r="CY163" i="2"/>
  <c r="CY41" i="2"/>
  <c r="CY144" i="2"/>
  <c r="CY164" i="2"/>
  <c r="CY154" i="2"/>
  <c r="CY157" i="2"/>
  <c r="CY186" i="2"/>
  <c r="CY159" i="2"/>
  <c r="CY172" i="2"/>
  <c r="CY43" i="2"/>
  <c r="CY97" i="2"/>
  <c r="CY36" i="2"/>
  <c r="CY86" i="2"/>
  <c r="CY38" i="2"/>
  <c r="CY110" i="2"/>
  <c r="CY18" i="2"/>
  <c r="CY42" i="2"/>
  <c r="CY93" i="2"/>
  <c r="CY197" i="2"/>
  <c r="CY129" i="2"/>
  <c r="CY138" i="2"/>
  <c r="CY165" i="2"/>
  <c r="CY182" i="2"/>
  <c r="CY107" i="2"/>
  <c r="CY136" i="2"/>
  <c r="CY45" i="2"/>
  <c r="CY94" i="2"/>
  <c r="CY27" i="2"/>
  <c r="CY22" i="2"/>
  <c r="CY72" i="2"/>
  <c r="CY121" i="2"/>
  <c r="CY52" i="2"/>
  <c r="CY189" i="2"/>
  <c r="CY76" i="2"/>
  <c r="CY79" i="2"/>
  <c r="CY54" i="2"/>
  <c r="CY195" i="2"/>
  <c r="CY40" i="2"/>
  <c r="CY160" i="2"/>
  <c r="CY8" i="2"/>
  <c r="CY127" i="2"/>
  <c r="CY34" i="2"/>
  <c r="CY140" i="2"/>
  <c r="CY134" i="2"/>
  <c r="CY198" i="2"/>
  <c r="CY55" i="2"/>
  <c r="CY135" i="2"/>
  <c r="CY64" i="2"/>
  <c r="CY112" i="2"/>
  <c r="CY115" i="2"/>
  <c r="CY75" i="2"/>
  <c r="CY17" i="2"/>
  <c r="CY175" i="2"/>
  <c r="CY7" i="2"/>
  <c r="CY70" i="2"/>
  <c r="CY23" i="2"/>
  <c r="CY78" i="2"/>
  <c r="CY59" i="2"/>
  <c r="CY116" i="2"/>
  <c r="CY39" i="2"/>
  <c r="CY130" i="2"/>
  <c r="CY118" i="2"/>
  <c r="CY74" i="2"/>
  <c r="CY155" i="2"/>
  <c r="CY196" i="2"/>
  <c r="CY92" i="2"/>
  <c r="CY162" i="2"/>
  <c r="CY156" i="2"/>
  <c r="CY202" i="2"/>
  <c r="CY88" i="2"/>
  <c r="CY192" i="2"/>
  <c r="CY200" i="2"/>
  <c r="CY170" i="2"/>
  <c r="CY124" i="2"/>
  <c r="CY26" i="2"/>
  <c r="CY51" i="2"/>
  <c r="CY125" i="2"/>
  <c r="CY187" i="2"/>
  <c r="CY180" i="2"/>
  <c r="CY5" i="2"/>
  <c r="CY85" i="2"/>
  <c r="CY203" i="2"/>
  <c r="CY161" i="2"/>
  <c r="CY6" i="2"/>
  <c r="CY12" i="2"/>
  <c r="CY60" i="2"/>
  <c r="CY95" i="2"/>
  <c r="CY184" i="2"/>
  <c r="CY176" i="2"/>
  <c r="CY119" i="2"/>
  <c r="CY152" i="2"/>
  <c r="CY194" i="2"/>
  <c r="CY101" i="2"/>
  <c r="CY117" i="2"/>
  <c r="CY199" i="2"/>
  <c r="CY122" i="2"/>
  <c r="CY166" i="2"/>
  <c r="CY46" i="2"/>
  <c r="CY32" i="2"/>
  <c r="CY49" i="2"/>
  <c r="CY98" i="2"/>
  <c r="CY99" i="2"/>
  <c r="CY145" i="2"/>
  <c r="CY183" i="2"/>
  <c r="CY96" i="2"/>
  <c r="CY137" i="2"/>
  <c r="CY168" i="2"/>
  <c r="CY84" i="2"/>
  <c r="CY16" i="2"/>
  <c r="CY71" i="2"/>
  <c r="CY30" i="2"/>
  <c r="CY167" i="2"/>
  <c r="CY19" i="2"/>
  <c r="CY190" i="2"/>
  <c r="CY158" i="2"/>
  <c r="CY48" i="2"/>
  <c r="CY58" i="2"/>
  <c r="CY65" i="2"/>
  <c r="CY56" i="2"/>
  <c r="CY143" i="2"/>
  <c r="CY146" i="2"/>
  <c r="CY171" i="2"/>
  <c r="CY105" i="2"/>
  <c r="CY139" i="2"/>
  <c r="CY68" i="2"/>
  <c r="CY177" i="2"/>
  <c r="CY73" i="2"/>
  <c r="CY181" i="2"/>
  <c r="CY111" i="2"/>
  <c r="CY63" i="2"/>
  <c r="CY179" i="2"/>
  <c r="CY61" i="2"/>
  <c r="CY109" i="2"/>
  <c r="CY24" i="2"/>
  <c r="CY141" i="2"/>
  <c r="CY142" i="2"/>
  <c r="CY132" i="2"/>
  <c r="CY120" i="2"/>
  <c r="CY114" i="2"/>
  <c r="CY4" i="2"/>
  <c r="CY193" i="2"/>
  <c r="CY13" i="2"/>
  <c r="CY67" i="2"/>
  <c r="CY150" i="2"/>
  <c r="CY50" i="2"/>
  <c r="CY28" i="2"/>
  <c r="CY47" i="2"/>
  <c r="CY89" i="2"/>
  <c r="CY103" i="2"/>
  <c r="CY33" i="2"/>
  <c r="CY106" i="2"/>
  <c r="CY29" i="2"/>
  <c r="CY66" i="2"/>
  <c r="CY169" i="2"/>
  <c r="CY77" i="2"/>
  <c r="FE135" i="2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AN166" i="2" l="1"/>
  <c r="AN105" i="2"/>
  <c r="AN50" i="2"/>
  <c r="AN101" i="2"/>
  <c r="AN193" i="2"/>
  <c r="AN118" i="2"/>
  <c r="AN60" i="2"/>
  <c r="AN134" i="2"/>
  <c r="AN16" i="2"/>
  <c r="AN142" i="2"/>
  <c r="AN44" i="2"/>
  <c r="AN113" i="2"/>
  <c r="AN162" i="2"/>
  <c r="AN107" i="2"/>
  <c r="AN198" i="2"/>
  <c r="AN172" i="2"/>
  <c r="AN180" i="2"/>
  <c r="AN74" i="2"/>
  <c r="AN39" i="2"/>
  <c r="AN121" i="2"/>
  <c r="AN19" i="2"/>
  <c r="AN159" i="2"/>
  <c r="AN190" i="2"/>
  <c r="AN197" i="2"/>
  <c r="AN75" i="2"/>
  <c r="AN132" i="2"/>
  <c r="AN26" i="2"/>
  <c r="AN10" i="2"/>
  <c r="AN85" i="2"/>
  <c r="AN30" i="2"/>
  <c r="AN54" i="2"/>
  <c r="AN37" i="2"/>
  <c r="AN183" i="2"/>
  <c r="AN144" i="2"/>
  <c r="AN62" i="2"/>
  <c r="AN167" i="2"/>
  <c r="AN129" i="2"/>
  <c r="AN63" i="2"/>
  <c r="AN163" i="2"/>
  <c r="AN158" i="2"/>
  <c r="AN179" i="2"/>
  <c r="AN131" i="2"/>
  <c r="AN51" i="2"/>
  <c r="AN77" i="2"/>
  <c r="AN187" i="2"/>
  <c r="AN165" i="2"/>
  <c r="AN42" i="2"/>
  <c r="AN102" i="2"/>
  <c r="AN201" i="2"/>
  <c r="AN31" i="2"/>
  <c r="AN109" i="2"/>
  <c r="AN188" i="2"/>
  <c r="AN195" i="2"/>
  <c r="AN87" i="2"/>
  <c r="AN12" i="2"/>
  <c r="AN200" i="2"/>
  <c r="AN169" i="2"/>
  <c r="AN202" i="2"/>
  <c r="AN90" i="2"/>
  <c r="AN177" i="2"/>
  <c r="AN55" i="2"/>
  <c r="AN120" i="2"/>
  <c r="AN41" i="2"/>
  <c r="AN64" i="2"/>
  <c r="AN181" i="2"/>
  <c r="AN161" i="2"/>
  <c r="AN128" i="2"/>
  <c r="AN93" i="2"/>
  <c r="AN127" i="2"/>
  <c r="AN88" i="2"/>
  <c r="AN21" i="2"/>
  <c r="AN28" i="2"/>
  <c r="AN35" i="2"/>
  <c r="AN152" i="2"/>
  <c r="AN139" i="2"/>
  <c r="AN199" i="2"/>
  <c r="AN38" i="2"/>
  <c r="AN70" i="2"/>
  <c r="AN174" i="2"/>
  <c r="AN155" i="2"/>
  <c r="AN9" i="2"/>
  <c r="AN25" i="2"/>
  <c r="AN8" i="2"/>
  <c r="AN76" i="2"/>
  <c r="AN147" i="2"/>
  <c r="AN168" i="2"/>
  <c r="AN20" i="2"/>
  <c r="AN27" i="2"/>
  <c r="AN86" i="2"/>
  <c r="AN81" i="2"/>
  <c r="AN185" i="2"/>
  <c r="AN203" i="2"/>
  <c r="AN94" i="2"/>
  <c r="AN146" i="2"/>
  <c r="AN80" i="2"/>
  <c r="AN123" i="2"/>
  <c r="AN111" i="2"/>
  <c r="AN196" i="2"/>
  <c r="AN175" i="2"/>
  <c r="AN112" i="2"/>
  <c r="AN24" i="2"/>
  <c r="AN67" i="2"/>
  <c r="AN36" i="2"/>
  <c r="AN58" i="2"/>
  <c r="AN14" i="2"/>
  <c r="AN130" i="2"/>
  <c r="AN138" i="2"/>
  <c r="AN29" i="2"/>
  <c r="AN191" i="2"/>
  <c r="AN22" i="2"/>
  <c r="AN150" i="2"/>
  <c r="AN43" i="2"/>
  <c r="AN184" i="2"/>
  <c r="AN100" i="2"/>
  <c r="AN23" i="2"/>
  <c r="AN3" i="2"/>
  <c r="C7" i="4" s="1"/>
  <c r="E7" i="4" s="1"/>
  <c r="F7" i="4" s="1"/>
  <c r="G7" i="4" s="1"/>
  <c r="L7" i="4" s="1"/>
  <c r="AN79" i="2"/>
  <c r="AN104" i="2"/>
  <c r="AN171" i="2"/>
  <c r="AN124" i="2"/>
  <c r="AN66" i="2"/>
  <c r="AN125" i="2"/>
  <c r="AN110" i="2"/>
  <c r="AN83" i="2"/>
  <c r="AN148" i="2"/>
  <c r="AN176" i="2"/>
  <c r="AN157" i="2"/>
  <c r="AN53" i="2"/>
  <c r="AN116" i="2"/>
  <c r="AN137" i="2"/>
  <c r="AN135" i="2"/>
  <c r="AN182" i="2"/>
  <c r="AN46" i="2"/>
  <c r="AN145" i="2"/>
  <c r="AN173" i="2"/>
  <c r="AN17" i="2"/>
  <c r="AN141" i="2"/>
  <c r="AN49" i="2"/>
  <c r="AN78" i="2"/>
  <c r="AN48" i="2"/>
  <c r="AN52" i="2"/>
  <c r="AN7" i="2"/>
  <c r="AN189" i="2"/>
  <c r="AN164" i="2"/>
  <c r="AN178" i="2"/>
  <c r="AN4" i="2"/>
  <c r="AN13" i="2"/>
  <c r="AN133" i="2"/>
  <c r="AN192" i="2"/>
  <c r="AN95" i="2"/>
  <c r="AN84" i="2"/>
  <c r="AN5" i="2"/>
  <c r="AN6" i="2"/>
  <c r="AN156" i="2"/>
  <c r="AN140" i="2"/>
  <c r="AN108" i="2"/>
  <c r="AN126" i="2"/>
  <c r="AN61" i="2"/>
  <c r="AN57" i="2"/>
  <c r="AN98" i="2"/>
  <c r="AN151" i="2"/>
  <c r="AN91" i="2"/>
  <c r="AN153" i="2"/>
  <c r="AN149" i="2"/>
  <c r="AN11" i="2"/>
  <c r="AN115" i="2"/>
  <c r="AN82" i="2"/>
  <c r="AN47" i="2"/>
  <c r="AN186" i="2"/>
  <c r="AN160" i="2"/>
  <c r="AN65" i="2"/>
  <c r="AN89" i="2"/>
  <c r="AN154" i="2"/>
  <c r="AN97" i="2"/>
  <c r="AN59" i="2"/>
  <c r="AN122" i="2"/>
  <c r="AN72" i="2"/>
  <c r="AN143" i="2"/>
  <c r="AN34" i="2"/>
  <c r="AN56" i="2"/>
  <c r="AN119" i="2"/>
  <c r="AN33" i="2"/>
  <c r="AN73" i="2"/>
  <c r="AN117" i="2"/>
  <c r="AN18" i="2"/>
  <c r="AN170" i="2"/>
  <c r="AN69" i="2"/>
  <c r="AN103" i="2"/>
  <c r="AN45" i="2"/>
  <c r="AN71" i="2"/>
  <c r="AN40" i="2"/>
  <c r="AN68" i="2"/>
  <c r="AN15" i="2"/>
  <c r="AN32" i="2"/>
  <c r="AN106" i="2"/>
  <c r="AN99" i="2"/>
  <c r="AN114" i="2"/>
  <c r="AN136" i="2"/>
  <c r="AN96" i="2"/>
  <c r="AN92" i="2"/>
  <c r="AN194" i="2"/>
  <c r="FE164" i="2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DT40" i="2" l="1"/>
  <c r="DT125" i="2"/>
  <c r="DT105" i="2"/>
  <c r="DT186" i="2"/>
  <c r="DT65" i="2"/>
  <c r="DT122" i="2"/>
  <c r="DT139" i="2"/>
  <c r="DT26" i="2"/>
  <c r="DT62" i="2"/>
  <c r="DT158" i="2"/>
  <c r="DT120" i="2"/>
  <c r="DT29" i="2"/>
  <c r="DT141" i="2"/>
  <c r="DT119" i="2"/>
  <c r="DT27" i="2"/>
  <c r="DT131" i="2"/>
  <c r="DT46" i="2"/>
  <c r="DT124" i="2"/>
  <c r="DT162" i="2"/>
  <c r="DT170" i="2"/>
  <c r="DT155" i="2"/>
  <c r="DT88" i="2"/>
  <c r="DT107" i="2"/>
  <c r="DT54" i="2"/>
  <c r="DT148" i="2"/>
  <c r="DT69" i="2"/>
  <c r="DT129" i="2"/>
  <c r="DT142" i="2"/>
  <c r="DT115" i="2"/>
  <c r="DT7" i="2"/>
  <c r="DT116" i="2"/>
  <c r="DT64" i="2"/>
  <c r="DT82" i="2"/>
  <c r="DT68" i="2"/>
  <c r="DT192" i="2"/>
  <c r="DT33" i="2"/>
  <c r="DT191" i="2"/>
  <c r="DT11" i="2"/>
  <c r="DT72" i="2"/>
  <c r="DT128" i="2"/>
  <c r="DT102" i="2"/>
  <c r="DT180" i="2"/>
  <c r="DT21" i="2"/>
  <c r="DT74" i="2"/>
  <c r="DT140" i="2"/>
  <c r="DT156" i="2"/>
  <c r="DT55" i="2"/>
  <c r="DT184" i="2"/>
  <c r="DT150" i="2"/>
  <c r="DT89" i="2"/>
  <c r="DT130" i="2"/>
  <c r="DT14" i="2"/>
  <c r="DT91" i="2"/>
  <c r="DT76" i="2"/>
  <c r="DT87" i="2"/>
  <c r="DT112" i="2"/>
  <c r="DT67" i="2"/>
  <c r="DT137" i="2"/>
  <c r="DT178" i="2"/>
  <c r="DT15" i="2"/>
  <c r="DT70" i="2"/>
  <c r="DT123" i="2"/>
  <c r="DT168" i="2"/>
  <c r="DT56" i="2"/>
  <c r="DT172" i="2"/>
  <c r="DT99" i="2"/>
  <c r="DT41" i="2"/>
  <c r="DT100" i="2"/>
  <c r="DT111" i="2"/>
  <c r="DT12" i="2"/>
  <c r="DT52" i="2"/>
  <c r="DT38" i="2"/>
  <c r="DT179" i="2"/>
  <c r="DT79" i="2"/>
  <c r="DT92" i="2"/>
  <c r="DT57" i="2"/>
  <c r="DT108" i="2"/>
  <c r="DT196" i="2"/>
  <c r="DT135" i="2"/>
  <c r="DT50" i="2"/>
  <c r="DT145" i="2"/>
  <c r="DT193" i="2"/>
  <c r="DT173" i="2"/>
  <c r="DT183" i="2"/>
  <c r="DT53" i="2"/>
  <c r="DT175" i="2"/>
  <c r="DT9" i="2"/>
  <c r="DT19" i="2"/>
  <c r="DT185" i="2"/>
  <c r="DT160" i="2"/>
  <c r="DT132" i="2"/>
  <c r="DT60" i="2"/>
  <c r="DT43" i="2"/>
  <c r="DT182" i="2"/>
  <c r="DT136" i="2"/>
  <c r="DT59" i="2"/>
  <c r="DT181" i="2"/>
  <c r="DT5" i="2"/>
  <c r="DT167" i="2"/>
  <c r="DT187" i="2"/>
  <c r="DT159" i="2"/>
  <c r="DT45" i="2"/>
  <c r="DT138" i="2"/>
  <c r="DT154" i="2"/>
  <c r="DT3" i="2"/>
  <c r="C11" i="4" s="1"/>
  <c r="E11" i="4" s="1"/>
  <c r="F11" i="4" s="1"/>
  <c r="G11" i="4" s="1"/>
  <c r="L11" i="4" s="1"/>
  <c r="DT77" i="2"/>
  <c r="DT8" i="2"/>
  <c r="DT23" i="2"/>
  <c r="DT71" i="2"/>
  <c r="DT103" i="2"/>
  <c r="DT200" i="2"/>
  <c r="DT198" i="2"/>
  <c r="DT164" i="2"/>
  <c r="DT32" i="2"/>
  <c r="DT126" i="2"/>
  <c r="DT37" i="2"/>
  <c r="DT25" i="2"/>
  <c r="DT97" i="2"/>
  <c r="DT176" i="2"/>
  <c r="DT24" i="2"/>
  <c r="DT171" i="2"/>
  <c r="DT10" i="2"/>
  <c r="DT188" i="2"/>
  <c r="DT17" i="2"/>
  <c r="DT47" i="2"/>
  <c r="DT194" i="2"/>
  <c r="DT81" i="2"/>
  <c r="DT42" i="2"/>
  <c r="DT98" i="2"/>
  <c r="DT16" i="2"/>
  <c r="DT66" i="2"/>
  <c r="DT190" i="2"/>
  <c r="DT157" i="2"/>
  <c r="DT18" i="2"/>
  <c r="DT4" i="2"/>
  <c r="DT110" i="2"/>
  <c r="DT152" i="2"/>
  <c r="DT134" i="2"/>
  <c r="DT189" i="2"/>
  <c r="DT39" i="2"/>
  <c r="DT6" i="2"/>
  <c r="DT169" i="2"/>
  <c r="DT34" i="2"/>
  <c r="DT101" i="2"/>
  <c r="DT86" i="2"/>
  <c r="DT28" i="2"/>
  <c r="DT96" i="2"/>
  <c r="DT73" i="2"/>
  <c r="DT118" i="2"/>
  <c r="DT83" i="2"/>
  <c r="DT51" i="2"/>
  <c r="DT144" i="2"/>
  <c r="DT63" i="2"/>
  <c r="DT174" i="2"/>
  <c r="DT106" i="2"/>
  <c r="DT127" i="2"/>
  <c r="DT84" i="2"/>
  <c r="DT13" i="2"/>
  <c r="DT113" i="2"/>
  <c r="DT163" i="2"/>
  <c r="DT48" i="2"/>
  <c r="DT201" i="2"/>
  <c r="DT109" i="2"/>
  <c r="DT44" i="2"/>
  <c r="DT177" i="2"/>
  <c r="DT195" i="2"/>
  <c r="DT85" i="2"/>
  <c r="DT36" i="2"/>
  <c r="DT80" i="2"/>
  <c r="DT146" i="2"/>
  <c r="DT202" i="2"/>
  <c r="DT149" i="2"/>
  <c r="DT20" i="2"/>
  <c r="DT93" i="2"/>
  <c r="DT90" i="2"/>
  <c r="DT35" i="2"/>
  <c r="DT143" i="2"/>
  <c r="DT75" i="2"/>
  <c r="DT94" i="2"/>
  <c r="DT199" i="2"/>
  <c r="DT104" i="2"/>
  <c r="DT114" i="2"/>
  <c r="DT49" i="2"/>
  <c r="DT78" i="2"/>
  <c r="DT151" i="2"/>
  <c r="DT153" i="2"/>
  <c r="DT147" i="2"/>
  <c r="DT58" i="2"/>
  <c r="DT61" i="2"/>
  <c r="DT95" i="2"/>
  <c r="DT121" i="2"/>
  <c r="DT197" i="2"/>
  <c r="DT203" i="2"/>
  <c r="DT166" i="2"/>
  <c r="DT133" i="2"/>
  <c r="DT161" i="2"/>
  <c r="DT165" i="2"/>
  <c r="DT31" i="2"/>
  <c r="DT117" i="2"/>
  <c r="DT30" i="2"/>
  <c r="DT22" i="2"/>
  <c r="FE196" i="2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49" i="2" l="1"/>
  <c r="BI107" i="2"/>
  <c r="BI177" i="2"/>
  <c r="BI25" i="2"/>
  <c r="BI41" i="2"/>
  <c r="BI22" i="2"/>
  <c r="BI71" i="2"/>
  <c r="BI8" i="2"/>
  <c r="BI116" i="2"/>
  <c r="BI61" i="2"/>
  <c r="BI30" i="2"/>
  <c r="BI99" i="2"/>
  <c r="BI174" i="2"/>
  <c r="BI102" i="2"/>
  <c r="BI47" i="2"/>
  <c r="BI190" i="2"/>
  <c r="BI110" i="2"/>
  <c r="BI103" i="2"/>
  <c r="BI150" i="2"/>
  <c r="BI138" i="2"/>
  <c r="BI112" i="2"/>
  <c r="BI111" i="2"/>
  <c r="BI5" i="2"/>
  <c r="BI96" i="2"/>
  <c r="BI59" i="2"/>
  <c r="BI123" i="2"/>
  <c r="BI52" i="2"/>
  <c r="BI77" i="2"/>
  <c r="BI130" i="2"/>
  <c r="BI196" i="2"/>
  <c r="BI188" i="2"/>
  <c r="BI17" i="2"/>
  <c r="BI65" i="2"/>
  <c r="BI142" i="2"/>
  <c r="BI160" i="2"/>
  <c r="BI166" i="2"/>
  <c r="BI135" i="2"/>
  <c r="BI148" i="2"/>
  <c r="BI179" i="2"/>
  <c r="BI198" i="2"/>
  <c r="BI158" i="2"/>
  <c r="BI69" i="2"/>
  <c r="BI134" i="2"/>
  <c r="BI81" i="2"/>
  <c r="BI152" i="2"/>
  <c r="BI48" i="2"/>
  <c r="BI57" i="2"/>
  <c r="BI4" i="2"/>
  <c r="BI20" i="2"/>
  <c r="BI141" i="2"/>
  <c r="BI84" i="2"/>
  <c r="BI35" i="2"/>
  <c r="BI68" i="2"/>
  <c r="BI18" i="2"/>
  <c r="BI133" i="2"/>
  <c r="BI159" i="2"/>
  <c r="BI15" i="2"/>
  <c r="BI201" i="2"/>
  <c r="BI88" i="2"/>
  <c r="BI168" i="2"/>
  <c r="BI167" i="2"/>
  <c r="BI83" i="2"/>
  <c r="BI95" i="2"/>
  <c r="BI50" i="2"/>
  <c r="BI146" i="2"/>
  <c r="BI122" i="2"/>
  <c r="BI32" i="2"/>
  <c r="BI16" i="2"/>
  <c r="BI31" i="2"/>
  <c r="BI172" i="2"/>
  <c r="BI34" i="2"/>
  <c r="BI7" i="2"/>
  <c r="BI171" i="2"/>
  <c r="BI151" i="2"/>
  <c r="BI139" i="2"/>
  <c r="BI128" i="2"/>
  <c r="BI75" i="2"/>
  <c r="BI24" i="2"/>
  <c r="BI54" i="2"/>
  <c r="BI64" i="2"/>
  <c r="BI183" i="2"/>
  <c r="BI109" i="2"/>
  <c r="BI187" i="2"/>
  <c r="BI36" i="2"/>
  <c r="BI42" i="2"/>
  <c r="BI27" i="2"/>
  <c r="BI86" i="2"/>
  <c r="BI89" i="2"/>
  <c r="BI184" i="2"/>
  <c r="BI58" i="2"/>
  <c r="BI104" i="2"/>
  <c r="BI11" i="2"/>
  <c r="BI91" i="2"/>
  <c r="BI165" i="2"/>
  <c r="BI28" i="2"/>
  <c r="BI101" i="2"/>
  <c r="BI173" i="2"/>
  <c r="BI13" i="2"/>
  <c r="BI119" i="2"/>
  <c r="BI98" i="2"/>
  <c r="BI33" i="2"/>
  <c r="BI106" i="2"/>
  <c r="BI137" i="2"/>
  <c r="BI154" i="2"/>
  <c r="BI10" i="2"/>
  <c r="BI169" i="2"/>
  <c r="BI26" i="2"/>
  <c r="BI156" i="2"/>
  <c r="BI90" i="2"/>
  <c r="BI192" i="2"/>
  <c r="BI125" i="2"/>
  <c r="BI170" i="2"/>
  <c r="BI189" i="2"/>
  <c r="BI157" i="2"/>
  <c r="BI55" i="2"/>
  <c r="BI74" i="2"/>
  <c r="BI194" i="2"/>
  <c r="BI115" i="2"/>
  <c r="BI46" i="2"/>
  <c r="BI40" i="2"/>
  <c r="BI131" i="2"/>
  <c r="BI82" i="2"/>
  <c r="BI124" i="2"/>
  <c r="BI202" i="2"/>
  <c r="BI38" i="2"/>
  <c r="BI97" i="2"/>
  <c r="BI44" i="2"/>
  <c r="BI121" i="2"/>
  <c r="BI67" i="2"/>
  <c r="BI45" i="2"/>
  <c r="BI85" i="2"/>
  <c r="BI80" i="2"/>
  <c r="BI62" i="2"/>
  <c r="BI66" i="2"/>
  <c r="BI14" i="2"/>
  <c r="BI105" i="2"/>
  <c r="BI203" i="2"/>
  <c r="BI117" i="2"/>
  <c r="BI100" i="2"/>
  <c r="BI118" i="2"/>
  <c r="BI199" i="2"/>
  <c r="BI113" i="2"/>
  <c r="BI162" i="2"/>
  <c r="BI53" i="2"/>
  <c r="BI163" i="2"/>
  <c r="BI140" i="2"/>
  <c r="BI60" i="2"/>
  <c r="BI182" i="2"/>
  <c r="BI94" i="2"/>
  <c r="BI9" i="2"/>
  <c r="BI72" i="2"/>
  <c r="BI43" i="2"/>
  <c r="BI175" i="2"/>
  <c r="BI136" i="2"/>
  <c r="BI191" i="2"/>
  <c r="BI79" i="2"/>
  <c r="BI108" i="2"/>
  <c r="BI120" i="2"/>
  <c r="BI155" i="2"/>
  <c r="BI37" i="2"/>
  <c r="BI76" i="2"/>
  <c r="BI153" i="2"/>
  <c r="BI93" i="2"/>
  <c r="BI193" i="2"/>
  <c r="BI70" i="2"/>
  <c r="BI145" i="2"/>
  <c r="BI21" i="2"/>
  <c r="BI129" i="2"/>
  <c r="BI39" i="2"/>
  <c r="BI56" i="2"/>
  <c r="BI161" i="2"/>
  <c r="BI176" i="2"/>
  <c r="BI132" i="2"/>
  <c r="BI73" i="2"/>
  <c r="BI200" i="2"/>
  <c r="BI114" i="2"/>
  <c r="BI127" i="2"/>
  <c r="BI180" i="2"/>
  <c r="BI126" i="2"/>
  <c r="BI29" i="2"/>
  <c r="BI3" i="2"/>
  <c r="C8" i="4" s="1"/>
  <c r="E8" i="4" s="1"/>
  <c r="F8" i="4" s="1"/>
  <c r="G8" i="4" s="1"/>
  <c r="L8" i="4" s="1"/>
  <c r="BI178" i="2"/>
  <c r="BI195" i="2"/>
  <c r="BI63" i="2"/>
  <c r="BI197" i="2"/>
  <c r="BI181" i="2"/>
  <c r="BI144" i="2"/>
  <c r="BI143" i="2"/>
  <c r="BI186" i="2"/>
  <c r="BI149" i="2"/>
  <c r="BI19" i="2"/>
  <c r="BI6" i="2"/>
  <c r="BI23" i="2"/>
  <c r="BI92" i="2"/>
  <c r="BI164" i="2"/>
  <c r="BI185" i="2"/>
  <c r="BI78" i="2"/>
  <c r="BI51" i="2"/>
  <c r="BI87" i="2"/>
  <c r="BI147" i="2"/>
  <c r="BI12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<sst xmlns="http://schemas.openxmlformats.org/spreadsheetml/2006/main" count="1181" uniqueCount="329">
  <si>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</si>
  <si>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</si>
  <si>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</si>
  <si>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</si>
  <si>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</si>
  <si>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</si>
  <si>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</si>
  <si>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</si>
  <si>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</si>
  <si>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</si>
  <si>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</si>
  <si>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</si>
  <si>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</si>
  <si>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</si>
  <si>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</si>
  <si>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</si>
  <si>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</si>
  <si>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</si>
  <si>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</si>
  <si>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</si>
  <si>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</si>
  <si>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</si>
  <si>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</si>
  <si>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</si>
  <si>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</si>
  <si>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</si>
  <si>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</si>
  <si>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</si>
  <si>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</si>
  <si>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</si>
  <si>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</si>
  <si>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</si>
  <si>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</si>
  <si>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</si>
  <si>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</si>
  <si>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</si>
  <si>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</si>
  <si>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</si>
  <si>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</si>
  <si>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</si>
  <si>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</si>
  <si>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</si>
  <si>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</si>
  <si>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</si>
  <si>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</si>
  <si>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</si>
  <si>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</si>
  <si>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</si>
  <si>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</si>
  <si>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</si>
  <si>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</si>
  <si>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</si>
  <si>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</si>
  <si>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</si>
  <si>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</si>
  <si>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</si>
  <si>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</si>
  <si>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</si>
  <si>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</si>
  <si>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</si>
  <si>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</si>
  <si>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</si>
  <si>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</si>
  <si>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</si>
  <si>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</si>
  <si>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</si>
  <si>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</si>
  <si>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</si>
  <si>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</si>
  <si>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</si>
  <si>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</si>
  <si>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</si>
  <si>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</si>
  <si>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</si>
  <si>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</si>
  <si>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</si>
  <si>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</si>
  <si>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</si>
  <si>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</si>
  <si>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</si>
  <si>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</si>
  <si>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</si>
  <si>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</si>
  <si>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</si>
  <si>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</si>
  <si>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</si>
  <si>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</si>
  <si>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</si>
  <si>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</si>
  <si>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</si>
  <si>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</si>
  <si>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</si>
  <si>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</si>
  <si>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</si>
  <si>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</si>
  <si>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</si>
  <si>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</si>
  <si>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</si>
  <si>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</si>
  <si>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</si>
  <si>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</si>
  <si>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</si>
  <si>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</si>
  <si>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</si>
  <si>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</si>
  <si>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</si>
  <si>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</si>
  <si>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</si>
  <si>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</si>
  <si>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</si>
  <si>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</si>
  <si>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</si>
  <si>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</si>
  <si>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</si>
  <si>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</si>
  <si>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</si>
  <si>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</si>
  <si>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</si>
  <si>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</si>
  <si>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</si>
  <si>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</si>
  <si>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</si>
  <si>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</si>
  <si>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</si>
  <si>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</si>
  <si>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</si>
  <si>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</si>
  <si>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</si>
  <si>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</si>
  <si>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</si>
  <si>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</si>
  <si>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</si>
  <si>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</si>
  <si>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</si>
  <si>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</si>
  <si>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</si>
  <si>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</si>
  <si>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</si>
  <si>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</si>
  <si>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</si>
  <si>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</si>
  <si>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</si>
  <si>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</si>
  <si>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</si>
  <si>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</si>
  <si>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</si>
  <si>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</si>
  <si>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</si>
  <si>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</si>
  <si>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</si>
  <si>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</si>
  <si>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</si>
  <si>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</si>
  <si>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</si>
  <si>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</si>
  <si>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</si>
  <si>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</si>
  <si>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</si>
  <si>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</si>
  <si>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</si>
  <si>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</si>
  <si>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</si>
  <si>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</si>
  <si>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</si>
  <si>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</si>
  <si>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</si>
  <si>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</si>
  <si>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</si>
  <si>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</si>
  <si>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</si>
  <si>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</si>
  <si>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</si>
  <si>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</si>
  <si>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</si>
  <si>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</si>
  <si>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</si>
  <si>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</si>
  <si>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</si>
  <si>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</si>
  <si>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</si>
  <si>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</si>
  <si>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</si>
  <si>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</si>
  <si>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</si>
  <si>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</si>
  <si>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</si>
  <si>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</si>
  <si>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</si>
  <si>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</si>
  <si>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</si>
  <si>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</si>
  <si>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</si>
  <si>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</si>
  <si>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</si>
  <si>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</si>
  <si>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</si>
  <si>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</si>
  <si>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</si>
  <si>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</si>
  <si>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</si>
  <si>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</si>
  <si>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</si>
  <si>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</si>
  <si>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</si>
  <si>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</si>
  <si>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</si>
  <si>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</si>
  <si>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</si>
  <si>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</si>
  <si>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</si>
  <si>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</si>
  <si>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</si>
  <si>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</si>
  <si>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</si>
  <si>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</si>
  <si>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</si>
  <si>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</si>
  <si>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</si>
  <si>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</si>
  <si>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</si>
  <si>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</si>
  <si>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</si>
  <si>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</si>
  <si>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</si>
  <si>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</si>
  <si>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</si>
  <si>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</si>
  <si>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</si>
  <si>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</si>
  <si>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</si>
  <si>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</si>
  <si>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</si>
  <si>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</si>
  <si>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</si>
  <si>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</si>
  <si>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</si>
  <si>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</si>
  <si>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</si>
  <si>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</si>
  <si>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</si>
  <si>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</si>
  <si>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</si>
  <si>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</si>
  <si>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</si>
  <si>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</si>
  <si>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</si>
  <si>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</si>
  <si>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</si>
  <si>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</si>
  <si>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</si>
  <si>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</si>
  <si>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</si>
  <si>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</si>
  <si>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</si>
  <si>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</si>
  <si>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</si>
  <si>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</si>
  <si>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</si>
  <si>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</si>
  <si>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</si>
  <si>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</si>
  <si>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</si>
  <si>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</si>
  <si>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</si>
  <si>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</si>
  <si>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</si>
  <si>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</si>
  <si>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</si>
  <si>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</si>
  <si>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</si>
  <si>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</si>
  <si>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</si>
  <si>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</si>
  <si>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</si>
  <si>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</si>
  <si>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</si>
  <si>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</si>
  <si>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</si>
  <si>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</si>
  <si>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</si>
  <si>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</si>
  <si>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</si>
  <si>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</si>
  <si>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</si>
  <si>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</si>
  <si>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</si>
  <si>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</si>
  <si>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</si>
  <si>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</si>
  <si>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</si>
  <si>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</si>
  <si>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</si>
  <si>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</si>
  <si>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</si>
  <si>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</si>
  <si>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</si>
  <si>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</si>
  <si>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</si>
  <si>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</si>
  <si>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</si>
  <si>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</si>
  <si>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</si>
  <si>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</si>
  <si>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</si>
  <si>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</si>
  <si>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</si>
  <si>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</si>
  <si>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</si>
  <si>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</si>
  <si>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</si>
  <si>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</si>
  <si>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</si>
  <si>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</si>
  <si>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</si>
  <si>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</si>
  <si>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</si>
  <si>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</si>
  <si>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</si>
  <si>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</si>
  <si>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</si>
  <si>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</si>
  <si>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</si>
  <si>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</si>
  <si>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</si>
  <si>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ONF F1</t>
  </si>
  <si>
    <t>ONF_Loire basin_F1_plantation</t>
  </si>
  <si>
    <t>ONF_CHS_F3</t>
  </si>
  <si>
    <t>D. Duyck</t>
  </si>
  <si>
    <t>UK For Comm _SAB F10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</si>
</sst>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68" fontId="0" fillId="0" borderId="0" xfId="0" applyNumberFormat="1" applyProtection="1"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2.6737980304323585</c:v>
                </c:pt>
                <c:pt idx="2">
                  <c:v>3.0943090739629628</c:v>
                </c:pt>
                <c:pt idx="3">
                  <c:v>3.5811929339565567</c:v>
                </c:pt>
                <c:pt idx="4">
                  <c:v>4.1449613785168511</c:v>
                </c:pt>
                <c:pt idx="5">
                  <c:v>4.7977962608357618</c:v>
                </c:pt>
                <c:pt idx="6">
                  <c:v>5.5538156415632898</c:v>
                </c:pt>
                <c:pt idx="7">
                  <c:v>6.4293824324905131</c:v>
                </c:pt>
                <c:pt idx="8">
                  <c:v>7.4434623726649827</c:v>
                </c:pt>
                <c:pt idx="9">
                  <c:v>8.6180392415700524</c:v>
                </c:pt>
                <c:pt idx="10">
                  <c:v>9.9785964834391248</c:v>
                </c:pt>
                <c:pt idx="11">
                  <c:v>11.554675890499484</c:v>
                </c:pt>
                <c:pt idx="12">
                  <c:v>13.38052570388389</c:v>
                </c:pt>
                <c:pt idx="13">
                  <c:v>15.495852477366185</c:v>
                </c:pt>
                <c:pt idx="14">
                  <c:v>17.946693355403458</c:v>
                </c:pt>
                <c:pt idx="15">
                  <c:v>20.786428094814809</c:v>
                </c:pt>
                <c:pt idx="16">
                  <c:v>24.076953268748301</c:v>
                </c:pt>
                <c:pt idx="17">
                  <c:v>27.890044702026973</c:v>
                </c:pt>
                <c:pt idx="18">
                  <c:v>32.30893837942314</c:v>
                </c:pt>
                <c:pt idx="19">
                  <c:v>37.430164936871329</c:v>
                </c:pt>
                <c:pt idx="20">
                  <c:v>43.365678499276271</c:v>
                </c:pt>
                <c:pt idx="21">
                  <c:v>50.245327194245732</c:v>
                </c:pt>
                <c:pt idx="22">
                  <c:v>58.219720296145177</c:v>
                </c:pt>
                <c:pt idx="23">
                  <c:v>67.463555810539106</c:v>
                </c:pt>
                <c:pt idx="24">
                  <c:v>78.179482594275399</c:v>
                </c:pt>
                <c:pt idx="25">
                  <c:v>90.60258305230083</c:v>
                </c:pt>
                <c:pt idx="26">
                  <c:v>105.005576327306</c:v>
                </c:pt>
                <c:pt idx="27">
                  <c:v>121.70485801451069</c:v>
                </c:pt>
                <c:pt idx="28">
                  <c:v>141.06751115386842</c:v>
                </c:pt>
                <c:pt idx="29">
                  <c:v>163.51944499698146</c:v>
                </c:pt>
                <c:pt idx="30">
                  <c:v>189.5548433056081</c:v>
                </c:pt>
                <c:pt idx="31">
                  <c:v>219.74713328168124</c:v>
                </c:pt>
                <c:pt idx="32">
                  <c:v>254.76172031629076</c:v>
                </c:pt>
                <c:pt idx="33">
                  <c:v>295.37077334531978</c:v>
                </c:pt>
                <c:pt idx="34">
                  <c:v>342.47039160511548</c:v>
                </c:pt>
                <c:pt idx="35">
                  <c:v>298.49846155904305</c:v>
                </c:pt>
                <c:pt idx="36">
                  <c:v>325.52045225626819</c:v>
                </c:pt>
                <c:pt idx="37">
                  <c:v>352.49289391837186</c:v>
                </c:pt>
                <c:pt idx="38">
                  <c:v>379.42010762458534</c:v>
                </c:pt>
                <c:pt idx="39">
                  <c:v>406.30575129176503</c:v>
                </c:pt>
                <c:pt idx="40">
                  <c:v>433.15295950772139</c:v>
                </c:pt>
                <c:pt idx="41">
                  <c:v>459.9644468634869</c:v>
                </c:pt>
                <c:pt idx="42">
                  <c:v>486.74258592712107</c:v>
                </c:pt>
                <c:pt idx="43">
                  <c:v>402.6863801134038</c:v>
                </c:pt>
                <c:pt idx="44">
                  <c:v>430.29805347853835</c:v>
                </c:pt>
                <c:pt idx="45">
                  <c:v>457.87166664968487</c:v>
                </c:pt>
                <c:pt idx="46">
                  <c:v>485.40983120164657</c:v>
                </c:pt>
                <c:pt idx="47">
                  <c:v>512.91483849860072</c:v>
                </c:pt>
                <c:pt idx="48">
                  <c:v>540.38871436673799</c:v>
                </c:pt>
                <c:pt idx="49">
                  <c:v>567.83326207225002</c:v>
                </c:pt>
                <c:pt idx="50">
                  <c:v>595.25009656142754</c:v>
                </c:pt>
                <c:pt idx="51">
                  <c:v>486.84565545428495</c:v>
                </c:pt>
                <c:pt idx="52">
                  <c:v>513.81747826911885</c:v>
                </c:pt>
                <c:pt idx="53">
                  <c:v>540.7594227694326</c:v>
                </c:pt>
                <c:pt idx="54">
                  <c:v>567.67318501986585</c:v>
                </c:pt>
                <c:pt idx="55">
                  <c:v>594.56028733429628</c:v>
                </c:pt>
                <c:pt idx="56">
                  <c:v>621.42210328406259</c:v>
                </c:pt>
                <c:pt idx="57">
                  <c:v>648.25987816020552</c:v>
                </c:pt>
                <c:pt idx="58">
                  <c:v>675.07474587368461</c:v>
                </c:pt>
                <c:pt idx="59">
                  <c:v>575.30805370400878</c:v>
                </c:pt>
                <c:pt idx="60">
                  <c:v>601.13070346995141</c:v>
                </c:pt>
                <c:pt idx="61">
                  <c:v>626.93030959755595</c:v>
                </c:pt>
                <c:pt idx="62">
                  <c:v>652.70795254564484</c:v>
                </c:pt>
                <c:pt idx="63">
                  <c:v>678.46462058239911</c:v>
                </c:pt>
                <c:pt idx="64">
                  <c:v>704.20122092209192</c:v>
                </c:pt>
                <c:pt idx="65">
                  <c:v>729.91858915073738</c:v>
                </c:pt>
                <c:pt idx="66">
                  <c:v>755.61749725572326</c:v>
                </c:pt>
                <c:pt idx="67">
                  <c:v>634.39698138943356</c:v>
                </c:pt>
                <c:pt idx="68">
                  <c:v>658.78701023794144</c:v>
                </c:pt>
                <c:pt idx="69">
                  <c:v>683.158451920331</c:v>
                </c:pt>
                <c:pt idx="70">
                  <c:v>707.51206197606132</c:v>
                </c:pt>
                <c:pt idx="71">
                  <c:v>731.84853975815815</c:v>
                </c:pt>
                <c:pt idx="72">
                  <c:v>756.16853437807106</c:v>
                </c:pt>
                <c:pt idx="73">
                  <c:v>780.47264984684045</c:v>
                </c:pt>
                <c:pt idx="74">
                  <c:v>804.76144954334825</c:v>
                </c:pt>
                <c:pt idx="75">
                  <c:v>684.6197833537384</c:v>
                </c:pt>
                <c:pt idx="76">
                  <c:v>707.61670982448493</c:v>
                </c:pt>
                <c:pt idx="77">
                  <c:v>730.59836192905857</c:v>
                </c:pt>
                <c:pt idx="78">
                  <c:v>753.56528715170464</c:v>
                </c:pt>
                <c:pt idx="79">
                  <c:v>776.51799692714212</c:v>
                </c:pt>
                <c:pt idx="80">
                  <c:v>799.45697003086968</c:v>
                </c:pt>
                <c:pt idx="81">
                  <c:v>822.38265556060048</c:v>
                </c:pt>
                <c:pt idx="82">
                  <c:v>845.29547556837406</c:v>
                </c:pt>
                <c:pt idx="83">
                  <c:v>757.09482840743919</c:v>
                </c:pt>
                <c:pt idx="84">
                  <c:v>779.25733761234221</c:v>
                </c:pt>
                <c:pt idx="85">
                  <c:v>801.40708912663069</c:v>
                </c:pt>
                <c:pt idx="86">
                  <c:v>823.54448473067441</c:v>
                </c:pt>
                <c:pt idx="87">
                  <c:v>845.66990287278952</c:v>
                </c:pt>
                <c:pt idx="88">
                  <c:v>867.78370061131125</c:v>
                </c:pt>
                <c:pt idx="89">
                  <c:v>889.88621534867627</c:v>
                </c:pt>
                <c:pt idx="90">
                  <c:v>911.9777663845033</c:v>
                </c:pt>
                <c:pt idx="91">
                  <c:v>803.45959274206746</c:v>
                </c:pt>
                <c:pt idx="92">
                  <c:v>824.86845553628189</c:v>
                </c:pt>
                <c:pt idx="93">
                  <c:v>846.26613593714671</c:v>
                </c:pt>
                <c:pt idx="94">
                  <c:v>867.65295612366288</c:v>
                </c:pt>
                <c:pt idx="95">
                  <c:v>889.02922111887312</c:v>
                </c:pt>
                <c:pt idx="96">
                  <c:v>910.39522010217399</c:v>
                </c:pt>
                <c:pt idx="97">
                  <c:v>931.75122759220085</c:v>
                </c:pt>
                <c:pt idx="98">
                  <c:v>953.09750451577702</c:v>
                </c:pt>
                <c:pt idx="99">
                  <c:v>974.43429917626281</c:v>
                </c:pt>
                <c:pt idx="100">
                  <c:v>995.76184813280258</c:v>
                </c:pt>
                <c:pt idx="101">
                  <c:v>840.17828387797579</c:v>
                </c:pt>
                <c:pt idx="102">
                  <c:v>860.72861734504897</c:v>
                </c:pt>
                <c:pt idx="103">
                  <c:v>881.26911871096502</c:v>
                </c:pt>
                <c:pt idx="104">
                  <c:v>901.80004910721084</c:v>
                </c:pt>
                <c:pt idx="105">
                  <c:v>922.32165682199127</c:v>
                </c:pt>
                <c:pt idx="106">
                  <c:v>942.83417820931766</c:v>
                </c:pt>
                <c:pt idx="107">
                  <c:v>963.33783851498117</c:v>
                </c:pt>
                <c:pt idx="108">
                  <c:v>983.83285262865172</c:v>
                </c:pt>
                <c:pt idx="109">
                  <c:v>1004.3194257701401</c:v>
                </c:pt>
                <c:pt idx="110">
                  <c:v>1024.7977541168391</c:v>
                </c:pt>
                <c:pt idx="111">
                  <c:v>906.48026452257966</c:v>
                </c:pt>
                <c:pt idx="112">
                  <c:v>926.78215925861196</c:v>
                </c:pt>
                <c:pt idx="113">
                  <c:v>947.07520827387407</c:v>
                </c:pt>
                <c:pt idx="114">
                  <c:v>967.35962753381591</c:v>
                </c:pt>
                <c:pt idx="115">
                  <c:v>987.63562322140353</c:v>
                </c:pt>
                <c:pt idx="116">
                  <c:v>1007.9033923759724</c:v>
                </c:pt>
                <c:pt idx="117">
                  <c:v>1028.1631234781019</c:v>
                </c:pt>
                <c:pt idx="118">
                  <c:v>1048.4149969860646</c:v>
                </c:pt>
                <c:pt idx="119">
                  <c:v>1068.6591858287338</c:v>
                </c:pt>
                <c:pt idx="120">
                  <c:v>1088.8958558592624</c:v>
                </c:pt>
                <c:pt idx="121">
                  <c:v>984.47170812959484</c:v>
                </c:pt>
                <c:pt idx="122">
                  <c:v>1004.7785351985522</c:v>
                </c:pt>
                <c:pt idx="123">
                  <c:v>1025.0772655736414</c:v>
                </c:pt>
                <c:pt idx="124">
                  <c:v>1045.3680819280014</c:v>
                </c:pt>
                <c:pt idx="125">
                  <c:v>1065.6511592760337</c:v>
                </c:pt>
                <c:pt idx="126">
                  <c:v>1085.9266654370654</c:v>
                </c:pt>
                <c:pt idx="127">
                  <c:v>1106.1947614626372</c:v>
                </c:pt>
                <c:pt idx="128">
                  <c:v>1126.4556020309005</c:v>
                </c:pt>
                <c:pt idx="129">
                  <c:v>1146.709335811212</c:v>
                </c:pt>
                <c:pt idx="130">
                  <c:v>1166.95610580167</c:v>
                </c:pt>
                <c:pt idx="131">
                  <c:v>1044.4619025340414</c:v>
                </c:pt>
                <c:pt idx="132">
                  <c:v>1064.9302649523968</c:v>
                </c:pt>
                <c:pt idx="133">
                  <c:v>1085.3909114956843</c:v>
                </c:pt>
                <c:pt idx="134">
                  <c:v>1105.8440078721535</c:v>
                </c:pt>
                <c:pt idx="135">
                  <c:v>1126.2897131704797</c:v>
                </c:pt>
                <c:pt idx="136">
                  <c:v>1146.7281802419484</c:v>
                </c:pt>
                <c:pt idx="137">
                  <c:v>1167.1595560540247</c:v>
                </c:pt>
                <c:pt idx="138">
                  <c:v>1187.5839820179174</c:v>
                </c:pt>
                <c:pt idx="139">
                  <c:v>1208.0015942924804</c:v>
                </c:pt>
                <c:pt idx="140">
                  <c:v>1228.4125240665323</c:v>
                </c:pt>
                <c:pt idx="141">
                  <c:v>1108.2370093829725</c:v>
                </c:pt>
                <c:pt idx="142">
                  <c:v>1128.7402956172302</c:v>
                </c:pt>
                <c:pt idx="143">
                  <c:v>1149.2363202035792</c:v>
                </c:pt>
                <c:pt idx="144">
                  <c:v>1169.7252306767962</c:v>
                </c:pt>
                <c:pt idx="145">
                  <c:v>1190.2071689905461</c:v>
                </c:pt>
                <c:pt idx="146">
                  <c:v>1210.6822718228229</c:v>
                </c:pt>
                <c:pt idx="147">
                  <c:v>1231.1506708596933</c:v>
                </c:pt>
                <c:pt idx="148">
                  <c:v>1251.6124930592212</c:v>
                </c:pt>
                <c:pt idx="149">
                  <c:v>1272.0678608972707</c:v>
                </c:pt>
                <c:pt idx="150">
                  <c:v>1292.5168925967034</c:v>
                </c:pt>
                <c:pt idx="151">
                  <c:v>816.01334617680141</c:v>
                </c:pt>
                <c:pt idx="152">
                  <c:v>829.51908601437174</c:v>
                </c:pt>
                <c:pt idx="153">
                  <c:v>843.0204025614504</c:v>
                </c:pt>
                <c:pt idx="154">
                  <c:v>553.29262833385587</c:v>
                </c:pt>
                <c:pt idx="155">
                  <c:v>561.10044728949822</c:v>
                </c:pt>
                <c:pt idx="156">
                  <c:v>568.90599291549813</c:v>
                </c:pt>
                <c:pt idx="157">
                  <c:v>388.08375787348422</c:v>
                </c:pt>
                <c:pt idx="158">
                  <c:v>392.7077850319518</c:v>
                </c:pt>
                <c:pt idx="159">
                  <c:v>397.33063149976448</c:v>
                </c:pt>
                <c:pt idx="160">
                  <c:v>8.7420875242334695E-12</c:v>
                </c:pt>
                <c:pt idx="161">
                  <c:v>8.7420875242334695E-12</c:v>
                </c:pt>
                <c:pt idx="162">
                  <c:v>8.7420875242334695E-12</c:v>
                </c:pt>
                <c:pt idx="163">
                  <c:v>8.7420875242334695E-12</c:v>
                </c:pt>
                <c:pt idx="164">
                  <c:v>8.7420875242334695E-12</c:v>
                </c:pt>
                <c:pt idx="165">
                  <c:v>8.7420875242334695E-12</c:v>
                </c:pt>
                <c:pt idx="166">
                  <c:v>8.7420875242334695E-12</c:v>
                </c:pt>
                <c:pt idx="167">
                  <c:v>8.7420875242334695E-12</c:v>
                </c:pt>
                <c:pt idx="168">
                  <c:v>8.7420875242334695E-12</c:v>
                </c:pt>
                <c:pt idx="169">
                  <c:v>8.7420875242334695E-12</c:v>
                </c:pt>
                <c:pt idx="170">
                  <c:v>8.7420875242334695E-12</c:v>
                </c:pt>
                <c:pt idx="171">
                  <c:v>8.7420875242334695E-12</c:v>
                </c:pt>
                <c:pt idx="172">
                  <c:v>8.7420875242334695E-12</c:v>
                </c:pt>
                <c:pt idx="173">
                  <c:v>8.7420875242334695E-12</c:v>
                </c:pt>
                <c:pt idx="174">
                  <c:v>8.7420875242334695E-12</c:v>
                </c:pt>
                <c:pt idx="175">
                  <c:v>8.7420875242334695E-12</c:v>
                </c:pt>
                <c:pt idx="176">
                  <c:v>8.7420875242334695E-12</c:v>
                </c:pt>
                <c:pt idx="177">
                  <c:v>8.7420875242334695E-12</c:v>
                </c:pt>
                <c:pt idx="178">
                  <c:v>8.7420875242334695E-12</c:v>
                </c:pt>
                <c:pt idx="179">
                  <c:v>8.7420875242334695E-12</c:v>
                </c:pt>
                <c:pt idx="180">
                  <c:v>8.7420875242334695E-12</c:v>
                </c:pt>
                <c:pt idx="181">
                  <c:v>8.7420875242334695E-12</c:v>
                </c:pt>
                <c:pt idx="182">
                  <c:v>8.7420875242334695E-12</c:v>
                </c:pt>
                <c:pt idx="183">
                  <c:v>8.7420875242334695E-12</c:v>
                </c:pt>
                <c:pt idx="184">
                  <c:v>8.7420875242334695E-12</c:v>
                </c:pt>
                <c:pt idx="185">
                  <c:v>8.7420875242334695E-12</c:v>
                </c:pt>
                <c:pt idx="186">
                  <c:v>8.7420875242334695E-12</c:v>
                </c:pt>
                <c:pt idx="187">
                  <c:v>8.7420875242334695E-12</c:v>
                </c:pt>
                <c:pt idx="188">
                  <c:v>8.7420875242334695E-12</c:v>
                </c:pt>
                <c:pt idx="189">
                  <c:v>8.7420875242334695E-12</c:v>
                </c:pt>
                <c:pt idx="190">
                  <c:v>8.7420875242334695E-12</c:v>
                </c:pt>
                <c:pt idx="191">
                  <c:v>8.7420875242334695E-12</c:v>
                </c:pt>
                <c:pt idx="192">
                  <c:v>8.7420875242334695E-12</c:v>
                </c:pt>
                <c:pt idx="193">
                  <c:v>8.7420875242334695E-12</c:v>
                </c:pt>
                <c:pt idx="194">
                  <c:v>8.7420875242334695E-12</c:v>
                </c:pt>
                <c:pt idx="195">
                  <c:v>8.7420875242334695E-12</c:v>
                </c:pt>
                <c:pt idx="196">
                  <c:v>8.7420875242334695E-12</c:v>
                </c:pt>
                <c:pt idx="197">
                  <c:v>8.7420875242334695E-12</c:v>
                </c:pt>
                <c:pt idx="198">
                  <c:v>8.7420875242334695E-12</c:v>
                </c:pt>
                <c:pt idx="199">
                  <c:v>8.7420875242334695E-12</c:v>
                </c:pt>
                <c:pt idx="200">
                  <c:v>8.7420875242334695E-12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2.5214086749849955</c:v>
                </c:pt>
                <c:pt idx="2">
                  <c:v>2.9476746959687219</c:v>
                </c:pt>
                <c:pt idx="3">
                  <c:v>3.4462679343355425</c:v>
                </c:pt>
                <c:pt idx="4">
                  <c:v>4.0295028091066616</c:v>
                </c:pt>
                <c:pt idx="5">
                  <c:v>4.7117971330513244</c:v>
                </c:pt>
                <c:pt idx="6">
                  <c:v>5.5100324614070191</c:v>
                </c:pt>
                <c:pt idx="7">
                  <c:v>6.443976345102846</c:v>
                </c:pt>
                <c:pt idx="8">
                  <c:v>7.5367771500501375</c:v>
                </c:pt>
                <c:pt idx="9">
                  <c:v>8.8155439445162127</c:v>
                </c:pt>
                <c:pt idx="10">
                  <c:v>10.312026115425956</c:v>
                </c:pt>
                <c:pt idx="11">
                  <c:v>12.063409906823109</c:v>
                </c:pt>
                <c:pt idx="12">
                  <c:v>14.113252044429068</c:v>
                </c:pt>
                <c:pt idx="13">
                  <c:v>16.512574095269713</c:v>
                </c:pt>
                <c:pt idx="14">
                  <c:v>19.321145299909375</c:v>
                </c:pt>
                <c:pt idx="15">
                  <c:v>22.608986411643873</c:v>
                </c:pt>
                <c:pt idx="16">
                  <c:v>26.458132704965564</c:v>
                </c:pt>
                <c:pt idx="17">
                  <c:v>30.964700918988459</c:v>
                </c:pt>
                <c:pt idx="18">
                  <c:v>36.241312649655946</c:v>
                </c:pt>
                <c:pt idx="19">
                  <c:v>42.419935796240964</c:v>
                </c:pt>
                <c:pt idx="20">
                  <c:v>49.655216336254263</c:v>
                </c:pt>
                <c:pt idx="21">
                  <c:v>58.12838522236234</c:v>
                </c:pt>
                <c:pt idx="22">
                  <c:v>68.05183988691067</c:v>
                </c:pt>
                <c:pt idx="23">
                  <c:v>79.674517081749613</c:v>
                </c:pt>
                <c:pt idx="24">
                  <c:v>93.288194016590026</c:v>
                </c:pt>
                <c:pt idx="25">
                  <c:v>109.23487850857845</c:v>
                </c:pt>
                <c:pt idx="26">
                  <c:v>127.91547673030321</c:v>
                </c:pt>
                <c:pt idx="27">
                  <c:v>149.79995986059552</c:v>
                </c:pt>
                <c:pt idx="28">
                  <c:v>175.43928934481758</c:v>
                </c:pt>
                <c:pt idx="29">
                  <c:v>205.47940554818516</c:v>
                </c:pt>
                <c:pt idx="30">
                  <c:v>240.67763749877909</c:v>
                </c:pt>
                <c:pt idx="31">
                  <c:v>281.92195353046623</c:v>
                </c:pt>
                <c:pt idx="32">
                  <c:v>186.15874891220116</c:v>
                </c:pt>
                <c:pt idx="33">
                  <c:v>209.83368794515187</c:v>
                </c:pt>
                <c:pt idx="34">
                  <c:v>233.44697549877742</c:v>
                </c:pt>
                <c:pt idx="35">
                  <c:v>257.00572454608067</c:v>
                </c:pt>
                <c:pt idx="36">
                  <c:v>280.51563609526079</c:v>
                </c:pt>
                <c:pt idx="37">
                  <c:v>303.9813769502631</c:v>
                </c:pt>
                <c:pt idx="38">
                  <c:v>249.93134365355093</c:v>
                </c:pt>
                <c:pt idx="39">
                  <c:v>275.24300456507007</c:v>
                </c:pt>
                <c:pt idx="40">
                  <c:v>300.50238084792096</c:v>
                </c:pt>
                <c:pt idx="41">
                  <c:v>325.71448267949529</c:v>
                </c:pt>
                <c:pt idx="42">
                  <c:v>350.88348121626149</c:v>
                </c:pt>
                <c:pt idx="43">
                  <c:v>376.01290047897925</c:v>
                </c:pt>
                <c:pt idx="44">
                  <c:v>401.10575519534768</c:v>
                </c:pt>
                <c:pt idx="45">
                  <c:v>325.22050406363837</c:v>
                </c:pt>
                <c:pt idx="46">
                  <c:v>350.81669879053698</c:v>
                </c:pt>
                <c:pt idx="47">
                  <c:v>376.37195036636803</c:v>
                </c:pt>
                <c:pt idx="48">
                  <c:v>401.88942714694684</c:v>
                </c:pt>
                <c:pt idx="49">
                  <c:v>427.3718625323624</c:v>
                </c:pt>
                <c:pt idx="50">
                  <c:v>452.82163758400475</c:v>
                </c:pt>
                <c:pt idx="51">
                  <c:v>478.24084409423403</c:v>
                </c:pt>
                <c:pt idx="52">
                  <c:v>404.40156465488667</c:v>
                </c:pt>
                <c:pt idx="53">
                  <c:v>429.70934519857565</c:v>
                </c:pt>
                <c:pt idx="54">
                  <c:v>454.98510429602402</c:v>
                </c:pt>
                <c:pt idx="55">
                  <c:v>480.23086913061974</c:v>
                </c:pt>
                <c:pt idx="56">
                  <c:v>505.44843654803253</c:v>
                </c:pt>
                <c:pt idx="57">
                  <c:v>530.63940964580081</c:v>
                </c:pt>
                <c:pt idx="58">
                  <c:v>555.8052270551816</c:v>
                </c:pt>
                <c:pt idx="59">
                  <c:v>484.25885843561099</c:v>
                </c:pt>
                <c:pt idx="60">
                  <c:v>508.95737395672654</c:v>
                </c:pt>
                <c:pt idx="61">
                  <c:v>533.63057203582343</c:v>
                </c:pt>
                <c:pt idx="62">
                  <c:v>558.27978660587723</c:v>
                </c:pt>
                <c:pt idx="63">
                  <c:v>582.90622432661985</c:v>
                </c:pt>
                <c:pt idx="64">
                  <c:v>607.51098169934687</c:v>
                </c:pt>
                <c:pt idx="65">
                  <c:v>632.09505926670727</c:v>
                </c:pt>
                <c:pt idx="66">
                  <c:v>555.18973040239189</c:v>
                </c:pt>
                <c:pt idx="67">
                  <c:v>578.99055234834634</c:v>
                </c:pt>
                <c:pt idx="68">
                  <c:v>602.77097241840545</c:v>
                </c:pt>
                <c:pt idx="69">
                  <c:v>626.53190782078082</c:v>
                </c:pt>
                <c:pt idx="70">
                  <c:v>650.27420060140787</c:v>
                </c:pt>
                <c:pt idx="71">
                  <c:v>673.99862637735123</c:v>
                </c:pt>
                <c:pt idx="72">
                  <c:v>697.7059017777359</c:v>
                </c:pt>
                <c:pt idx="73">
                  <c:v>602.93967730666452</c:v>
                </c:pt>
                <c:pt idx="74">
                  <c:v>625.51680524449841</c:v>
                </c:pt>
                <c:pt idx="75">
                  <c:v>648.07707164832061</c:v>
                </c:pt>
                <c:pt idx="76">
                  <c:v>670.62114542387724</c:v>
                </c:pt>
                <c:pt idx="77">
                  <c:v>693.14964688919997</c:v>
                </c:pt>
                <c:pt idx="78">
                  <c:v>715.6631527999167</c:v>
                </c:pt>
                <c:pt idx="79">
                  <c:v>738.16220070997394</c:v>
                </c:pt>
                <c:pt idx="80">
                  <c:v>760.6472927736221</c:v>
                </c:pt>
                <c:pt idx="81">
                  <c:v>783.11889907497971</c:v>
                </c:pt>
                <c:pt idx="82">
                  <c:v>649.41198661029523</c:v>
                </c:pt>
                <c:pt idx="83">
                  <c:v>670.53247445778163</c:v>
                </c:pt>
                <c:pt idx="84">
                  <c:v>691.63929237213654</c:v>
                </c:pt>
                <c:pt idx="85">
                  <c:v>712.73291578265901</c:v>
                </c:pt>
                <c:pt idx="86">
                  <c:v>733.81378971522111</c:v>
                </c:pt>
                <c:pt idx="87">
                  <c:v>754.88233157162733</c:v>
                </c:pt>
                <c:pt idx="88">
                  <c:v>775.93893358289245</c:v>
                </c:pt>
                <c:pt idx="89">
                  <c:v>796.98396498266914</c:v>
                </c:pt>
                <c:pt idx="90">
                  <c:v>818.01777393944451</c:v>
                </c:pt>
                <c:pt idx="91">
                  <c:v>680.82655733150739</c:v>
                </c:pt>
                <c:pt idx="92">
                  <c:v>700.70631747336199</c:v>
                </c:pt>
                <c:pt idx="93">
                  <c:v>720.57453904071701</c:v>
                </c:pt>
                <c:pt idx="94">
                  <c:v>740.43158463823545</c:v>
                </c:pt>
                <c:pt idx="95">
                  <c:v>760.27779585760072</c:v>
                </c:pt>
                <c:pt idx="96">
                  <c:v>780.11349502299515</c:v>
                </c:pt>
                <c:pt idx="97">
                  <c:v>799.93898675001083</c:v>
                </c:pt>
                <c:pt idx="98">
                  <c:v>819.75455934216086</c:v>
                </c:pt>
                <c:pt idx="99">
                  <c:v>839.56048604549721</c:v>
                </c:pt>
                <c:pt idx="100">
                  <c:v>450.03971253828541</c:v>
                </c:pt>
                <c:pt idx="101">
                  <c:v>462.6078555511578</c:v>
                </c:pt>
                <c:pt idx="102">
                  <c:v>323.18652647116113</c:v>
                </c:pt>
                <c:pt idx="103">
                  <c:v>331.85696738542345</c:v>
                </c:pt>
                <c:pt idx="104">
                  <c:v>232.05276952362252</c:v>
                </c:pt>
                <c:pt idx="105">
                  <c:v>238.1604703053099</c:v>
                </c:pt>
                <c:pt idx="106">
                  <c:v>244.26460221870877</c:v>
                </c:pt>
                <c:pt idx="107">
                  <c:v>1.4484243304663672E-12</c:v>
                </c:pt>
                <c:pt idx="108">
                  <c:v>1.4484243304663672E-12</c:v>
                </c:pt>
                <c:pt idx="109">
                  <c:v>1.4484243304663672E-12</c:v>
                </c:pt>
                <c:pt idx="110">
                  <c:v>1.4484243304663672E-12</c:v>
                </c:pt>
                <c:pt idx="111">
                  <c:v>1.4484243304663672E-12</c:v>
                </c:pt>
                <c:pt idx="112">
                  <c:v>1.4484243304663672E-12</c:v>
                </c:pt>
                <c:pt idx="113">
                  <c:v>1.4484243304663672E-12</c:v>
                </c:pt>
                <c:pt idx="114">
                  <c:v>1.4484243304663672E-12</c:v>
                </c:pt>
                <c:pt idx="115">
                  <c:v>1.4484243304663672E-12</c:v>
                </c:pt>
                <c:pt idx="116">
                  <c:v>1.4484243304663672E-12</c:v>
                </c:pt>
                <c:pt idx="117">
                  <c:v>1.4484243304663672E-12</c:v>
                </c:pt>
                <c:pt idx="118">
                  <c:v>1.4484243304663672E-12</c:v>
                </c:pt>
                <c:pt idx="119">
                  <c:v>1.4484243304663672E-12</c:v>
                </c:pt>
                <c:pt idx="120">
                  <c:v>1.4484243304663672E-12</c:v>
                </c:pt>
                <c:pt idx="121">
                  <c:v>1.4484243304663672E-12</c:v>
                </c:pt>
                <c:pt idx="122">
                  <c:v>1.4484243304663672E-12</c:v>
                </c:pt>
                <c:pt idx="123">
                  <c:v>1.4484243304663672E-12</c:v>
                </c:pt>
                <c:pt idx="124">
                  <c:v>1.4484243304663672E-12</c:v>
                </c:pt>
                <c:pt idx="125">
                  <c:v>1.4484243304663672E-12</c:v>
                </c:pt>
                <c:pt idx="126">
                  <c:v>1.4484243304663672E-12</c:v>
                </c:pt>
                <c:pt idx="127">
                  <c:v>1.4484243304663672E-12</c:v>
                </c:pt>
                <c:pt idx="128">
                  <c:v>1.4484243304663672E-12</c:v>
                </c:pt>
                <c:pt idx="129">
                  <c:v>1.4484243304663672E-12</c:v>
                </c:pt>
                <c:pt idx="130">
                  <c:v>1.4484243304663672E-12</c:v>
                </c:pt>
                <c:pt idx="131">
                  <c:v>1.4484243304663672E-12</c:v>
                </c:pt>
                <c:pt idx="132">
                  <c:v>1.4484243304663672E-12</c:v>
                </c:pt>
                <c:pt idx="133">
                  <c:v>1.4484243304663672E-12</c:v>
                </c:pt>
                <c:pt idx="134">
                  <c:v>1.4484243304663672E-12</c:v>
                </c:pt>
                <c:pt idx="135">
                  <c:v>1.4484243304663672E-12</c:v>
                </c:pt>
                <c:pt idx="136">
                  <c:v>1.4484243304663672E-12</c:v>
                </c:pt>
                <c:pt idx="137">
                  <c:v>1.4484243304663672E-12</c:v>
                </c:pt>
                <c:pt idx="138">
                  <c:v>1.4484243304663672E-12</c:v>
                </c:pt>
                <c:pt idx="139">
                  <c:v>1.4484243304663672E-12</c:v>
                </c:pt>
                <c:pt idx="140">
                  <c:v>1.4484243304663672E-12</c:v>
                </c:pt>
                <c:pt idx="141">
                  <c:v>1.4484243304663672E-12</c:v>
                </c:pt>
                <c:pt idx="142">
                  <c:v>1.4484243304663672E-12</c:v>
                </c:pt>
                <c:pt idx="143">
                  <c:v>1.4484243304663672E-12</c:v>
                </c:pt>
                <c:pt idx="144">
                  <c:v>1.4484243304663672E-12</c:v>
                </c:pt>
                <c:pt idx="145">
                  <c:v>1.4484243304663672E-12</c:v>
                </c:pt>
                <c:pt idx="146">
                  <c:v>1.4484243304663672E-12</c:v>
                </c:pt>
                <c:pt idx="147">
                  <c:v>1.4484243304663672E-12</c:v>
                </c:pt>
                <c:pt idx="148">
                  <c:v>1.4484243304663672E-12</c:v>
                </c:pt>
                <c:pt idx="149">
                  <c:v>1.4484243304663672E-12</c:v>
                </c:pt>
                <c:pt idx="150">
                  <c:v>1.4484243304663672E-12</c:v>
                </c:pt>
                <c:pt idx="151">
                  <c:v>1.4484243304663672E-12</c:v>
                </c:pt>
                <c:pt idx="152">
                  <c:v>1.4484243304663672E-12</c:v>
                </c:pt>
                <c:pt idx="153">
                  <c:v>1.4484243304663672E-12</c:v>
                </c:pt>
                <c:pt idx="154">
                  <c:v>1.4484243304663672E-12</c:v>
                </c:pt>
                <c:pt idx="155">
                  <c:v>1.4484243304663672E-12</c:v>
                </c:pt>
                <c:pt idx="156">
                  <c:v>1.4484243304663672E-12</c:v>
                </c:pt>
                <c:pt idx="157">
                  <c:v>1.4484243304663672E-12</c:v>
                </c:pt>
                <c:pt idx="158">
                  <c:v>1.4484243304663672E-12</c:v>
                </c:pt>
                <c:pt idx="159">
                  <c:v>1.4484243304663672E-12</c:v>
                </c:pt>
                <c:pt idx="160">
                  <c:v>1.4484243304663672E-12</c:v>
                </c:pt>
                <c:pt idx="161">
                  <c:v>1.4484243304663672E-12</c:v>
                </c:pt>
                <c:pt idx="162">
                  <c:v>1.4484243304663672E-12</c:v>
                </c:pt>
                <c:pt idx="163">
                  <c:v>1.4484243304663672E-12</c:v>
                </c:pt>
                <c:pt idx="164">
                  <c:v>1.4484243304663672E-12</c:v>
                </c:pt>
                <c:pt idx="165">
                  <c:v>1.4484243304663672E-12</c:v>
                </c:pt>
                <c:pt idx="166">
                  <c:v>1.4484243304663672E-12</c:v>
                </c:pt>
                <c:pt idx="167">
                  <c:v>1.4484243304663672E-12</c:v>
                </c:pt>
                <c:pt idx="168">
                  <c:v>1.4484243304663672E-12</c:v>
                </c:pt>
                <c:pt idx="169">
                  <c:v>1.4484243304663672E-12</c:v>
                </c:pt>
                <c:pt idx="170">
                  <c:v>1.4484243304663672E-12</c:v>
                </c:pt>
                <c:pt idx="171">
                  <c:v>1.4484243304663672E-12</c:v>
                </c:pt>
                <c:pt idx="172">
                  <c:v>1.4484243304663672E-12</c:v>
                </c:pt>
                <c:pt idx="173">
                  <c:v>1.4484243304663672E-12</c:v>
                </c:pt>
                <c:pt idx="174">
                  <c:v>1.4484243304663672E-12</c:v>
                </c:pt>
                <c:pt idx="175">
                  <c:v>1.4484243304663672E-12</c:v>
                </c:pt>
                <c:pt idx="176">
                  <c:v>1.4484243304663672E-12</c:v>
                </c:pt>
                <c:pt idx="177">
                  <c:v>1.4484243304663672E-12</c:v>
                </c:pt>
                <c:pt idx="178">
                  <c:v>1.4484243304663672E-12</c:v>
                </c:pt>
                <c:pt idx="179">
                  <c:v>1.4484243304663672E-12</c:v>
                </c:pt>
                <c:pt idx="180">
                  <c:v>1.4484243304663672E-12</c:v>
                </c:pt>
                <c:pt idx="181">
                  <c:v>1.4484243304663672E-12</c:v>
                </c:pt>
                <c:pt idx="182">
                  <c:v>1.4484243304663672E-12</c:v>
                </c:pt>
                <c:pt idx="183">
                  <c:v>1.4484243304663672E-12</c:v>
                </c:pt>
                <c:pt idx="184">
                  <c:v>1.4484243304663672E-12</c:v>
                </c:pt>
                <c:pt idx="185">
                  <c:v>1.4484243304663672E-12</c:v>
                </c:pt>
                <c:pt idx="186">
                  <c:v>1.4484243304663672E-12</c:v>
                </c:pt>
                <c:pt idx="187">
                  <c:v>1.4484243304663672E-12</c:v>
                </c:pt>
                <c:pt idx="188">
                  <c:v>1.4484243304663672E-12</c:v>
                </c:pt>
                <c:pt idx="189">
                  <c:v>1.4484243304663672E-12</c:v>
                </c:pt>
                <c:pt idx="190">
                  <c:v>1.4484243304663672E-12</c:v>
                </c:pt>
                <c:pt idx="191">
                  <c:v>1.4484243304663672E-12</c:v>
                </c:pt>
                <c:pt idx="192">
                  <c:v>1.4484243304663672E-12</c:v>
                </c:pt>
                <c:pt idx="193">
                  <c:v>1.4484243304663672E-12</c:v>
                </c:pt>
                <c:pt idx="194">
                  <c:v>1.4484243304663672E-12</c:v>
                </c:pt>
                <c:pt idx="195">
                  <c:v>1.4484243304663672E-12</c:v>
                </c:pt>
                <c:pt idx="196">
                  <c:v>1.4484243304663672E-12</c:v>
                </c:pt>
                <c:pt idx="197">
                  <c:v>1.4484243304663672E-12</c:v>
                </c:pt>
                <c:pt idx="198">
                  <c:v>1.4484243304663672E-12</c:v>
                </c:pt>
                <c:pt idx="199">
                  <c:v>1.4484243304663672E-12</c:v>
                </c:pt>
                <c:pt idx="200">
                  <c:v>1.4484243304663672E-12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8.3056921630164542</c:v>
                </c:pt>
                <c:pt idx="2">
                  <c:v>16.243789003972445</c:v>
                </c:pt>
                <c:pt idx="3">
                  <c:v>24.063171008033788</c:v>
                </c:pt>
                <c:pt idx="4">
                  <c:v>31.8093744244437</c:v>
                </c:pt>
                <c:pt idx="5">
                  <c:v>39.503037774136196</c:v>
                </c:pt>
                <c:pt idx="6">
                  <c:v>47.15593413113433</c:v>
                </c:pt>
                <c:pt idx="7">
                  <c:v>54.775653141048224</c:v>
                </c:pt>
                <c:pt idx="8">
                  <c:v>62.367481291684378</c:v>
                </c:pt>
                <c:pt idx="9">
                  <c:v>69.935304218830069</c:v>
                </c:pt>
                <c:pt idx="10">
                  <c:v>77.482093427802084</c:v>
                </c:pt>
                <c:pt idx="11">
                  <c:v>85.01019173223969</c:v>
                </c:pt>
                <c:pt idx="12">
                  <c:v>92.52149154765074</c:v>
                </c:pt>
                <c:pt idx="13">
                  <c:v>100.01755190137233</c:v>
                </c:pt>
                <c:pt idx="14">
                  <c:v>107.49967834533821</c:v>
                </c:pt>
                <c:pt idx="15">
                  <c:v>114.96897935567303</c:v>
                </c:pt>
                <c:pt idx="16">
                  <c:v>122.42640725013666</c:v>
                </c:pt>
                <c:pt idx="17">
                  <c:v>129.87278857862222</c:v>
                </c:pt>
                <c:pt idx="18">
                  <c:v>137.30884715663467</c:v>
                </c:pt>
                <c:pt idx="19">
                  <c:v>144.73522183347453</c:v>
                </c:pt>
                <c:pt idx="20">
                  <c:v>152.15248041303775</c:v>
                </c:pt>
                <c:pt idx="21">
                  <c:v>159.56113071133535</c:v>
                </c:pt>
                <c:pt idx="22">
                  <c:v>166.96162944814259</c:v>
                </c:pt>
                <c:pt idx="23">
                  <c:v>174.35438947628532</c:v>
                </c:pt>
                <c:pt idx="24">
                  <c:v>181.7397857181835</c:v>
                </c:pt>
                <c:pt idx="25">
                  <c:v>189.1181600850897</c:v>
                </c:pt>
                <c:pt idx="26">
                  <c:v>196.48982558709483</c:v>
                </c:pt>
                <c:pt idx="27">
                  <c:v>203.85506979304003</c:v>
                </c:pt>
                <c:pt idx="28">
                  <c:v>211.21415776343937</c:v>
                </c:pt>
                <c:pt idx="29">
                  <c:v>218.56733455263964</c:v>
                </c:pt>
                <c:pt idx="30">
                  <c:v>225.91482735615861</c:v>
                </c:pt>
                <c:pt idx="31">
                  <c:v>233.25684736366836</c:v>
                </c:pt>
                <c:pt idx="32">
                  <c:v>240.59359136616786</c:v>
                </c:pt>
                <c:pt idx="33">
                  <c:v>247.92524315661532</c:v>
                </c:pt>
                <c:pt idx="34">
                  <c:v>255.25197475601655</c:v>
                </c:pt>
                <c:pt idx="35">
                  <c:v>262.57394749121505</c:v>
                </c:pt>
                <c:pt idx="36">
                  <c:v>269.89131294604289</c:v>
                </c:pt>
                <c:pt idx="37">
                  <c:v>277.20421380381816</c:v>
                </c:pt>
                <c:pt idx="38">
                  <c:v>284.51278459619942</c:v>
                </c:pt>
                <c:pt idx="39">
                  <c:v>291.81715237099615</c:v>
                </c:pt>
                <c:pt idx="40">
                  <c:v>299.11743728955889</c:v>
                </c:pt>
                <c:pt idx="41">
                  <c:v>306.41375316274832</c:v>
                </c:pt>
                <c:pt idx="42">
                  <c:v>313.70620793314299</c:v>
                </c:pt>
                <c:pt idx="43">
                  <c:v>320.99490411002768</c:v>
                </c:pt>
                <c:pt idx="44">
                  <c:v>328.27993916277887</c:v>
                </c:pt>
                <c:pt idx="45">
                  <c:v>335.5614058774795</c:v>
                </c:pt>
                <c:pt idx="46">
                  <c:v>342.83939268093991</c:v>
                </c:pt>
                <c:pt idx="47">
                  <c:v>350.11398393574996</c:v>
                </c:pt>
                <c:pt idx="48">
                  <c:v>357.38526020950985</c:v>
                </c:pt>
                <c:pt idx="49">
                  <c:v>364.65329852099347</c:v>
                </c:pt>
                <c:pt idx="50">
                  <c:v>371.91817256564792</c:v>
                </c:pt>
                <c:pt idx="51">
                  <c:v>379.17995292254449</c:v>
                </c:pt>
                <c:pt idx="52">
                  <c:v>386.43870724463926</c:v>
                </c:pt>
                <c:pt idx="53">
                  <c:v>393.69450043398388</c:v>
                </c:pt>
                <c:pt idx="54">
                  <c:v>400.94739480334033</c:v>
                </c:pt>
                <c:pt idx="55">
                  <c:v>408.19745022548432</c:v>
                </c:pt>
                <c:pt idx="56">
                  <c:v>415.44472427134343</c:v>
                </c:pt>
                <c:pt idx="57">
                  <c:v>422.68927233798996</c:v>
                </c:pt>
                <c:pt idx="58">
                  <c:v>429.93114776739526</c:v>
                </c:pt>
                <c:pt idx="59">
                  <c:v>437.17040195676424</c:v>
                </c:pt>
                <c:pt idx="60">
                  <c:v>444.40708446117736</c:v>
                </c:pt>
                <c:pt idx="61">
                  <c:v>301.78859980380139</c:v>
                </c:pt>
                <c:pt idx="62">
                  <c:v>316.74909882186188</c:v>
                </c:pt>
                <c:pt idx="63">
                  <c:v>331.6939492220003</c:v>
                </c:pt>
                <c:pt idx="64">
                  <c:v>346.6239553389085</c:v>
                </c:pt>
                <c:pt idx="65">
                  <c:v>361.539846559446</c:v>
                </c:pt>
                <c:pt idx="66">
                  <c:v>376.44228717513016</c:v>
                </c:pt>
                <c:pt idx="67">
                  <c:v>391.33188459265767</c:v>
                </c:pt>
                <c:pt idx="68">
                  <c:v>406.20919622941773</c:v>
                </c:pt>
                <c:pt idx="69">
                  <c:v>421.07473534602883</c:v>
                </c:pt>
                <c:pt idx="70">
                  <c:v>344.43823643912452</c:v>
                </c:pt>
                <c:pt idx="71">
                  <c:v>359.03258357048571</c:v>
                </c:pt>
                <c:pt idx="72">
                  <c:v>373.61395480477341</c:v>
                </c:pt>
                <c:pt idx="73">
                  <c:v>388.18292785095059</c:v>
                </c:pt>
                <c:pt idx="74">
                  <c:v>402.74003351764833</c:v>
                </c:pt>
                <c:pt idx="75">
                  <c:v>417.28576111378544</c:v>
                </c:pt>
                <c:pt idx="76">
                  <c:v>431.8205630568612</c:v>
                </c:pt>
                <c:pt idx="77">
                  <c:v>446.34485882845661</c:v>
                </c:pt>
                <c:pt idx="78">
                  <c:v>387.68504212740351</c:v>
                </c:pt>
                <c:pt idx="79">
                  <c:v>402.24404369441692</c:v>
                </c:pt>
                <c:pt idx="80">
                  <c:v>416.79164879683066</c:v>
                </c:pt>
                <c:pt idx="81">
                  <c:v>431.32831117955783</c:v>
                </c:pt>
                <c:pt idx="82">
                  <c:v>445.85445151299149</c:v>
                </c:pt>
                <c:pt idx="83">
                  <c:v>460.37046082542201</c:v>
                </c:pt>
                <c:pt idx="84">
                  <c:v>474.87670348003502</c:v>
                </c:pt>
                <c:pt idx="85">
                  <c:v>489.37351976925379</c:v>
                </c:pt>
                <c:pt idx="86">
                  <c:v>503.86122818572488</c:v>
                </c:pt>
                <c:pt idx="87">
                  <c:v>437.66652036266078</c:v>
                </c:pt>
                <c:pt idx="88">
                  <c:v>452.22167614044662</c:v>
                </c:pt>
                <c:pt idx="89">
                  <c:v>466.76681776608552</c:v>
                </c:pt>
                <c:pt idx="90">
                  <c:v>481.30230117242854</c:v>
                </c:pt>
                <c:pt idx="91">
                  <c:v>495.82845904603795</c:v>
                </c:pt>
                <c:pt idx="92">
                  <c:v>510.34560299616987</c:v>
                </c:pt>
                <c:pt idx="93">
                  <c:v>524.85402546418084</c:v>
                </c:pt>
                <c:pt idx="94">
                  <c:v>539.35400141087905</c:v>
                </c:pt>
                <c:pt idx="95">
                  <c:v>553.84578981304333</c:v>
                </c:pt>
                <c:pt idx="96">
                  <c:v>477.81503001597611</c:v>
                </c:pt>
                <c:pt idx="97">
                  <c:v>492.38159188749614</c:v>
                </c:pt>
                <c:pt idx="98">
                  <c:v>506.93901981766635</c:v>
                </c:pt>
                <c:pt idx="99">
                  <c:v>521.48761296117152</c:v>
                </c:pt>
                <c:pt idx="100">
                  <c:v>536.02765242552857</c:v>
                </c:pt>
                <c:pt idx="101">
                  <c:v>550.55940283000689</c:v>
                </c:pt>
                <c:pt idx="102">
                  <c:v>565.08311369145497</c:v>
                </c:pt>
                <c:pt idx="103">
                  <c:v>579.59902066029906</c:v>
                </c:pt>
                <c:pt idx="104">
                  <c:v>594.10734662633229</c:v>
                </c:pt>
                <c:pt idx="105">
                  <c:v>524.42728878652235</c:v>
                </c:pt>
                <c:pt idx="106">
                  <c:v>539.18721769684169</c:v>
                </c:pt>
                <c:pt idx="107">
                  <c:v>553.93866001674166</c:v>
                </c:pt>
                <c:pt idx="108">
                  <c:v>568.68187348266281</c:v>
                </c:pt>
                <c:pt idx="109">
                  <c:v>583.41710138371138</c:v>
                </c:pt>
                <c:pt idx="110">
                  <c:v>598.14457372350319</c:v>
                </c:pt>
                <c:pt idx="111">
                  <c:v>612.86450826168243</c:v>
                </c:pt>
                <c:pt idx="112">
                  <c:v>627.57711145022802</c:v>
                </c:pt>
                <c:pt idx="113">
                  <c:v>642.2825792774405</c:v>
                </c:pt>
                <c:pt idx="114">
                  <c:v>568.18207427282073</c:v>
                </c:pt>
                <c:pt idx="115">
                  <c:v>583.1744725407691</c:v>
                </c:pt>
                <c:pt idx="116">
                  <c:v>598.15883853648563</c:v>
                </c:pt>
                <c:pt idx="117">
                  <c:v>613.13540171236571</c:v>
                </c:pt>
                <c:pt idx="118">
                  <c:v>628.10437940382712</c:v>
                </c:pt>
                <c:pt idx="119">
                  <c:v>643.06597774867816</c:v>
                </c:pt>
                <c:pt idx="120">
                  <c:v>658.020392516524</c:v>
                </c:pt>
                <c:pt idx="121">
                  <c:v>672.96780985890575</c:v>
                </c:pt>
                <c:pt idx="122">
                  <c:v>687.90840698936972</c:v>
                </c:pt>
                <c:pt idx="123">
                  <c:v>605.19695132921026</c:v>
                </c:pt>
                <c:pt idx="124">
                  <c:v>620.40915446659915</c:v>
                </c:pt>
                <c:pt idx="125">
                  <c:v>635.61363246553321</c:v>
                </c:pt>
                <c:pt idx="126">
                  <c:v>650.81059603610004</c:v>
                </c:pt>
                <c:pt idx="127">
                  <c:v>666.00024525190713</c:v>
                </c:pt>
                <c:pt idx="128">
                  <c:v>681.18277032234562</c:v>
                </c:pt>
                <c:pt idx="129">
                  <c:v>696.35835229247311</c:v>
                </c:pt>
                <c:pt idx="130">
                  <c:v>711.52716367875882</c:v>
                </c:pt>
                <c:pt idx="131">
                  <c:v>726.68936904783868</c:v>
                </c:pt>
                <c:pt idx="132">
                  <c:v>741.84512554449418</c:v>
                </c:pt>
                <c:pt idx="133">
                  <c:v>653.62036176110962</c:v>
                </c:pt>
                <c:pt idx="134">
                  <c:v>669.28793557733968</c:v>
                </c:pt>
                <c:pt idx="135">
                  <c:v>684.94797090998281</c:v>
                </c:pt>
                <c:pt idx="136">
                  <c:v>700.60066426424748</c:v>
                </c:pt>
                <c:pt idx="137">
                  <c:v>716.24620265561543</c:v>
                </c:pt>
                <c:pt idx="138">
                  <c:v>731.88476426965838</c:v>
                </c:pt>
                <c:pt idx="139">
                  <c:v>747.51651906257723</c:v>
                </c:pt>
                <c:pt idx="140">
                  <c:v>763.14162930893906</c:v>
                </c:pt>
                <c:pt idx="141">
                  <c:v>778.76025010226238</c:v>
                </c:pt>
                <c:pt idx="142">
                  <c:v>794.37252981339236</c:v>
                </c:pt>
                <c:pt idx="143">
                  <c:v>809.97861051100574</c:v>
                </c:pt>
                <c:pt idx="144">
                  <c:v>825.57862834804939</c:v>
                </c:pt>
                <c:pt idx="145">
                  <c:v>711.83666917952871</c:v>
                </c:pt>
                <c:pt idx="146">
                  <c:v>727.86433034101958</c:v>
                </c:pt>
                <c:pt idx="147">
                  <c:v>743.88479832061319</c:v>
                </c:pt>
                <c:pt idx="148">
                  <c:v>759.89824972185613</c:v>
                </c:pt>
                <c:pt idx="149">
                  <c:v>775.904853104891</c:v>
                </c:pt>
                <c:pt idx="150">
                  <c:v>791.90476951455923</c:v>
                </c:pt>
                <c:pt idx="151">
                  <c:v>807.89815296364668</c:v>
                </c:pt>
                <c:pt idx="152">
                  <c:v>823.88515087591293</c:v>
                </c:pt>
                <c:pt idx="153">
                  <c:v>839.8659044929808</c:v>
                </c:pt>
                <c:pt idx="154">
                  <c:v>855.84054924867905</c:v>
                </c:pt>
                <c:pt idx="155">
                  <c:v>871.80921511401391</c:v>
                </c:pt>
                <c:pt idx="156">
                  <c:v>887.77202691557977</c:v>
                </c:pt>
                <c:pt idx="157">
                  <c:v>764.45806346280631</c:v>
                </c:pt>
                <c:pt idx="158">
                  <c:v>780.80146292138977</c:v>
                </c:pt>
                <c:pt idx="159">
                  <c:v>797.13793918329975</c:v>
                </c:pt>
                <c:pt idx="160">
                  <c:v>813.46765398238688</c:v>
                </c:pt>
                <c:pt idx="161">
                  <c:v>829.79076203620934</c:v>
                </c:pt>
                <c:pt idx="162">
                  <c:v>846.10741148525494</c:v>
                </c:pt>
                <c:pt idx="163">
                  <c:v>862.41774429655925</c:v>
                </c:pt>
                <c:pt idx="164">
                  <c:v>878.72189663523716</c:v>
                </c:pt>
                <c:pt idx="165">
                  <c:v>895.0199992070369</c:v>
                </c:pt>
                <c:pt idx="166">
                  <c:v>911.31217757467437</c:v>
                </c:pt>
                <c:pt idx="167">
                  <c:v>927.59855245039887</c:v>
                </c:pt>
                <c:pt idx="168">
                  <c:v>943.879239966966</c:v>
                </c:pt>
                <c:pt idx="169">
                  <c:v>808.6725777976294</c:v>
                </c:pt>
                <c:pt idx="170">
                  <c:v>825.01886738881649</c:v>
                </c:pt>
                <c:pt idx="171">
                  <c:v>841.35863877127156</c:v>
                </c:pt>
                <c:pt idx="172">
                  <c:v>857.69203623567989</c:v>
                </c:pt>
                <c:pt idx="173">
                  <c:v>874.01919813493544</c:v>
                </c:pt>
                <c:pt idx="174">
                  <c:v>890.34025723710477</c:v>
                </c:pt>
                <c:pt idx="175">
                  <c:v>906.65534105119139</c:v>
                </c:pt>
                <c:pt idx="176">
                  <c:v>922.96457212826181</c:v>
                </c:pt>
                <c:pt idx="177">
                  <c:v>939.26806834020806</c:v>
                </c:pt>
                <c:pt idx="178">
                  <c:v>955.56594313817016</c:v>
                </c:pt>
                <c:pt idx="179">
                  <c:v>971.85830579243668</c:v>
                </c:pt>
                <c:pt idx="180">
                  <c:v>988.145261615442</c:v>
                </c:pt>
                <c:pt idx="181">
                  <c:v>624.85927956155399</c:v>
                </c:pt>
                <c:pt idx="182">
                  <c:v>635.11356363549817</c:v>
                </c:pt>
                <c:pt idx="183">
                  <c:v>645.36442647554566</c:v>
                </c:pt>
                <c:pt idx="184">
                  <c:v>655.61193007140548</c:v>
                </c:pt>
                <c:pt idx="185">
                  <c:v>445.27372254357095</c:v>
                </c:pt>
                <c:pt idx="186">
                  <c:v>451.90957876828219</c:v>
                </c:pt>
                <c:pt idx="187">
                  <c:v>458.54335148038626</c:v>
                </c:pt>
                <c:pt idx="188">
                  <c:v>465.17507509285309</c:v>
                </c:pt>
                <c:pt idx="189">
                  <c:v>313.55288913052675</c:v>
                </c:pt>
                <c:pt idx="190">
                  <c:v>317.8336225639469</c:v>
                </c:pt>
                <c:pt idx="191">
                  <c:v>322.11307915685478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2.4666401082077529</c:v>
                </c:pt>
                <c:pt idx="2">
                  <c:v>3.038131488248808</c:v>
                </c:pt>
                <c:pt idx="3">
                  <c:v>3.7425387547668367</c:v>
                </c:pt>
                <c:pt idx="4">
                  <c:v>4.6108866206039663</c:v>
                </c:pt>
                <c:pt idx="5">
                  <c:v>5.6814658439892973</c:v>
                </c:pt>
                <c:pt idx="6">
                  <c:v>7.0015402599437531</c:v>
                </c:pt>
                <c:pt idx="7">
                  <c:v>8.6294560019543258</c:v>
                </c:pt>
                <c:pt idx="8">
                  <c:v>10.637247922670763</c:v>
                </c:pt>
                <c:pt idx="9">
                  <c:v>13.113860719985803</c:v>
                </c:pt>
                <c:pt idx="10">
                  <c:v>16.169130111381239</c:v>
                </c:pt>
                <c:pt idx="11">
                  <c:v>19.938703844324056</c:v>
                </c:pt>
                <c:pt idx="12">
                  <c:v>24.590124955629083</c:v>
                </c:pt>
                <c:pt idx="13">
                  <c:v>30.33035244444093</c:v>
                </c:pt>
                <c:pt idx="14">
                  <c:v>37.415059812099081</c:v>
                </c:pt>
                <c:pt idx="15">
                  <c:v>46.160132732540724</c:v>
                </c:pt>
                <c:pt idx="16">
                  <c:v>53.544050503850364</c:v>
                </c:pt>
                <c:pt idx="17">
                  <c:v>64.237401598357238</c:v>
                </c:pt>
                <c:pt idx="18">
                  <c:v>74.884579280274849</c:v>
                </c:pt>
                <c:pt idx="19">
                  <c:v>85.493098566478125</c:v>
                </c:pt>
                <c:pt idx="20">
                  <c:v>96.068445641261476</c:v>
                </c:pt>
                <c:pt idx="21">
                  <c:v>80.193291162399461</c:v>
                </c:pt>
                <c:pt idx="22">
                  <c:v>91.886046932171325</c:v>
                </c:pt>
                <c:pt idx="23">
                  <c:v>103.54156485887916</c:v>
                </c:pt>
                <c:pt idx="24">
                  <c:v>115.16463575201853</c:v>
                </c:pt>
                <c:pt idx="25">
                  <c:v>126.75900094885519</c:v>
                </c:pt>
                <c:pt idx="26">
                  <c:v>109.79548104191571</c:v>
                </c:pt>
                <c:pt idx="27">
                  <c:v>122.38693696465789</c:v>
                </c:pt>
                <c:pt idx="28">
                  <c:v>134.94687886983328</c:v>
                </c:pt>
                <c:pt idx="29">
                  <c:v>147.47865649814872</c:v>
                </c:pt>
                <c:pt idx="30">
                  <c:v>159.98500254922158</c:v>
                </c:pt>
                <c:pt idx="31">
                  <c:v>172.46818680341792</c:v>
                </c:pt>
                <c:pt idx="32">
                  <c:v>145.84557228360381</c:v>
                </c:pt>
                <c:pt idx="33">
                  <c:v>158.35509811111217</c:v>
                </c:pt>
                <c:pt idx="34">
                  <c:v>170.84118819614926</c:v>
                </c:pt>
                <c:pt idx="35">
                  <c:v>183.30579795772098</c:v>
                </c:pt>
                <c:pt idx="36">
                  <c:v>195.75059480584989</c:v>
                </c:pt>
                <c:pt idx="37">
                  <c:v>208.17701657982505</c:v>
                </c:pt>
                <c:pt idx="38">
                  <c:v>181.29426173871184</c:v>
                </c:pt>
                <c:pt idx="39">
                  <c:v>193.35586169716734</c:v>
                </c:pt>
                <c:pt idx="40">
                  <c:v>205.39996584148545</c:v>
                </c:pt>
                <c:pt idx="41">
                  <c:v>217.42774527281196</c:v>
                </c:pt>
                <c:pt idx="42">
                  <c:v>229.44023082304497</c:v>
                </c:pt>
                <c:pt idx="43">
                  <c:v>241.43833647949381</c:v>
                </c:pt>
                <c:pt idx="44">
                  <c:v>253.42287790323667</c:v>
                </c:pt>
                <c:pt idx="45">
                  <c:v>218.29453042918621</c:v>
                </c:pt>
                <c:pt idx="46">
                  <c:v>229.47870880055882</c:v>
                </c:pt>
                <c:pt idx="47">
                  <c:v>240.6504241738447</c:v>
                </c:pt>
                <c:pt idx="48">
                  <c:v>251.81033702718767</c:v>
                </c:pt>
                <c:pt idx="49">
                  <c:v>262.95904447060485</c:v>
                </c:pt>
                <c:pt idx="50">
                  <c:v>274.09708881265965</c:v>
                </c:pt>
                <c:pt idx="51">
                  <c:v>285.224964660598</c:v>
                </c:pt>
                <c:pt idx="52">
                  <c:v>296.34312485361016</c:v>
                </c:pt>
                <c:pt idx="53">
                  <c:v>254.90083615003348</c:v>
                </c:pt>
                <c:pt idx="54">
                  <c:v>264.97271844500727</c:v>
                </c:pt>
                <c:pt idx="55">
                  <c:v>275.03597041080951</c:v>
                </c:pt>
                <c:pt idx="56">
                  <c:v>285.09095256078473</c:v>
                </c:pt>
                <c:pt idx="57">
                  <c:v>295.13799788320961</c:v>
                </c:pt>
                <c:pt idx="58">
                  <c:v>305.17741482861635</c:v>
                </c:pt>
                <c:pt idx="59">
                  <c:v>315.2094898832018</c:v>
                </c:pt>
                <c:pt idx="60">
                  <c:v>325.23448979729528</c:v>
                </c:pt>
                <c:pt idx="61">
                  <c:v>284.19750247594328</c:v>
                </c:pt>
                <c:pt idx="62">
                  <c:v>293.4863491195228</c:v>
                </c:pt>
                <c:pt idx="63">
                  <c:v>302.76863479871071</c:v>
                </c:pt>
                <c:pt idx="64">
                  <c:v>312.04458917169069</c:v>
                </c:pt>
                <c:pt idx="65">
                  <c:v>321.31442711818204</c:v>
                </c:pt>
                <c:pt idx="66">
                  <c:v>330.57835009864004</c:v>
                </c:pt>
                <c:pt idx="67">
                  <c:v>339.83654735304776</c:v>
                </c:pt>
                <c:pt idx="68">
                  <c:v>349.08919696217669</c:v>
                </c:pt>
                <c:pt idx="69">
                  <c:v>358.33646679039742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9.2814592541766938</c:v>
                </c:pt>
                <c:pt idx="2">
                  <c:v>18.156050862234036</c:v>
                </c:pt>
                <c:pt idx="3">
                  <c:v>26.89924464407305</c:v>
                </c:pt>
                <c:pt idx="4">
                  <c:v>35.561441748540922</c:v>
                </c:pt>
                <c:pt idx="5">
                  <c:v>44.16548562855413</c:v>
                </c:pt>
                <c:pt idx="6">
                  <c:v>52.724407143396995</c:v>
                </c:pt>
                <c:pt idx="7">
                  <c:v>61.246606784204609</c:v>
                </c:pt>
                <c:pt idx="8">
                  <c:v>69.737935824703797</c:v>
                </c:pt>
                <c:pt idx="9">
                  <c:v>78.202695025517883</c:v>
                </c:pt>
                <c:pt idx="10">
                  <c:v>86.644173354980055</c:v>
                </c:pt>
                <c:pt idx="11">
                  <c:v>95.064963922995389</c:v>
                </c:pt>
                <c:pt idx="12">
                  <c:v>103.4671613227128</c:v>
                </c:pt>
                <c:pt idx="13">
                  <c:v>111.85249114133325</c:v>
                </c:pt>
                <c:pt idx="14">
                  <c:v>120.22239841041811</c:v>
                </c:pt>
                <c:pt idx="15">
                  <c:v>128.57811003097649</c:v>
                </c:pt>
                <c:pt idx="16">
                  <c:v>136.92068006235593</c:v>
                </c:pt>
                <c:pt idx="17">
                  <c:v>145.25102335953207</c:v>
                </c:pt>
                <c:pt idx="18">
                  <c:v>153.56994106738651</c:v>
                </c:pt>
                <c:pt idx="19">
                  <c:v>161.87814028716744</c:v>
                </c:pt>
                <c:pt idx="20">
                  <c:v>170.17624948452939</c:v>
                </c:pt>
                <c:pt idx="21">
                  <c:v>178.46483072839058</c:v>
                </c:pt>
                <c:pt idx="22">
                  <c:v>186.74438953252874</c:v>
                </c:pt>
                <c:pt idx="23">
                  <c:v>195.01538285721335</c:v>
                </c:pt>
                <c:pt idx="24">
                  <c:v>203.27822567998433</c:v>
                </c:pt>
                <c:pt idx="25">
                  <c:v>211.53329644044149</c:v>
                </c:pt>
                <c:pt idx="26">
                  <c:v>219.78094158934547</c:v>
                </c:pt>
                <c:pt idx="27">
                  <c:v>228.02147941817165</c:v>
                </c:pt>
                <c:pt idx="28">
                  <c:v>236.25520330537464</c:v>
                </c:pt>
                <c:pt idx="29">
                  <c:v>244.48238448586758</c:v>
                </c:pt>
                <c:pt idx="30">
                  <c:v>252.70327442777295</c:v>
                </c:pt>
                <c:pt idx="31">
                  <c:v>260.91810688337119</c:v>
                </c:pt>
                <c:pt idx="32">
                  <c:v>269.12709966797632</c:v>
                </c:pt>
                <c:pt idx="33">
                  <c:v>277.33045621020614</c:v>
                </c:pt>
                <c:pt idx="34">
                  <c:v>285.52836690906082</c:v>
                </c:pt>
                <c:pt idx="35">
                  <c:v>293.72101032685873</c:v>
                </c:pt>
                <c:pt idx="36">
                  <c:v>301.90855424200555</c:v>
                </c:pt>
                <c:pt idx="37">
                  <c:v>310.09115658149926</c:v>
                </c:pt>
                <c:pt idx="38">
                  <c:v>318.26896624979003</c:v>
                </c:pt>
                <c:pt idx="39">
                  <c:v>191.9101217139978</c:v>
                </c:pt>
                <c:pt idx="40">
                  <c:v>212.09049210693217</c:v>
                </c:pt>
                <c:pt idx="41">
                  <c:v>232.22660564527078</c:v>
                </c:pt>
                <c:pt idx="42">
                  <c:v>252.32283948832352</c:v>
                </c:pt>
                <c:pt idx="43">
                  <c:v>272.38281610504754</c:v>
                </c:pt>
                <c:pt idx="44">
                  <c:v>292.4095806006253</c:v>
                </c:pt>
                <c:pt idx="45">
                  <c:v>312.40572682672854</c:v>
                </c:pt>
                <c:pt idx="46">
                  <c:v>247.71827804440349</c:v>
                </c:pt>
                <c:pt idx="47">
                  <c:v>268.17158173268894</c:v>
                </c:pt>
                <c:pt idx="48">
                  <c:v>288.5897611303098</c:v>
                </c:pt>
                <c:pt idx="49">
                  <c:v>308.97565001903934</c:v>
                </c:pt>
                <c:pt idx="50">
                  <c:v>329.33167768857032</c:v>
                </c:pt>
                <c:pt idx="51">
                  <c:v>349.65994863235909</c:v>
                </c:pt>
                <c:pt idx="52">
                  <c:v>369.96230272517363</c:v>
                </c:pt>
                <c:pt idx="53">
                  <c:v>299.78093796348435</c:v>
                </c:pt>
                <c:pt idx="54">
                  <c:v>319.90884698949952</c:v>
                </c:pt>
                <c:pt idx="55">
                  <c:v>340.00873782334116</c:v>
                </c:pt>
                <c:pt idx="56">
                  <c:v>360.08249899753582</c:v>
                </c:pt>
                <c:pt idx="57">
                  <c:v>380.13179135254126</c:v>
                </c:pt>
                <c:pt idx="58">
                  <c:v>400.15808629834527</c:v>
                </c:pt>
                <c:pt idx="59">
                  <c:v>420.16269601462477</c:v>
                </c:pt>
                <c:pt idx="60">
                  <c:v>355.19187124027127</c:v>
                </c:pt>
                <c:pt idx="61">
                  <c:v>374.98260902977336</c:v>
                </c:pt>
                <c:pt idx="62">
                  <c:v>394.7506001517263</c:v>
                </c:pt>
                <c:pt idx="63">
                  <c:v>414.49714332625496</c:v>
                </c:pt>
                <c:pt idx="64">
                  <c:v>434.22340349345751</c:v>
                </c:pt>
                <c:pt idx="65">
                  <c:v>453.93043117002759</c:v>
                </c:pt>
                <c:pt idx="66">
                  <c:v>473.61917826951543</c:v>
                </c:pt>
                <c:pt idx="67">
                  <c:v>493.29051115534702</c:v>
                </c:pt>
                <c:pt idx="68">
                  <c:v>426.87070846345961</c:v>
                </c:pt>
                <c:pt idx="69">
                  <c:v>446.3903198300689</c:v>
                </c:pt>
                <c:pt idx="70">
                  <c:v>465.8916632033463</c:v>
                </c:pt>
                <c:pt idx="71">
                  <c:v>485.37561035454365</c:v>
                </c:pt>
                <c:pt idx="72">
                  <c:v>504.84295740152987</c:v>
                </c:pt>
                <c:pt idx="73">
                  <c:v>524.29443409766043</c:v>
                </c:pt>
                <c:pt idx="74">
                  <c:v>543.73071167094952</c:v>
                </c:pt>
                <c:pt idx="75">
                  <c:v>563.15240948454345</c:v>
                </c:pt>
                <c:pt idx="76">
                  <c:v>494.62871898759676</c:v>
                </c:pt>
                <c:pt idx="77">
                  <c:v>513.74094549179301</c:v>
                </c:pt>
                <c:pt idx="78">
                  <c:v>532.83816646386731</c:v>
                </c:pt>
                <c:pt idx="79">
                  <c:v>551.92099501784321</c:v>
                </c:pt>
                <c:pt idx="80">
                  <c:v>570.98999844477783</c:v>
                </c:pt>
                <c:pt idx="81">
                  <c:v>590.04570308454447</c:v>
                </c:pt>
                <c:pt idx="82">
                  <c:v>609.08859853591491</c:v>
                </c:pt>
                <c:pt idx="83">
                  <c:v>628.11914131309391</c:v>
                </c:pt>
                <c:pt idx="84">
                  <c:v>546.34675191309282</c:v>
                </c:pt>
                <c:pt idx="85">
                  <c:v>564.9980529687241</c:v>
                </c:pt>
                <c:pt idx="86">
                  <c:v>583.63648288916681</c:v>
                </c:pt>
                <c:pt idx="87">
                  <c:v>602.2625102615774</c:v>
                </c:pt>
                <c:pt idx="88">
                  <c:v>620.87657234938786</c:v>
                </c:pt>
                <c:pt idx="89">
                  <c:v>639.47907808161142</c:v>
                </c:pt>
                <c:pt idx="90">
                  <c:v>658.07041067647913</c:v>
                </c:pt>
                <c:pt idx="91">
                  <c:v>676.65092995340171</c:v>
                </c:pt>
                <c:pt idx="92">
                  <c:v>695.22097437799528</c:v>
                </c:pt>
                <c:pt idx="93">
                  <c:v>713.78086287743406</c:v>
                </c:pt>
                <c:pt idx="94">
                  <c:v>596.60609402508533</c:v>
                </c:pt>
                <c:pt idx="95">
                  <c:v>614.67185072691063</c:v>
                </c:pt>
                <c:pt idx="96">
                  <c:v>632.72660082215282</c:v>
                </c:pt>
                <c:pt idx="97">
                  <c:v>650.77070235029328</c:v>
                </c:pt>
                <c:pt idx="98">
                  <c:v>668.80449189389219</c:v>
                </c:pt>
                <c:pt idx="99">
                  <c:v>686.82828642014101</c:v>
                </c:pt>
                <c:pt idx="100">
                  <c:v>704.84238491922042</c:v>
                </c:pt>
                <c:pt idx="101">
                  <c:v>722.84706986660137</c:v>
                </c:pt>
                <c:pt idx="102">
                  <c:v>740.84260853221531</c:v>
                </c:pt>
                <c:pt idx="103">
                  <c:v>758.82925415592547</c:v>
                </c:pt>
                <c:pt idx="104">
                  <c:v>640.72231942176609</c:v>
                </c:pt>
                <c:pt idx="105">
                  <c:v>658.27081837032063</c:v>
                </c:pt>
                <c:pt idx="106">
                  <c:v>675.80968614869391</c:v>
                </c:pt>
                <c:pt idx="107">
                  <c:v>693.33920769670385</c:v>
                </c:pt>
                <c:pt idx="108">
                  <c:v>710.85965238406754</c:v>
                </c:pt>
                <c:pt idx="109">
                  <c:v>728.37127523180015</c:v>
                </c:pt>
                <c:pt idx="110">
                  <c:v>745.87431801015293</c:v>
                </c:pt>
                <c:pt idx="111">
                  <c:v>763.36901022822894</c:v>
                </c:pt>
                <c:pt idx="112">
                  <c:v>780.85557002825271</c:v>
                </c:pt>
                <c:pt idx="113">
                  <c:v>798.33420499564829</c:v>
                </c:pt>
                <c:pt idx="114">
                  <c:v>678.43349468551708</c:v>
                </c:pt>
                <c:pt idx="115">
                  <c:v>695.85754841077744</c:v>
                </c:pt>
                <c:pt idx="116">
                  <c:v>713.27266986417487</c:v>
                </c:pt>
                <c:pt idx="117">
                  <c:v>730.67910765307681</c:v>
                </c:pt>
                <c:pt idx="118">
                  <c:v>748.07709758544399</c:v>
                </c:pt>
                <c:pt idx="119">
                  <c:v>765.46686361720276</c:v>
                </c:pt>
                <c:pt idx="120">
                  <c:v>782.84861870913744</c:v>
                </c:pt>
                <c:pt idx="121">
                  <c:v>800.22256560379947</c:v>
                </c:pt>
                <c:pt idx="122">
                  <c:v>817.58889753150731</c:v>
                </c:pt>
                <c:pt idx="123">
                  <c:v>834.94779885330809</c:v>
                </c:pt>
                <c:pt idx="124">
                  <c:v>435.81541740524904</c:v>
                </c:pt>
                <c:pt idx="125">
                  <c:v>445.61746930961482</c:v>
                </c:pt>
                <c:pt idx="126">
                  <c:v>309.15750305437888</c:v>
                </c:pt>
                <c:pt idx="127">
                  <c:v>315.92803182924689</c:v>
                </c:pt>
                <c:pt idx="128">
                  <c:v>226.85049213402147</c:v>
                </c:pt>
                <c:pt idx="129">
                  <c:v>231.84687636657415</c:v>
                </c:pt>
                <c:pt idx="130">
                  <c:v>236.84080061562653</c:v>
                </c:pt>
                <c:pt idx="131">
                  <c:v>6.1663475311105072E-12</c:v>
                </c:pt>
                <c:pt idx="132">
                  <c:v>6.1663475311105072E-12</c:v>
                </c:pt>
                <c:pt idx="133">
                  <c:v>6.1663475311105072E-12</c:v>
                </c:pt>
                <c:pt idx="134">
                  <c:v>6.1663475311105072E-12</c:v>
                </c:pt>
                <c:pt idx="135">
                  <c:v>6.1663475311105072E-12</c:v>
                </c:pt>
                <c:pt idx="136">
                  <c:v>6.1663475311105072E-12</c:v>
                </c:pt>
                <c:pt idx="137">
                  <c:v>6.1663475311105072E-12</c:v>
                </c:pt>
                <c:pt idx="138">
                  <c:v>6.1663475311105072E-12</c:v>
                </c:pt>
                <c:pt idx="139">
                  <c:v>6.1663475311105072E-12</c:v>
                </c:pt>
                <c:pt idx="140">
                  <c:v>6.1663475311105072E-12</c:v>
                </c:pt>
                <c:pt idx="141">
                  <c:v>6.1663475311105072E-12</c:v>
                </c:pt>
                <c:pt idx="142">
                  <c:v>6.1663475311105072E-12</c:v>
                </c:pt>
                <c:pt idx="143">
                  <c:v>6.1663475311105072E-12</c:v>
                </c:pt>
                <c:pt idx="144">
                  <c:v>6.1663475311105072E-12</c:v>
                </c:pt>
                <c:pt idx="145">
                  <c:v>6.1663475311105072E-12</c:v>
                </c:pt>
                <c:pt idx="146">
                  <c:v>6.1663475311105072E-12</c:v>
                </c:pt>
                <c:pt idx="147">
                  <c:v>6.1663475311105072E-12</c:v>
                </c:pt>
                <c:pt idx="148">
                  <c:v>6.1663475311105072E-12</c:v>
                </c:pt>
                <c:pt idx="149">
                  <c:v>6.1663475311105072E-12</c:v>
                </c:pt>
                <c:pt idx="150">
                  <c:v>6.1663475311105072E-12</c:v>
                </c:pt>
                <c:pt idx="151">
                  <c:v>6.1663475311105072E-12</c:v>
                </c:pt>
                <c:pt idx="152">
                  <c:v>6.1663475311105072E-12</c:v>
                </c:pt>
                <c:pt idx="153">
                  <c:v>6.1663475311105072E-12</c:v>
                </c:pt>
                <c:pt idx="154">
                  <c:v>6.1663475311105072E-12</c:v>
                </c:pt>
                <c:pt idx="155">
                  <c:v>6.1663475311105072E-12</c:v>
                </c:pt>
                <c:pt idx="156">
                  <c:v>6.1663475311105072E-12</c:v>
                </c:pt>
                <c:pt idx="157">
                  <c:v>6.1663475311105072E-12</c:v>
                </c:pt>
                <c:pt idx="158">
                  <c:v>6.1663475311105072E-12</c:v>
                </c:pt>
                <c:pt idx="159">
                  <c:v>6.1663475311105072E-12</c:v>
                </c:pt>
                <c:pt idx="160">
                  <c:v>6.1663475311105072E-12</c:v>
                </c:pt>
                <c:pt idx="161">
                  <c:v>6.1663475311105072E-12</c:v>
                </c:pt>
                <c:pt idx="162">
                  <c:v>6.1663475311105072E-12</c:v>
                </c:pt>
                <c:pt idx="163">
                  <c:v>6.1663475311105072E-12</c:v>
                </c:pt>
                <c:pt idx="164">
                  <c:v>6.1663475311105072E-12</c:v>
                </c:pt>
                <c:pt idx="165">
                  <c:v>6.1663475311105072E-12</c:v>
                </c:pt>
                <c:pt idx="166">
                  <c:v>6.1663475311105072E-12</c:v>
                </c:pt>
                <c:pt idx="167">
                  <c:v>6.1663475311105072E-12</c:v>
                </c:pt>
                <c:pt idx="168">
                  <c:v>6.1663475311105072E-12</c:v>
                </c:pt>
                <c:pt idx="169">
                  <c:v>6.1663475311105072E-12</c:v>
                </c:pt>
                <c:pt idx="170">
                  <c:v>6.1663475311105072E-12</c:v>
                </c:pt>
                <c:pt idx="171">
                  <c:v>6.1663475311105072E-12</c:v>
                </c:pt>
                <c:pt idx="172">
                  <c:v>6.1663475311105072E-12</c:v>
                </c:pt>
                <c:pt idx="173">
                  <c:v>6.1663475311105072E-12</c:v>
                </c:pt>
                <c:pt idx="174">
                  <c:v>6.1663475311105072E-12</c:v>
                </c:pt>
                <c:pt idx="175">
                  <c:v>6.1663475311105072E-12</c:v>
                </c:pt>
                <c:pt idx="176">
                  <c:v>6.1663475311105072E-12</c:v>
                </c:pt>
                <c:pt idx="177">
                  <c:v>6.1663475311105072E-12</c:v>
                </c:pt>
                <c:pt idx="178">
                  <c:v>6.1663475311105072E-12</c:v>
                </c:pt>
                <c:pt idx="179">
                  <c:v>6.1663475311105072E-12</c:v>
                </c:pt>
                <c:pt idx="180">
                  <c:v>6.1663475311105072E-12</c:v>
                </c:pt>
                <c:pt idx="181">
                  <c:v>6.1663475311105072E-12</c:v>
                </c:pt>
                <c:pt idx="182">
                  <c:v>6.1663475311105072E-12</c:v>
                </c:pt>
                <c:pt idx="183">
                  <c:v>6.1663475311105072E-12</c:v>
                </c:pt>
                <c:pt idx="184">
                  <c:v>6.1663475311105072E-12</c:v>
                </c:pt>
                <c:pt idx="185">
                  <c:v>6.1663475311105072E-12</c:v>
                </c:pt>
                <c:pt idx="186">
                  <c:v>6.1663475311105072E-12</c:v>
                </c:pt>
                <c:pt idx="187">
                  <c:v>6.1663475311105072E-12</c:v>
                </c:pt>
                <c:pt idx="188">
                  <c:v>6.1663475311105072E-12</c:v>
                </c:pt>
                <c:pt idx="189">
                  <c:v>6.1663475311105072E-12</c:v>
                </c:pt>
                <c:pt idx="190">
                  <c:v>6.1663475311105072E-12</c:v>
                </c:pt>
                <c:pt idx="191">
                  <c:v>6.1663475311105072E-12</c:v>
                </c:pt>
                <c:pt idx="192">
                  <c:v>6.1663475311105072E-12</c:v>
                </c:pt>
                <c:pt idx="193">
                  <c:v>6.1663475311105072E-12</c:v>
                </c:pt>
                <c:pt idx="194">
                  <c:v>6.1663475311105072E-12</c:v>
                </c:pt>
                <c:pt idx="195">
                  <c:v>6.1663475311105072E-12</c:v>
                </c:pt>
                <c:pt idx="196">
                  <c:v>6.1663475311105072E-12</c:v>
                </c:pt>
                <c:pt idx="197">
                  <c:v>6.1663475311105072E-12</c:v>
                </c:pt>
                <c:pt idx="198">
                  <c:v>6.1663475311105072E-12</c:v>
                </c:pt>
                <c:pt idx="199">
                  <c:v>6.1663475311105072E-12</c:v>
                </c:pt>
                <c:pt idx="200">
                  <c:v>6.1663475311105072E-12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7.9348268839058393</c:v>
                </c:pt>
                <c:pt idx="2">
                  <c:v>15.517090525941128</c:v>
                </c:pt>
                <c:pt idx="3">
                  <c:v>22.985493938419882</c:v>
                </c:pt>
                <c:pt idx="4">
                  <c:v>30.383711256164688</c:v>
                </c:pt>
                <c:pt idx="5">
                  <c:v>37.731537028809953</c:v>
                </c:pt>
                <c:pt idx="6">
                  <c:v>45.040262893912661</c:v>
                </c:pt>
                <c:pt idx="7">
                  <c:v>52.317168133608305</c:v>
                </c:pt>
                <c:pt idx="8">
                  <c:v>59.567323055290082</c:v>
                </c:pt>
                <c:pt idx="9">
                  <c:v>66.794454399391569</c:v>
                </c:pt>
                <c:pt idx="10">
                  <c:v>74.001412157424696</c:v>
                </c:pt>
                <c:pt idx="11">
                  <c:v>81.190443338320719</c:v>
                </c:pt>
                <c:pt idx="12">
                  <c:v>88.363362971016116</c:v>
                </c:pt>
                <c:pt idx="13">
                  <c:v>95.521666329523114</c:v>
                </c:pt>
                <c:pt idx="14">
                  <c:v>102.6666055778236</c:v>
                </c:pt>
                <c:pt idx="15">
                  <c:v>109.79924386311403</c:v>
                </c:pt>
                <c:pt idx="16">
                  <c:v>116.92049456001179</c:v>
                </c:pt>
                <c:pt idx="17">
                  <c:v>124.03115041829483</c:v>
                </c:pt>
                <c:pt idx="18">
                  <c:v>131.13190565447152</c:v>
                </c:pt>
                <c:pt idx="19">
                  <c:v>138.22337299336959</c:v>
                </c:pt>
                <c:pt idx="20">
                  <c:v>145.30609701967319</c:v>
                </c:pt>
                <c:pt idx="21">
                  <c:v>152.38056478326666</c:v>
                </c:pt>
                <c:pt idx="22">
                  <c:v>159.44721432727769</c:v>
                </c:pt>
                <c:pt idx="23">
                  <c:v>166.50644162173626</c:v>
                </c:pt>
                <c:pt idx="24">
                  <c:v>173.55860625735497</c:v>
                </c:pt>
                <c:pt idx="25">
                  <c:v>180.60403616360529</c:v>
                </c:pt>
                <c:pt idx="26">
                  <c:v>187.64303155065241</c:v>
                </c:pt>
                <c:pt idx="27">
                  <c:v>194.67586822778131</c:v>
                </c:pt>
                <c:pt idx="28">
                  <c:v>201.70280041638287</c:v>
                </c:pt>
                <c:pt idx="29">
                  <c:v>208.72406314979355</c:v>
                </c:pt>
                <c:pt idx="30">
                  <c:v>215.73987433282181</c:v>
                </c:pt>
                <c:pt idx="31">
                  <c:v>222.7504365189578</c:v>
                </c:pt>
                <c:pt idx="32">
                  <c:v>229.75593845182368</c:v>
                </c:pt>
                <c:pt idx="33">
                  <c:v>236.75655640852983</c:v>
                </c:pt>
                <c:pt idx="34">
                  <c:v>243.75245537562498</c:v>
                </c:pt>
                <c:pt idx="35">
                  <c:v>250.74379008281184</c:v>
                </c:pt>
                <c:pt idx="36">
                  <c:v>257.73070591520286</c:v>
                </c:pt>
                <c:pt idx="37">
                  <c:v>264.71333972136563</c:v>
                </c:pt>
                <c:pt idx="38">
                  <c:v>271.69182053155362</c:v>
                </c:pt>
                <c:pt idx="39">
                  <c:v>278.66627019820879</c:v>
                </c:pt>
                <c:pt idx="40">
                  <c:v>285.63680396892198</c:v>
                </c:pt>
                <c:pt idx="41">
                  <c:v>292.60353100048502</c:v>
                </c:pt>
                <c:pt idx="42">
                  <c:v>299.56655482137893</c:v>
                </c:pt>
                <c:pt idx="43">
                  <c:v>306.52597374897516</c:v>
                </c:pt>
                <c:pt idx="44">
                  <c:v>313.48188126683385</c:v>
                </c:pt>
                <c:pt idx="45">
                  <c:v>320.43436636673522</c:v>
                </c:pt>
                <c:pt idx="46">
                  <c:v>327.38351385945117</c:v>
                </c:pt>
                <c:pt idx="47">
                  <c:v>334.32940465773095</c:v>
                </c:pt>
                <c:pt idx="48">
                  <c:v>341.27211603452292</c:v>
                </c:pt>
                <c:pt idx="49">
                  <c:v>348.21172185907125</c:v>
                </c:pt>
                <c:pt idx="50">
                  <c:v>355.14829281319425</c:v>
                </c:pt>
                <c:pt idx="51">
                  <c:v>362.08189658977221</c:v>
                </c:pt>
                <c:pt idx="52">
                  <c:v>369.01259807522791</c:v>
                </c:pt>
                <c:pt idx="53">
                  <c:v>375.94045951757306</c:v>
                </c:pt>
                <c:pt idx="54">
                  <c:v>382.8655406814126</c:v>
                </c:pt>
                <c:pt idx="55">
                  <c:v>389.78789899114423</c:v>
                </c:pt>
                <c:pt idx="56">
                  <c:v>396.70758966344698</c:v>
                </c:pt>
                <c:pt idx="57">
                  <c:v>403.62466583003965</c:v>
                </c:pt>
                <c:pt idx="58">
                  <c:v>410.53917865157979</c:v>
                </c:pt>
                <c:pt idx="59">
                  <c:v>417.45117742348617</c:v>
                </c:pt>
                <c:pt idx="60">
                  <c:v>424.36070967438195</c:v>
                </c:pt>
                <c:pt idx="61">
                  <c:v>288.18730679977051</c:v>
                </c:pt>
                <c:pt idx="62">
                  <c:v>302.47198070570596</c:v>
                </c:pt>
                <c:pt idx="63">
                  <c:v>316.74164591285154</c:v>
                </c:pt>
                <c:pt idx="64">
                  <c:v>330.99707386423012</c:v>
                </c:pt>
                <c:pt idx="65">
                  <c:v>345.23896411987533</c:v>
                </c:pt>
                <c:pt idx="66">
                  <c:v>359.46795380642266</c:v>
                </c:pt>
                <c:pt idx="67">
                  <c:v>373.68462549187933</c:v>
                </c:pt>
                <c:pt idx="68">
                  <c:v>387.88951379915807</c:v>
                </c:pt>
                <c:pt idx="69">
                  <c:v>402.08311100010451</c:v>
                </c:pt>
                <c:pt idx="70">
                  <c:v>328.91011552785579</c:v>
                </c:pt>
                <c:pt idx="71">
                  <c:v>342.84500036388135</c:v>
                </c:pt>
                <c:pt idx="72">
                  <c:v>356.76743992635789</c:v>
                </c:pt>
                <c:pt idx="73">
                  <c:v>370.67798829998833</c:v>
                </c:pt>
                <c:pt idx="74">
                  <c:v>384.57715458703962</c:v>
                </c:pt>
                <c:pt idx="75">
                  <c:v>398.46540808711467</c:v>
                </c:pt>
                <c:pt idx="76">
                  <c:v>412.3431827169984</c:v>
                </c:pt>
                <c:pt idx="77">
                  <c:v>426.21088080440586</c:v>
                </c:pt>
                <c:pt idx="78">
                  <c:v>370.20260469110161</c:v>
                </c:pt>
                <c:pt idx="79">
                  <c:v>384.10358289738252</c:v>
                </c:pt>
                <c:pt idx="80">
                  <c:v>397.99363067483574</c:v>
                </c:pt>
                <c:pt idx="81">
                  <c:v>411.87318321337824</c:v>
                </c:pt>
                <c:pt idx="82">
                  <c:v>425.74264398092276</c:v>
                </c:pt>
                <c:pt idx="83">
                  <c:v>439.60238801543551</c:v>
                </c:pt>
                <c:pt idx="84">
                  <c:v>453.45276478019287</c:v>
                </c:pt>
                <c:pt idx="85">
                  <c:v>467.29410065203678</c:v>
                </c:pt>
                <c:pt idx="86">
                  <c:v>481.12670109948903</c:v>
                </c:pt>
                <c:pt idx="87">
                  <c:v>417.92486805030893</c:v>
                </c:pt>
                <c:pt idx="88">
                  <c:v>431.82201320823901</c:v>
                </c:pt>
                <c:pt idx="89">
                  <c:v>445.70955372287375</c:v>
                </c:pt>
                <c:pt idx="90">
                  <c:v>459.58783097189752</c:v>
                </c:pt>
                <c:pt idx="91">
                  <c:v>473.4571640373162</c:v>
                </c:pt>
                <c:pt idx="92">
                  <c:v>487.31785178574552</c:v>
                </c:pt>
                <c:pt idx="93">
                  <c:v>501.17017469973308</c:v>
                </c:pt>
                <c:pt idx="94">
                  <c:v>515.01439649611177</c:v>
                </c:pt>
                <c:pt idx="95">
                  <c:v>528.85076556131935</c:v>
                </c:pt>
                <c:pt idx="96">
                  <c:v>456.25823673536746</c:v>
                </c:pt>
                <c:pt idx="97">
                  <c:v>470.16615638603167</c:v>
                </c:pt>
                <c:pt idx="98">
                  <c:v>484.06531560972599</c:v>
                </c:pt>
                <c:pt idx="99">
                  <c:v>497.95600132779902</c:v>
                </c:pt>
                <c:pt idx="100">
                  <c:v>511.83848315243455</c:v>
                </c:pt>
                <c:pt idx="101">
                  <c:v>525.71301488182235</c:v>
                </c:pt>
                <c:pt idx="102">
                  <c:v>539.57983582931536</c:v>
                </c:pt>
                <c:pt idx="103">
                  <c:v>553.43917200888438</c:v>
                </c:pt>
                <c:pt idx="104">
                  <c:v>567.29123719568713</c:v>
                </c:pt>
                <c:pt idx="105">
                  <c:v>500.76273642622454</c:v>
                </c:pt>
                <c:pt idx="106">
                  <c:v>514.8551556957724</c:v>
                </c:pt>
                <c:pt idx="107">
                  <c:v>528.93943541715112</c:v>
                </c:pt>
                <c:pt idx="108">
                  <c:v>543.01582278718149</c:v>
                </c:pt>
                <c:pt idx="109">
                  <c:v>557.0845511461456</c:v>
                </c:pt>
                <c:pt idx="110">
                  <c:v>571.14584109211796</c:v>
                </c:pt>
                <c:pt idx="111">
                  <c:v>585.19990147989529</c:v>
                </c:pt>
                <c:pt idx="112">
                  <c:v>599.24693031901279</c:v>
                </c:pt>
                <c:pt idx="113">
                  <c:v>613.28711558321936</c:v>
                </c:pt>
                <c:pt idx="114">
                  <c:v>542.53862974826052</c:v>
                </c:pt>
                <c:pt idx="115">
                  <c:v>556.85289709565188</c:v>
                </c:pt>
                <c:pt idx="116">
                  <c:v>571.15946063462252</c:v>
                </c:pt>
                <c:pt idx="117">
                  <c:v>585.45854043456723</c:v>
                </c:pt>
                <c:pt idx="118">
                  <c:v>599.75034494340457</c:v>
                </c:pt>
                <c:pt idx="119">
                  <c:v>614.03507186934644</c:v>
                </c:pt>
                <c:pt idx="120">
                  <c:v>628.31290897638928</c:v>
                </c:pt>
                <c:pt idx="121">
                  <c:v>642.58403480377649</c:v>
                </c:pt>
                <c:pt idx="122">
                  <c:v>656.84861931825901</c:v>
                </c:pt>
                <c:pt idx="123">
                  <c:v>577.87919984414941</c:v>
                </c:pt>
                <c:pt idx="124">
                  <c:v>592.4032440297533</c:v>
                </c:pt>
                <c:pt idx="125">
                  <c:v>606.91987898108778</c:v>
                </c:pt>
                <c:pt idx="126">
                  <c:v>621.42930679167</c:v>
                </c:pt>
                <c:pt idx="127">
                  <c:v>635.93171935349449</c:v>
                </c:pt>
                <c:pt idx="128">
                  <c:v>650.42729909771822</c:v>
                </c:pt>
                <c:pt idx="129">
                  <c:v>664.91621966592049</c:v>
                </c:pt>
                <c:pt idx="130">
                  <c:v>679.39864651985215</c:v>
                </c:pt>
                <c:pt idx="131">
                  <c:v>693.87473749652361</c:v>
                </c:pt>
                <c:pt idx="132">
                  <c:v>708.3446433145931</c:v>
                </c:pt>
                <c:pt idx="133">
                  <c:v>624.1119505589121</c:v>
                </c:pt>
                <c:pt idx="134">
                  <c:v>639.07065813849192</c:v>
                </c:pt>
                <c:pt idx="135">
                  <c:v>654.02213550578983</c:v>
                </c:pt>
                <c:pt idx="136">
                  <c:v>668.96657113032506</c:v>
                </c:pt>
                <c:pt idx="137">
                  <c:v>683.90414437995207</c:v>
                </c:pt>
                <c:pt idx="138">
                  <c:v>698.83502615369832</c:v>
                </c:pt>
                <c:pt idx="139">
                  <c:v>713.75937945774365</c:v>
                </c:pt>
                <c:pt idx="140">
                  <c:v>728.67735993075883</c:v>
                </c:pt>
                <c:pt idx="141">
                  <c:v>743.58911632402123</c:v>
                </c:pt>
                <c:pt idx="142">
                  <c:v>758.49479094104538</c:v>
                </c:pt>
                <c:pt idx="143">
                  <c:v>773.39452004089162</c:v>
                </c:pt>
                <c:pt idx="144">
                  <c:v>788.28843420880264</c:v>
                </c:pt>
                <c:pt idx="145">
                  <c:v>679.69414667999979</c:v>
                </c:pt>
                <c:pt idx="146">
                  <c:v>694.99652870254488</c:v>
                </c:pt>
                <c:pt idx="147">
                  <c:v>710.29201169407168</c:v>
                </c:pt>
                <c:pt idx="148">
                  <c:v>725.58076503627569</c:v>
                </c:pt>
                <c:pt idx="149">
                  <c:v>740.86295039636786</c:v>
                </c:pt>
                <c:pt idx="150">
                  <c:v>756.13872223358032</c:v>
                </c:pt>
                <c:pt idx="151">
                  <c:v>771.40822826265219</c:v>
                </c:pt>
                <c:pt idx="152">
                  <c:v>786.67160987874149</c:v>
                </c:pt>
                <c:pt idx="153">
                  <c:v>801.92900254767562</c:v>
                </c:pt>
                <c:pt idx="154">
                  <c:v>817.18053616498548</c:v>
                </c:pt>
                <c:pt idx="155">
                  <c:v>832.42633538677239</c:v>
                </c:pt>
                <c:pt idx="156">
                  <c:v>847.66651993509458</c:v>
                </c:pt>
                <c:pt idx="157">
                  <c:v>729.93421625601695</c:v>
                </c:pt>
                <c:pt idx="158">
                  <c:v>745.53794628468529</c:v>
                </c:pt>
                <c:pt idx="159">
                  <c:v>761.13503622704968</c:v>
                </c:pt>
                <c:pt idx="160">
                  <c:v>776.72564120317713</c:v>
                </c:pt>
                <c:pt idx="161">
                  <c:v>792.309909603758</c:v>
                </c:pt>
                <c:pt idx="162">
                  <c:v>807.88798351136938</c:v>
                </c:pt>
                <c:pt idx="163">
                  <c:v>823.45999908758722</c:v>
                </c:pt>
                <c:pt idx="164">
                  <c:v>839.02608692932472</c:v>
                </c:pt>
                <c:pt idx="165">
                  <c:v>854.58637239737743</c:v>
                </c:pt>
                <c:pt idx="166">
                  <c:v>870.14097591982454</c:v>
                </c:pt>
                <c:pt idx="167">
                  <c:v>885.69001327262743</c:v>
                </c:pt>
                <c:pt idx="168">
                  <c:v>901.23359583952379</c:v>
                </c:pt>
                <c:pt idx="169">
                  <c:v>772.14760109782401</c:v>
                </c:pt>
                <c:pt idx="170">
                  <c:v>787.754010163918</c:v>
                </c:pt>
                <c:pt idx="171">
                  <c:v>803.35416757047312</c:v>
                </c:pt>
                <c:pt idx="172">
                  <c:v>818.94821170769308</c:v>
                </c:pt>
                <c:pt idx="173">
                  <c:v>834.53627527080562</c:v>
                </c:pt>
                <c:pt idx="174">
                  <c:v>850.11848559859118</c:v>
                </c:pt>
                <c:pt idx="175">
                  <c:v>865.6949649858251</c:v>
                </c:pt>
                <c:pt idx="176">
                  <c:v>881.26583097209289</c:v>
                </c:pt>
                <c:pt idx="177">
                  <c:v>896.83119660914872</c:v>
                </c:pt>
                <c:pt idx="178">
                  <c:v>912.39117070877421</c:v>
                </c:pt>
                <c:pt idx="179">
                  <c:v>927.94585807286694</c:v>
                </c:pt>
                <c:pt idx="180">
                  <c:v>943.49535970731733</c:v>
                </c:pt>
                <c:pt idx="181">
                  <c:v>596.65205110487057</c:v>
                </c:pt>
                <c:pt idx="182">
                  <c:v>606.44243354148568</c:v>
                </c:pt>
                <c:pt idx="183">
                  <c:v>616.22953464876537</c:v>
                </c:pt>
                <c:pt idx="184">
                  <c:v>626.01341388147284</c:v>
                </c:pt>
                <c:pt idx="185">
                  <c:v>425.18816872945314</c:v>
                </c:pt>
                <c:pt idx="186">
                  <c:v>431.52402561764438</c:v>
                </c:pt>
                <c:pt idx="187">
                  <c:v>437.85788419433567</c:v>
                </c:pt>
                <c:pt idx="188">
                  <c:v>444.18977746524746</c:v>
                </c:pt>
                <c:pt idx="189">
                  <c:v>299.42016224308082</c:v>
                </c:pt>
                <c:pt idx="190">
                  <c:v>303.50750955716296</c:v>
                </c:pt>
                <c:pt idx="191">
                  <c:v>307.59363224458792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forestiersfransylva.sharepoint.com/sites/FransylvaServices/Shared%20Documents/Financements%20innovants/CLIENTS%202023-2024/CLOMBET%20-%20LE/8%20-%20Tableur_Boisement%20Hirel.xlsx" TargetMode="External"/><Relationship Id="rId1" Type="http://schemas.openxmlformats.org/officeDocument/2006/relationships/externalLinkPath" Target="8%20-%20Tableur_Boisement%20Hir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ccueil"/>
      <sheetName val="Données projet"/>
      <sheetName val="Scénario référence"/>
      <sheetName val="Calculateur"/>
      <sheetName val="Paramètres"/>
      <sheetName val="REE"/>
      <sheetName val="VAN"/>
    </sheetNames>
    <sheetDataSet>
      <sheetData sheetId="0"/>
      <sheetData sheetId="1">
        <row r="5">
          <cell r="C5">
            <v>10.64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12" zoomScale="80" zoomScaleNormal="80" workbookViewId="0">
      <selection activeCell="B18" sqref="B18:M31"/>
    </sheetView>
  </sheetViews>
  <sheetFormatPr baseColWidth="10" defaultRowHeight="14.25" x14ac:dyDescent="0.45"/>
  <cols>
    <col min="1" max="1" width="6.59765625" customWidth="1"/>
    <col min="2" max="13" width="15.9296875" customWidth="1"/>
  </cols>
  <sheetData>
    <row r="12" spans="2:13" ht="15" customHeight="1" x14ac:dyDescent="0.45">
      <c r="B12" s="258" t="s">
        <v>291</v>
      </c>
      <c r="C12" s="258"/>
      <c r="D12" s="258"/>
      <c r="E12" s="258"/>
      <c r="F12" s="258"/>
      <c r="G12" s="258"/>
      <c r="H12" s="258"/>
      <c r="I12" s="258"/>
      <c r="J12" s="258"/>
      <c r="K12" s="258"/>
      <c r="L12" s="258"/>
      <c r="M12" s="258"/>
    </row>
    <row r="13" spans="2:13" ht="15" customHeight="1" x14ac:dyDescent="0.45">
      <c r="B13" s="258"/>
      <c r="C13" s="258"/>
      <c r="D13" s="258"/>
      <c r="E13" s="258"/>
      <c r="F13" s="258"/>
      <c r="G13" s="258"/>
      <c r="H13" s="258"/>
      <c r="I13" s="258"/>
      <c r="J13" s="258"/>
      <c r="K13" s="258"/>
      <c r="L13" s="258"/>
      <c r="M13" s="258"/>
    </row>
    <row r="14" spans="2:13" ht="15" customHeight="1" x14ac:dyDescent="0.45">
      <c r="B14" s="258"/>
      <c r="C14" s="258"/>
      <c r="D14" s="258"/>
      <c r="E14" s="258"/>
      <c r="F14" s="258"/>
      <c r="G14" s="258"/>
      <c r="H14" s="258"/>
      <c r="I14" s="258"/>
      <c r="J14" s="258"/>
      <c r="K14" s="258"/>
      <c r="L14" s="258"/>
      <c r="M14" s="258"/>
    </row>
    <row r="15" spans="2:13" ht="18.75" customHeight="1" x14ac:dyDescent="0.45">
      <c r="B15" s="258"/>
      <c r="C15" s="258"/>
      <c r="D15" s="258"/>
      <c r="E15" s="258"/>
      <c r="F15" s="258"/>
      <c r="G15" s="258"/>
      <c r="H15" s="258"/>
      <c r="I15" s="258"/>
      <c r="J15" s="258"/>
      <c r="K15" s="258"/>
      <c r="L15" s="258"/>
      <c r="M15" s="258"/>
    </row>
    <row r="16" spans="2:13" ht="18.75" customHeight="1" x14ac:dyDescent="0.45">
      <c r="B16" s="258"/>
      <c r="C16" s="258"/>
      <c r="D16" s="258"/>
      <c r="E16" s="258"/>
      <c r="F16" s="258"/>
      <c r="G16" s="258"/>
      <c r="H16" s="258"/>
      <c r="I16" s="258"/>
      <c r="J16" s="258"/>
      <c r="K16" s="258"/>
      <c r="L16" s="258"/>
      <c r="M16" s="258"/>
    </row>
    <row r="18" spans="2:13" ht="12" customHeight="1" x14ac:dyDescent="0.45">
      <c r="B18" s="258" t="s">
        <v>292</v>
      </c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8"/>
    </row>
    <row r="19" spans="2:13" ht="12" customHeight="1" x14ac:dyDescent="0.45">
      <c r="B19" s="258"/>
      <c r="C19" s="258"/>
      <c r="D19" s="258"/>
      <c r="E19" s="258"/>
      <c r="F19" s="258"/>
      <c r="G19" s="258"/>
      <c r="H19" s="258"/>
      <c r="I19" s="258"/>
      <c r="J19" s="258"/>
      <c r="K19" s="258"/>
      <c r="L19" s="258"/>
      <c r="M19" s="258"/>
    </row>
    <row r="20" spans="2:13" ht="12" customHeight="1" x14ac:dyDescent="0.45">
      <c r="B20" s="258"/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</row>
    <row r="21" spans="2:13" ht="12" customHeight="1" x14ac:dyDescent="0.45">
      <c r="B21" s="258"/>
      <c r="C21" s="258"/>
      <c r="D21" s="258"/>
      <c r="E21" s="258"/>
      <c r="F21" s="258"/>
      <c r="G21" s="258"/>
      <c r="H21" s="258"/>
      <c r="I21" s="258"/>
      <c r="J21" s="258"/>
      <c r="K21" s="258"/>
      <c r="L21" s="258"/>
      <c r="M21" s="258"/>
    </row>
    <row r="22" spans="2:13" ht="12" customHeight="1" x14ac:dyDescent="0.45">
      <c r="B22" s="258"/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258"/>
    </row>
    <row r="23" spans="2:13" ht="12" customHeight="1" x14ac:dyDescent="0.45">
      <c r="B23" s="258"/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</row>
    <row r="24" spans="2:13" ht="12" customHeight="1" x14ac:dyDescent="0.45">
      <c r="B24" s="258"/>
      <c r="C24" s="258"/>
      <c r="D24" s="258"/>
      <c r="E24" s="258"/>
      <c r="F24" s="258"/>
      <c r="G24" s="258"/>
      <c r="H24" s="258"/>
      <c r="I24" s="258"/>
      <c r="J24" s="258"/>
      <c r="K24" s="258"/>
      <c r="L24" s="258"/>
      <c r="M24" s="258"/>
    </row>
    <row r="25" spans="2:13" ht="12" customHeight="1" x14ac:dyDescent="0.45">
      <c r="B25" s="258"/>
      <c r="C25" s="258"/>
      <c r="D25" s="258"/>
      <c r="E25" s="258"/>
      <c r="F25" s="258"/>
      <c r="G25" s="258"/>
      <c r="H25" s="258"/>
      <c r="I25" s="258"/>
      <c r="J25" s="258"/>
      <c r="K25" s="258"/>
      <c r="L25" s="258"/>
      <c r="M25" s="258"/>
    </row>
    <row r="26" spans="2:13" ht="12" customHeight="1" x14ac:dyDescent="0.45">
      <c r="B26" s="258"/>
      <c r="C26" s="258"/>
      <c r="D26" s="258"/>
      <c r="E26" s="258"/>
      <c r="F26" s="258"/>
      <c r="G26" s="258"/>
      <c r="H26" s="258"/>
      <c r="I26" s="258"/>
      <c r="J26" s="258"/>
      <c r="K26" s="258"/>
      <c r="L26" s="258"/>
      <c r="M26" s="258"/>
    </row>
    <row r="27" spans="2:13" ht="12" customHeight="1" x14ac:dyDescent="0.45"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</row>
    <row r="28" spans="2:13" ht="12" customHeight="1" x14ac:dyDescent="0.45"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58"/>
    </row>
    <row r="29" spans="2:13" ht="12" customHeight="1" x14ac:dyDescent="0.45"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  <c r="M29" s="258"/>
    </row>
    <row r="30" spans="2:13" ht="12" customHeight="1" x14ac:dyDescent="0.45">
      <c r="B30" s="258"/>
      <c r="C30" s="258"/>
      <c r="D30" s="258"/>
      <c r="E30" s="258"/>
      <c r="F30" s="258"/>
      <c r="G30" s="258"/>
      <c r="H30" s="258"/>
      <c r="I30" s="258"/>
      <c r="J30" s="258"/>
      <c r="K30" s="258"/>
      <c r="L30" s="258"/>
      <c r="M30" s="258"/>
    </row>
    <row r="31" spans="2:13" ht="12" customHeight="1" x14ac:dyDescent="0.45">
      <c r="B31" s="258"/>
      <c r="C31" s="258"/>
      <c r="D31" s="258"/>
      <c r="E31" s="258"/>
      <c r="F31" s="258"/>
      <c r="G31" s="258"/>
      <c r="H31" s="258"/>
      <c r="I31" s="258"/>
      <c r="J31" s="258"/>
      <c r="K31" s="258"/>
      <c r="L31" s="258"/>
      <c r="M31" s="258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N28" sqref="N28"/>
    </sheetView>
  </sheetViews>
  <sheetFormatPr baseColWidth="10" defaultColWidth="11.46484375" defaultRowHeight="14.25" x14ac:dyDescent="0.45"/>
  <cols>
    <col min="1" max="1" width="13.59765625" style="23" customWidth="1"/>
    <col min="2" max="2" width="36.06640625" style="23" customWidth="1"/>
    <col min="3" max="3" width="14.9296875" style="23" bestFit="1" customWidth="1"/>
    <col min="4" max="4" width="16.46484375" style="23" customWidth="1"/>
    <col min="5" max="5" width="23.33203125" style="23" customWidth="1"/>
    <col min="6" max="6" width="28.9296875" style="23" bestFit="1" customWidth="1"/>
    <col min="7" max="8" width="14.59765625" style="23" customWidth="1"/>
    <col min="9" max="9" width="17" style="23" customWidth="1"/>
    <col min="10" max="10" width="13.9296875" style="23" customWidth="1"/>
    <col min="11" max="16384" width="11.46484375" style="23"/>
  </cols>
  <sheetData>
    <row r="1" spans="1:38" x14ac:dyDescent="0.45">
      <c r="A1" s="4"/>
      <c r="B1" s="4"/>
      <c r="C1" s="263" t="s">
        <v>190</v>
      </c>
      <c r="D1" s="263"/>
      <c r="E1" s="26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4.65" thickBot="1" x14ac:dyDescent="0.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5.9" thickBot="1" x14ac:dyDescent="0.5">
      <c r="A3" s="4"/>
      <c r="B3" s="264" t="s">
        <v>192</v>
      </c>
      <c r="C3" s="265"/>
      <c r="D3" s="265"/>
      <c r="E3" s="265"/>
      <c r="F3" s="266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5" x14ac:dyDescent="0.4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5" x14ac:dyDescent="0.45">
      <c r="A5" s="269" t="s">
        <v>231</v>
      </c>
      <c r="B5" s="269"/>
      <c r="C5" s="24">
        <v>7.61</v>
      </c>
      <c r="D5" s="270" t="s">
        <v>229</v>
      </c>
      <c r="E5" s="271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4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5" x14ac:dyDescent="0.45">
      <c r="A7" s="268" t="s">
        <v>226</v>
      </c>
      <c r="B7" s="268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4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45">
      <c r="A9" s="30" t="s">
        <v>165</v>
      </c>
      <c r="B9" s="31" t="s">
        <v>14</v>
      </c>
      <c r="C9" s="32">
        <v>0.75</v>
      </c>
      <c r="D9" s="33">
        <f t="shared" ref="D9:D18" si="0">C9*$C$5</f>
        <v>5.7075000000000005</v>
      </c>
      <c r="E9" s="34">
        <v>159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45">
      <c r="A10" s="30" t="s">
        <v>166</v>
      </c>
      <c r="B10" s="31" t="s">
        <v>11</v>
      </c>
      <c r="C10" s="32">
        <v>0.06</v>
      </c>
      <c r="D10" s="33">
        <f t="shared" si="0"/>
        <v>0.45660000000000001</v>
      </c>
      <c r="E10" s="34">
        <v>106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45">
      <c r="A11" s="30" t="s">
        <v>167</v>
      </c>
      <c r="B11" s="31" t="s">
        <v>12</v>
      </c>
      <c r="C11" s="32">
        <v>0.1</v>
      </c>
      <c r="D11" s="33">
        <f t="shared" si="0"/>
        <v>0.76100000000000012</v>
      </c>
      <c r="E11" s="34">
        <v>191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45">
      <c r="A12" s="30" t="s">
        <v>168</v>
      </c>
      <c r="B12" s="31" t="s">
        <v>29</v>
      </c>
      <c r="C12" s="32">
        <v>0.01</v>
      </c>
      <c r="D12" s="33">
        <f t="shared" si="0"/>
        <v>7.6100000000000001E-2</v>
      </c>
      <c r="E12" s="34">
        <v>69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45">
      <c r="A13" s="30" t="s">
        <v>169</v>
      </c>
      <c r="B13" s="31" t="s">
        <v>6</v>
      </c>
      <c r="C13" s="32">
        <v>0.05</v>
      </c>
      <c r="D13" s="33">
        <f t="shared" si="0"/>
        <v>0.38050000000000006</v>
      </c>
      <c r="E13" s="34">
        <v>130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45">
      <c r="A14" s="30" t="s">
        <v>170</v>
      </c>
      <c r="B14" s="31" t="s">
        <v>1</v>
      </c>
      <c r="C14" s="32">
        <v>0.03</v>
      </c>
      <c r="D14" s="33">
        <f t="shared" si="0"/>
        <v>0.2283</v>
      </c>
      <c r="E14" s="34">
        <v>191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4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4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4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4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45">
      <c r="A19" s="78"/>
      <c r="B19" s="36" t="s">
        <v>175</v>
      </c>
      <c r="C19" s="37">
        <f>SUM(C9:C18)</f>
        <v>1</v>
      </c>
      <c r="D19" s="38">
        <f>SUM(D9:D18)</f>
        <v>7.61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4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4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65">
      <c r="A22" s="267" t="s">
        <v>232</v>
      </c>
      <c r="B22" s="267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4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4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4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45">
      <c r="A26" s="41" t="s">
        <v>222</v>
      </c>
      <c r="B26" s="42" t="s">
        <v>221</v>
      </c>
      <c r="C26" s="43">
        <v>0.05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4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4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4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45">
      <c r="A30" s="268" t="s">
        <v>227</v>
      </c>
      <c r="B30" s="268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45">
      <c r="A31" s="4"/>
      <c r="B31" s="4"/>
      <c r="C31" s="23" t="s">
        <v>325</v>
      </c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45">
      <c r="A32" s="46" t="s">
        <v>165</v>
      </c>
      <c r="B32" s="47" t="str">
        <f>IF(B9="","",B9)</f>
        <v>Chêne sessile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4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4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28.5" x14ac:dyDescent="0.4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45">
      <c r="A36" s="50">
        <v>34</v>
      </c>
      <c r="B36" s="60">
        <v>173.04</v>
      </c>
      <c r="C36" s="60">
        <v>1</v>
      </c>
      <c r="D36" s="60">
        <v>36.679999999999978</v>
      </c>
      <c r="E36" s="51">
        <v>0</v>
      </c>
      <c r="F36" s="51">
        <v>0.8</v>
      </c>
      <c r="G36" s="51">
        <v>0.2</v>
      </c>
      <c r="H36" s="51">
        <v>0</v>
      </c>
      <c r="I36" s="49">
        <f>IFERROR(B36/A36,"")</f>
        <v>5.0894117647058819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45">
      <c r="A37" s="50">
        <v>42</v>
      </c>
      <c r="B37" s="60">
        <v>248.01</v>
      </c>
      <c r="C37" s="60">
        <v>2</v>
      </c>
      <c r="D37" s="60">
        <v>58.099999999999994</v>
      </c>
      <c r="E37" s="51">
        <v>0</v>
      </c>
      <c r="F37" s="51">
        <v>0.8</v>
      </c>
      <c r="G37" s="51">
        <v>0.2</v>
      </c>
      <c r="H37" s="51">
        <v>0</v>
      </c>
      <c r="I37" s="53">
        <f t="shared" ref="I37:I55" si="1">IF(A37&lt;&gt;0,(B37-(B36-D36))/(A37-A36),"")</f>
        <v>13.956249999999997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45">
      <c r="A38" s="50">
        <v>50</v>
      </c>
      <c r="B38" s="60">
        <v>304.72000000000003</v>
      </c>
      <c r="C38" s="60">
        <v>3</v>
      </c>
      <c r="D38" s="60">
        <v>70.730000000000018</v>
      </c>
      <c r="E38" s="51">
        <v>0</v>
      </c>
      <c r="F38" s="51">
        <v>0.8</v>
      </c>
      <c r="G38" s="51">
        <v>0.2</v>
      </c>
      <c r="H38" s="51">
        <v>0</v>
      </c>
      <c r="I38" s="53">
        <f t="shared" si="1"/>
        <v>14.351250000000004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45">
      <c r="A39" s="50">
        <v>58</v>
      </c>
      <c r="B39" s="60">
        <v>346.58</v>
      </c>
      <c r="C39" s="60">
        <v>4</v>
      </c>
      <c r="D39" s="60">
        <v>65.819999999999993</v>
      </c>
      <c r="E39" s="51">
        <v>0.35</v>
      </c>
      <c r="F39" s="51">
        <v>0.2</v>
      </c>
      <c r="G39" s="51">
        <v>0.1</v>
      </c>
      <c r="H39" s="51">
        <v>0.35</v>
      </c>
      <c r="I39" s="49">
        <f t="shared" si="1"/>
        <v>14.073749999999997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45">
      <c r="A40" s="50">
        <v>66</v>
      </c>
      <c r="B40" s="60">
        <v>388.92</v>
      </c>
      <c r="C40" s="60">
        <v>5</v>
      </c>
      <c r="D40" s="60">
        <v>76.480000000000018</v>
      </c>
      <c r="E40" s="51">
        <v>0.35</v>
      </c>
      <c r="F40" s="51">
        <v>0.2</v>
      </c>
      <c r="G40" s="51">
        <v>0.1</v>
      </c>
      <c r="H40" s="51">
        <v>0.35</v>
      </c>
      <c r="I40" s="49">
        <f t="shared" si="1"/>
        <v>13.520000000000003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45">
      <c r="A41" s="50">
        <v>74</v>
      </c>
      <c r="B41" s="60">
        <v>414.8</v>
      </c>
      <c r="C41" s="60">
        <v>6</v>
      </c>
      <c r="D41" s="60">
        <v>75.29000000000002</v>
      </c>
      <c r="E41" s="51">
        <v>0.35</v>
      </c>
      <c r="F41" s="51">
        <v>0.2</v>
      </c>
      <c r="G41" s="51">
        <v>0.1</v>
      </c>
      <c r="H41" s="51">
        <v>0.35</v>
      </c>
      <c r="I41" s="53">
        <f t="shared" si="1"/>
        <v>12.795000000000002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45">
      <c r="A42" s="50">
        <v>82</v>
      </c>
      <c r="B42" s="60">
        <v>436.17</v>
      </c>
      <c r="C42" s="60">
        <v>7</v>
      </c>
      <c r="D42" s="60">
        <v>58.140000000000043</v>
      </c>
      <c r="E42" s="51">
        <v>0.35</v>
      </c>
      <c r="F42" s="51">
        <v>0.2</v>
      </c>
      <c r="G42" s="51">
        <v>0.1</v>
      </c>
      <c r="H42" s="51">
        <v>0.35</v>
      </c>
      <c r="I42" s="53">
        <f t="shared" si="1"/>
        <v>12.082500000000003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45">
      <c r="A43" s="50">
        <v>90</v>
      </c>
      <c r="B43" s="60">
        <v>471.37</v>
      </c>
      <c r="C43" s="60">
        <v>8</v>
      </c>
      <c r="D43" s="60">
        <v>68.54000000000002</v>
      </c>
      <c r="E43" s="51">
        <v>0.35</v>
      </c>
      <c r="F43" s="51">
        <v>0.2</v>
      </c>
      <c r="G43" s="51">
        <v>0.1</v>
      </c>
      <c r="H43" s="51">
        <v>0.35</v>
      </c>
      <c r="I43" s="49">
        <f t="shared" si="1"/>
        <v>11.667500000000004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45">
      <c r="A44" s="50">
        <v>100</v>
      </c>
      <c r="B44" s="60">
        <v>515.66999999999996</v>
      </c>
      <c r="C44" s="60">
        <v>9</v>
      </c>
      <c r="D44" s="60">
        <v>93.039999999999964</v>
      </c>
      <c r="E44" s="51">
        <v>0.5</v>
      </c>
      <c r="F44" s="51">
        <v>0.2</v>
      </c>
      <c r="G44" s="51">
        <v>0</v>
      </c>
      <c r="H44" s="51">
        <v>0.3</v>
      </c>
      <c r="I44" s="49">
        <f t="shared" si="1"/>
        <v>11.283999999999997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45">
      <c r="A45" s="50">
        <v>110</v>
      </c>
      <c r="B45" s="60">
        <v>531.04</v>
      </c>
      <c r="C45" s="60">
        <v>10</v>
      </c>
      <c r="D45" s="60">
        <v>73.299999999999955</v>
      </c>
      <c r="E45" s="51">
        <v>0.5</v>
      </c>
      <c r="F45" s="51">
        <v>0.2</v>
      </c>
      <c r="G45" s="51">
        <v>0</v>
      </c>
      <c r="H45" s="51">
        <v>0.3</v>
      </c>
      <c r="I45" s="49">
        <f t="shared" si="1"/>
        <v>10.840999999999998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45">
      <c r="A46" s="50">
        <v>120</v>
      </c>
      <c r="B46" s="60">
        <v>565</v>
      </c>
      <c r="C46" s="60">
        <v>11</v>
      </c>
      <c r="D46" s="60">
        <v>66.050000000000011</v>
      </c>
      <c r="E46" s="51">
        <v>0.5</v>
      </c>
      <c r="F46" s="51">
        <v>0.2</v>
      </c>
      <c r="G46" s="51">
        <v>0</v>
      </c>
      <c r="H46" s="51">
        <v>0.3</v>
      </c>
      <c r="I46" s="49">
        <f t="shared" si="1"/>
        <v>10.725999999999999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45">
      <c r="A47" s="50">
        <v>130</v>
      </c>
      <c r="B47" s="60">
        <v>606.41</v>
      </c>
      <c r="C47" s="60">
        <v>12</v>
      </c>
      <c r="D47" s="60">
        <v>75.799999999999955</v>
      </c>
      <c r="E47" s="51">
        <v>0.5</v>
      </c>
      <c r="F47" s="51">
        <v>0.2</v>
      </c>
      <c r="G47" s="51">
        <v>0</v>
      </c>
      <c r="H47" s="51">
        <v>0.3</v>
      </c>
      <c r="I47" s="49">
        <f t="shared" si="1"/>
        <v>10.745999999999999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45">
      <c r="A48" s="50">
        <v>140</v>
      </c>
      <c r="B48" s="60">
        <v>639.04999999999995</v>
      </c>
      <c r="C48" s="60">
        <v>13</v>
      </c>
      <c r="D48" s="60">
        <v>74.669999999999959</v>
      </c>
      <c r="E48" s="51">
        <v>0.5</v>
      </c>
      <c r="F48" s="51">
        <v>0.2</v>
      </c>
      <c r="G48" s="51">
        <v>0</v>
      </c>
      <c r="H48" s="51">
        <v>0.3</v>
      </c>
      <c r="I48" s="49">
        <f t="shared" si="1"/>
        <v>10.843999999999994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45">
      <c r="A49" s="50">
        <v>150</v>
      </c>
      <c r="B49" s="60">
        <v>673.13</v>
      </c>
      <c r="C49" s="60">
        <v>14</v>
      </c>
      <c r="D49" s="60">
        <v>259.52</v>
      </c>
      <c r="E49" s="51">
        <v>0.45</v>
      </c>
      <c r="F49" s="51">
        <v>0.05</v>
      </c>
      <c r="G49" s="51">
        <v>0.05</v>
      </c>
      <c r="H49" s="51">
        <v>0.45</v>
      </c>
      <c r="I49" s="49">
        <f t="shared" si="1"/>
        <v>10.875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45">
      <c r="A50" s="50">
        <v>153</v>
      </c>
      <c r="B50" s="50">
        <v>434.97</v>
      </c>
      <c r="C50" s="50">
        <v>15</v>
      </c>
      <c r="D50" s="50">
        <v>156.29000000000002</v>
      </c>
      <c r="E50" s="51">
        <v>0.45</v>
      </c>
      <c r="F50" s="51">
        <v>0.05</v>
      </c>
      <c r="G50" s="51">
        <v>0.05</v>
      </c>
      <c r="H50" s="51">
        <v>0.45</v>
      </c>
      <c r="I50" s="49">
        <f t="shared" si="1"/>
        <v>7.1200000000000045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45">
      <c r="A51" s="50">
        <v>156</v>
      </c>
      <c r="B51" s="50">
        <v>290.93</v>
      </c>
      <c r="C51" s="50">
        <v>16</v>
      </c>
      <c r="D51" s="50">
        <v>96.65</v>
      </c>
      <c r="E51" s="51">
        <v>0.45</v>
      </c>
      <c r="F51" s="51">
        <v>0.05</v>
      </c>
      <c r="G51" s="51">
        <v>0.05</v>
      </c>
      <c r="H51" s="51">
        <v>0.45</v>
      </c>
      <c r="I51" s="49">
        <f t="shared" si="1"/>
        <v>4.083333333333333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45">
      <c r="A52" s="50">
        <v>159</v>
      </c>
      <c r="B52" s="50">
        <v>201.48</v>
      </c>
      <c r="C52" s="50">
        <v>17</v>
      </c>
      <c r="D52" s="50">
        <v>201.48</v>
      </c>
      <c r="E52" s="51">
        <v>0.45</v>
      </c>
      <c r="F52" s="51">
        <v>0.05</v>
      </c>
      <c r="G52" s="51">
        <v>0.05</v>
      </c>
      <c r="H52" s="51">
        <v>0.45</v>
      </c>
      <c r="I52" s="49">
        <f t="shared" si="1"/>
        <v>2.3999999999999964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4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4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4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4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45">
      <c r="A57" s="4"/>
      <c r="B57" s="4"/>
      <c r="C57" s="23" t="s">
        <v>324</v>
      </c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45">
      <c r="A58" s="46" t="s">
        <v>166</v>
      </c>
      <c r="B58" s="52" t="str">
        <f>IF(B10="","",B10)</f>
        <v>Chêne pédonculé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4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45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28.5" x14ac:dyDescent="0.4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45">
      <c r="A62" s="50">
        <v>31</v>
      </c>
      <c r="B62" s="60">
        <v>152.27000000000001</v>
      </c>
      <c r="C62" s="60">
        <v>1</v>
      </c>
      <c r="D62" s="60">
        <v>65.77000000000001</v>
      </c>
      <c r="E62" s="51">
        <v>0</v>
      </c>
      <c r="F62" s="51">
        <v>0.8</v>
      </c>
      <c r="G62" s="51">
        <v>0.2</v>
      </c>
      <c r="H62" s="51">
        <v>0</v>
      </c>
      <c r="I62" s="53">
        <f>IFERROR(B62/A62,"")</f>
        <v>4.9119354838709679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45">
      <c r="A63" s="50">
        <v>37</v>
      </c>
      <c r="B63" s="60">
        <v>164.49</v>
      </c>
      <c r="C63" s="60">
        <v>2</v>
      </c>
      <c r="D63" s="60">
        <v>43.890000000000015</v>
      </c>
      <c r="E63" s="51">
        <v>0</v>
      </c>
      <c r="F63" s="51">
        <v>0.8</v>
      </c>
      <c r="G63" s="51">
        <v>0.2</v>
      </c>
      <c r="H63" s="51">
        <v>0</v>
      </c>
      <c r="I63" s="49">
        <f>IF(A63&lt;&gt;0,(B63-(B62-D62))/(A63-A62),"")</f>
        <v>12.998333333333335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45">
      <c r="A64" s="50">
        <v>44</v>
      </c>
      <c r="B64" s="60">
        <v>218.51</v>
      </c>
      <c r="C64" s="60">
        <v>3</v>
      </c>
      <c r="D64" s="60">
        <v>56.45999999999998</v>
      </c>
      <c r="E64" s="51">
        <v>0.35</v>
      </c>
      <c r="F64" s="51">
        <v>0.2</v>
      </c>
      <c r="G64" s="51">
        <v>0.1</v>
      </c>
      <c r="H64" s="51">
        <v>0.35</v>
      </c>
      <c r="I64" s="49">
        <f>IF(A64&lt;&gt;0,(B64-(B63-D63))/(A64-A63),"")</f>
        <v>13.987142857142857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45">
      <c r="A65" s="50">
        <v>51</v>
      </c>
      <c r="B65" s="60">
        <v>261.62</v>
      </c>
      <c r="C65" s="60">
        <v>4</v>
      </c>
      <c r="D65" s="60">
        <v>55.400000000000006</v>
      </c>
      <c r="E65" s="51">
        <v>0.35</v>
      </c>
      <c r="F65" s="51">
        <v>0.2</v>
      </c>
      <c r="G65" s="51">
        <v>0.1</v>
      </c>
      <c r="H65" s="51">
        <v>0.35</v>
      </c>
      <c r="I65" s="49">
        <f>IF(A65&lt;&gt;0,(B65-(B64-D64))/(A65-A64),"")</f>
        <v>14.224285714285713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45">
      <c r="A66" s="50">
        <v>58</v>
      </c>
      <c r="B66" s="60">
        <v>305.12</v>
      </c>
      <c r="C66" s="60">
        <v>5</v>
      </c>
      <c r="D66" s="60">
        <v>53.97</v>
      </c>
      <c r="E66" s="51">
        <v>0.35</v>
      </c>
      <c r="F66" s="51">
        <v>0.2</v>
      </c>
      <c r="G66" s="51">
        <v>0.1</v>
      </c>
      <c r="H66" s="51">
        <v>0.35</v>
      </c>
      <c r="I66" s="49">
        <f t="shared" ref="I66:I81" si="2">IF(A66&lt;&gt;0,(B66-(B65-D65))/(A66-A65),"")</f>
        <v>14.12857142857143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45">
      <c r="A67" s="50">
        <v>65</v>
      </c>
      <c r="B67" s="60">
        <v>348.03</v>
      </c>
      <c r="C67" s="60">
        <v>6</v>
      </c>
      <c r="D67" s="60">
        <v>56.629999999999995</v>
      </c>
      <c r="E67" s="51">
        <v>0.35</v>
      </c>
      <c r="F67" s="51">
        <v>0.2</v>
      </c>
      <c r="G67" s="51">
        <v>0.1</v>
      </c>
      <c r="H67" s="51">
        <v>0.35</v>
      </c>
      <c r="I67" s="49">
        <f t="shared" si="2"/>
        <v>13.839999999999995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45">
      <c r="A68" s="50">
        <v>72</v>
      </c>
      <c r="B68" s="60">
        <v>385.02</v>
      </c>
      <c r="C68" s="60">
        <v>7</v>
      </c>
      <c r="D68" s="60">
        <v>66.109999999999957</v>
      </c>
      <c r="E68" s="51">
        <v>0.35</v>
      </c>
      <c r="F68" s="51">
        <v>0.2</v>
      </c>
      <c r="G68" s="51">
        <v>0.1</v>
      </c>
      <c r="H68" s="51">
        <v>0.35</v>
      </c>
      <c r="I68" s="49">
        <f t="shared" si="2"/>
        <v>13.374285714285715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45">
      <c r="A69" s="50">
        <v>81</v>
      </c>
      <c r="B69" s="50">
        <v>433.28</v>
      </c>
      <c r="C69" s="50">
        <v>8</v>
      </c>
      <c r="D69" s="50">
        <v>87.399999999999977</v>
      </c>
      <c r="E69" s="51">
        <v>0.5</v>
      </c>
      <c r="F69" s="51">
        <v>0.2</v>
      </c>
      <c r="G69" s="51">
        <v>0</v>
      </c>
      <c r="H69" s="51">
        <v>0.3</v>
      </c>
      <c r="I69" s="49">
        <f t="shared" si="2"/>
        <v>12.707777777777771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45">
      <c r="A70" s="50">
        <v>90</v>
      </c>
      <c r="B70" s="50">
        <v>453.03</v>
      </c>
      <c r="C70" s="50">
        <v>9</v>
      </c>
      <c r="D70" s="50">
        <v>88.75</v>
      </c>
      <c r="E70" s="51">
        <v>0.5</v>
      </c>
      <c r="F70" s="51">
        <v>0.2</v>
      </c>
      <c r="G70" s="51">
        <v>0</v>
      </c>
      <c r="H70" s="51">
        <v>0.3</v>
      </c>
      <c r="I70" s="49">
        <f t="shared" si="2"/>
        <v>11.905555555555553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45">
      <c r="A71" s="50">
        <v>99</v>
      </c>
      <c r="B71" s="50">
        <v>465.23</v>
      </c>
      <c r="C71" s="50">
        <v>10</v>
      </c>
      <c r="D71" s="50">
        <v>226.42000000000002</v>
      </c>
      <c r="E71" s="51">
        <v>0.45</v>
      </c>
      <c r="F71" s="51">
        <v>0.05</v>
      </c>
      <c r="G71" s="51">
        <v>0.05</v>
      </c>
      <c r="H71" s="51">
        <v>0.45</v>
      </c>
      <c r="I71" s="49">
        <f t="shared" si="2"/>
        <v>11.216666666666672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45">
      <c r="A72" s="50">
        <v>101</v>
      </c>
      <c r="B72" s="50">
        <v>252.87</v>
      </c>
      <c r="C72" s="50">
        <v>11</v>
      </c>
      <c r="D72" s="50">
        <v>82.539999999999992</v>
      </c>
      <c r="E72" s="51">
        <v>0.45</v>
      </c>
      <c r="F72" s="51">
        <v>0.05</v>
      </c>
      <c r="G72" s="51">
        <v>0.05</v>
      </c>
      <c r="H72" s="51">
        <v>0.45</v>
      </c>
      <c r="I72" s="49">
        <f t="shared" si="2"/>
        <v>7.0300000000000011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45">
      <c r="A73" s="50">
        <v>103</v>
      </c>
      <c r="B73" s="50">
        <v>179.96</v>
      </c>
      <c r="C73" s="50">
        <v>12</v>
      </c>
      <c r="D73" s="50">
        <v>58.600000000000009</v>
      </c>
      <c r="E73" s="51">
        <v>0.45</v>
      </c>
      <c r="F73" s="51">
        <v>0.05</v>
      </c>
      <c r="G73" s="51">
        <v>0.05</v>
      </c>
      <c r="H73" s="51">
        <v>0.45</v>
      </c>
      <c r="I73" s="49">
        <f t="shared" si="2"/>
        <v>4.8149999999999977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45">
      <c r="A74" s="50">
        <v>106</v>
      </c>
      <c r="B74" s="50">
        <v>131.46</v>
      </c>
      <c r="C74" s="50">
        <v>13</v>
      </c>
      <c r="D74" s="50">
        <v>131.46</v>
      </c>
      <c r="E74" s="51">
        <v>0.45</v>
      </c>
      <c r="F74" s="51">
        <v>0.05</v>
      </c>
      <c r="G74" s="51">
        <v>0.05</v>
      </c>
      <c r="H74" s="51">
        <v>0.45</v>
      </c>
      <c r="I74" s="49">
        <f t="shared" si="2"/>
        <v>3.3666666666666694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4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4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4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4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4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4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4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4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45">
      <c r="A83" s="4"/>
      <c r="B83" s="4"/>
      <c r="C83" s="23" t="s">
        <v>326</v>
      </c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45">
      <c r="A84" s="46" t="s">
        <v>167</v>
      </c>
      <c r="B84" s="52" t="str">
        <f>IF(B11="","",B11)</f>
        <v>Chêne pubescent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4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45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28.5" x14ac:dyDescent="0.4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45">
      <c r="A88" s="50">
        <v>60</v>
      </c>
      <c r="B88" s="60">
        <v>201.62</v>
      </c>
      <c r="C88" s="60">
        <v>1</v>
      </c>
      <c r="D88" s="60">
        <v>72.87</v>
      </c>
      <c r="E88" s="51">
        <v>0</v>
      </c>
      <c r="F88" s="51">
        <v>0.8</v>
      </c>
      <c r="G88" s="51">
        <v>0.2</v>
      </c>
      <c r="H88" s="87">
        <v>0</v>
      </c>
      <c r="I88" s="53">
        <f>IFERROR(B88/A88,"")</f>
        <v>3.3603333333333336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45">
      <c r="A89" s="50">
        <v>69</v>
      </c>
      <c r="B89" s="60">
        <v>190.79</v>
      </c>
      <c r="C89" s="60">
        <v>2</v>
      </c>
      <c r="D89" s="60">
        <v>42.22</v>
      </c>
      <c r="E89" s="51">
        <v>0</v>
      </c>
      <c r="F89" s="51">
        <v>0.8</v>
      </c>
      <c r="G89" s="51">
        <v>0.2</v>
      </c>
      <c r="H89" s="87">
        <v>0</v>
      </c>
      <c r="I89" s="53">
        <f t="shared" ref="I89:I107" si="3">IF(A89&lt;&gt;0,(B89-(B88-D88))/(A89-A88),"")</f>
        <v>6.8933333333333326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45">
      <c r="A90" s="50">
        <v>77</v>
      </c>
      <c r="B90" s="60">
        <v>202.52</v>
      </c>
      <c r="C90" s="60">
        <v>3</v>
      </c>
      <c r="D90" s="60">
        <v>33.950000000000017</v>
      </c>
      <c r="E90" s="87">
        <v>0</v>
      </c>
      <c r="F90" s="87">
        <v>0.8</v>
      </c>
      <c r="G90" s="87">
        <v>0.2</v>
      </c>
      <c r="H90" s="87">
        <v>0</v>
      </c>
      <c r="I90" s="53">
        <f t="shared" si="3"/>
        <v>6.7437500000000021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45">
      <c r="A91" s="50">
        <v>86</v>
      </c>
      <c r="B91" s="60">
        <v>229.27</v>
      </c>
      <c r="C91" s="60">
        <v>4</v>
      </c>
      <c r="D91" s="60">
        <v>37.54000000000002</v>
      </c>
      <c r="E91" s="87">
        <v>0.35</v>
      </c>
      <c r="F91" s="87">
        <v>0.2</v>
      </c>
      <c r="G91" s="87">
        <v>0.1</v>
      </c>
      <c r="H91" s="87">
        <v>0.35</v>
      </c>
      <c r="I91" s="53">
        <f t="shared" si="3"/>
        <v>6.7444444444444462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45">
      <c r="A92" s="50">
        <v>95</v>
      </c>
      <c r="B92" s="60">
        <v>252.57</v>
      </c>
      <c r="C92" s="60">
        <v>5</v>
      </c>
      <c r="D92" s="60">
        <v>42.199999999999989</v>
      </c>
      <c r="E92" s="87">
        <v>0.35</v>
      </c>
      <c r="F92" s="87">
        <v>0.2</v>
      </c>
      <c r="G92" s="87">
        <v>0.1</v>
      </c>
      <c r="H92" s="87">
        <v>0.35</v>
      </c>
      <c r="I92" s="53">
        <f t="shared" si="3"/>
        <v>6.7600000000000007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45">
      <c r="A93" s="50">
        <v>104</v>
      </c>
      <c r="B93" s="60">
        <v>271.37</v>
      </c>
      <c r="C93" s="60">
        <v>6</v>
      </c>
      <c r="D93" s="60">
        <v>39.400000000000006</v>
      </c>
      <c r="E93" s="87">
        <v>0.35</v>
      </c>
      <c r="F93" s="87">
        <v>0.2</v>
      </c>
      <c r="G93" s="87">
        <v>0.1</v>
      </c>
      <c r="H93" s="87">
        <v>0.35</v>
      </c>
      <c r="I93" s="53">
        <f t="shared" si="3"/>
        <v>6.7777777777777777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45">
      <c r="A94" s="50">
        <v>113</v>
      </c>
      <c r="B94" s="60">
        <v>293.89999999999998</v>
      </c>
      <c r="C94" s="60">
        <v>7</v>
      </c>
      <c r="D94" s="60">
        <v>41.639999999999986</v>
      </c>
      <c r="E94" s="87">
        <v>0.35</v>
      </c>
      <c r="F94" s="87">
        <v>0.2</v>
      </c>
      <c r="G94" s="87">
        <v>0.1</v>
      </c>
      <c r="H94" s="87">
        <v>0.35</v>
      </c>
      <c r="I94" s="53">
        <f t="shared" si="3"/>
        <v>6.8811111111111085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45">
      <c r="A95" s="60">
        <v>122</v>
      </c>
      <c r="B95" s="60">
        <v>315.27</v>
      </c>
      <c r="C95" s="60">
        <v>8</v>
      </c>
      <c r="D95" s="60">
        <v>45.829999999999984</v>
      </c>
      <c r="E95" s="87">
        <v>0.35</v>
      </c>
      <c r="F95" s="87">
        <v>0.2</v>
      </c>
      <c r="G95" s="87">
        <v>0.1</v>
      </c>
      <c r="H95" s="87">
        <v>0.35</v>
      </c>
      <c r="I95" s="53">
        <f t="shared" si="3"/>
        <v>7.0011111111111104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45">
      <c r="A96" s="60">
        <v>132</v>
      </c>
      <c r="B96" s="60">
        <v>340.57</v>
      </c>
      <c r="C96" s="60">
        <v>9</v>
      </c>
      <c r="D96" s="60">
        <v>48.699999999999989</v>
      </c>
      <c r="E96" s="87">
        <v>0.35</v>
      </c>
      <c r="F96" s="87">
        <v>0.2</v>
      </c>
      <c r="G96" s="87">
        <v>0.1</v>
      </c>
      <c r="H96" s="87">
        <v>0.35</v>
      </c>
      <c r="I96" s="53">
        <f t="shared" si="3"/>
        <v>7.1129999999999995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45">
      <c r="A97" s="60">
        <v>144</v>
      </c>
      <c r="B97" s="60">
        <v>379.92</v>
      </c>
      <c r="C97" s="60">
        <v>10</v>
      </c>
      <c r="D97" s="60">
        <v>60.949999999999989</v>
      </c>
      <c r="E97" s="87">
        <v>0.35</v>
      </c>
      <c r="F97" s="87">
        <v>0.2</v>
      </c>
      <c r="G97" s="87">
        <v>0.1</v>
      </c>
      <c r="H97" s="87">
        <v>0.35</v>
      </c>
      <c r="I97" s="53">
        <f t="shared" si="3"/>
        <v>7.3375000000000012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45">
      <c r="A98" s="60">
        <v>156</v>
      </c>
      <c r="B98" s="60">
        <v>409.2</v>
      </c>
      <c r="C98" s="60">
        <v>11</v>
      </c>
      <c r="D98" s="60">
        <v>65.69</v>
      </c>
      <c r="E98" s="87">
        <v>0.5</v>
      </c>
      <c r="F98" s="87">
        <v>0.2</v>
      </c>
      <c r="G98" s="87">
        <v>0</v>
      </c>
      <c r="H98" s="87">
        <v>0.3</v>
      </c>
      <c r="I98" s="53">
        <f t="shared" si="3"/>
        <v>7.5191666666666634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45">
      <c r="A99" s="60">
        <v>168</v>
      </c>
      <c r="B99" s="60">
        <v>435.65</v>
      </c>
      <c r="C99" s="60">
        <v>12</v>
      </c>
      <c r="D99" s="60">
        <v>71.37</v>
      </c>
      <c r="E99" s="87">
        <v>0.5</v>
      </c>
      <c r="F99" s="87">
        <v>0.2</v>
      </c>
      <c r="G99" s="87">
        <v>0</v>
      </c>
      <c r="H99" s="87">
        <v>0.3</v>
      </c>
      <c r="I99" s="53">
        <f t="shared" si="3"/>
        <v>7.6783333333333319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45">
      <c r="A100" s="60">
        <v>180</v>
      </c>
      <c r="B100" s="60">
        <v>456.54</v>
      </c>
      <c r="C100" s="60">
        <v>13</v>
      </c>
      <c r="D100" s="60">
        <v>175.59000000000003</v>
      </c>
      <c r="E100" s="65">
        <v>0.5</v>
      </c>
      <c r="F100" s="65">
        <v>0.2</v>
      </c>
      <c r="G100" s="65">
        <v>0</v>
      </c>
      <c r="H100" s="65">
        <v>0.3</v>
      </c>
      <c r="I100" s="53">
        <f t="shared" si="3"/>
        <v>7.688333333333337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45">
      <c r="A101" s="60">
        <v>184</v>
      </c>
      <c r="B101" s="60">
        <v>300.14</v>
      </c>
      <c r="C101" s="60">
        <v>14</v>
      </c>
      <c r="D101" s="60">
        <v>101.19999999999999</v>
      </c>
      <c r="E101" s="65">
        <v>0.5</v>
      </c>
      <c r="F101" s="65">
        <v>0.2</v>
      </c>
      <c r="G101" s="65">
        <v>0</v>
      </c>
      <c r="H101" s="65">
        <v>0.3</v>
      </c>
      <c r="I101" s="53">
        <f t="shared" si="3"/>
        <v>4.7974999999999994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45">
      <c r="A102" s="60">
        <v>188</v>
      </c>
      <c r="B102" s="50">
        <v>211.27</v>
      </c>
      <c r="C102" s="60">
        <v>15</v>
      </c>
      <c r="D102" s="50">
        <v>72.180000000000007</v>
      </c>
      <c r="E102" s="54">
        <v>0.5</v>
      </c>
      <c r="F102" s="54">
        <v>0.2</v>
      </c>
      <c r="G102" s="54">
        <v>0</v>
      </c>
      <c r="H102" s="54">
        <v>0.3</v>
      </c>
      <c r="I102" s="53">
        <f t="shared" si="3"/>
        <v>3.0825000000000031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45">
      <c r="A103" s="60">
        <v>191</v>
      </c>
      <c r="B103" s="50">
        <v>145.01</v>
      </c>
      <c r="C103" s="60">
        <v>16</v>
      </c>
      <c r="D103" s="50">
        <v>145.01</v>
      </c>
      <c r="E103" s="54">
        <v>0.45</v>
      </c>
      <c r="F103" s="54">
        <v>0.05</v>
      </c>
      <c r="G103" s="54">
        <v>0.05</v>
      </c>
      <c r="H103" s="54">
        <v>0.45</v>
      </c>
      <c r="I103" s="53">
        <f t="shared" si="3"/>
        <v>1.9733333333333292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4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4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4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4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4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45">
      <c r="A109" s="4"/>
      <c r="B109" s="4"/>
      <c r="C109" s="23" t="s">
        <v>327</v>
      </c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45">
      <c r="A110" s="46" t="s">
        <v>168</v>
      </c>
      <c r="B110" s="52" t="str">
        <f>IF(B12="","",B12)</f>
        <v>Merisier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4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45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28.5" x14ac:dyDescent="0.4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45">
      <c r="A114" s="50">
        <v>15</v>
      </c>
      <c r="B114" s="60">
        <v>25.641025641025639</v>
      </c>
      <c r="C114" s="50">
        <v>1</v>
      </c>
      <c r="D114" s="60">
        <v>1.9230769230769229</v>
      </c>
      <c r="E114" s="51">
        <v>0</v>
      </c>
      <c r="F114" s="51">
        <v>0.25</v>
      </c>
      <c r="G114" s="51">
        <v>0.25</v>
      </c>
      <c r="H114" s="51">
        <v>0.5</v>
      </c>
      <c r="I114" s="53">
        <f>IFERROR(B114/A114,"")</f>
        <v>1.7094017094017093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45">
      <c r="A115" s="50">
        <v>20</v>
      </c>
      <c r="B115" s="60">
        <v>54.487179487179482</v>
      </c>
      <c r="C115" s="50">
        <v>2</v>
      </c>
      <c r="D115" s="60">
        <v>16.025641025641026</v>
      </c>
      <c r="E115" s="51">
        <v>0</v>
      </c>
      <c r="F115" s="51">
        <v>0.25</v>
      </c>
      <c r="G115" s="51">
        <v>0.25</v>
      </c>
      <c r="H115" s="51">
        <v>0.5</v>
      </c>
      <c r="I115" s="53">
        <f t="shared" ref="I115:I133" si="4">IF(A115&lt;&gt;0,(B115-(B114-D114))/(A115-A114),"")</f>
        <v>6.1538461538461533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45">
      <c r="A116" s="50">
        <v>25</v>
      </c>
      <c r="B116" s="60">
        <v>72.435897435897431</v>
      </c>
      <c r="C116" s="50">
        <v>3</v>
      </c>
      <c r="D116" s="60">
        <v>17.307692307692307</v>
      </c>
      <c r="E116" s="51">
        <v>0</v>
      </c>
      <c r="F116" s="51">
        <v>0.25</v>
      </c>
      <c r="G116" s="51">
        <v>0.25</v>
      </c>
      <c r="H116" s="51">
        <v>0.5</v>
      </c>
      <c r="I116" s="53">
        <f t="shared" si="4"/>
        <v>6.7948717948717956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45">
      <c r="A117" s="50">
        <v>31</v>
      </c>
      <c r="B117" s="60">
        <v>99.358974358974351</v>
      </c>
      <c r="C117" s="50">
        <v>4</v>
      </c>
      <c r="D117" s="60">
        <v>23.076923076923077</v>
      </c>
      <c r="E117" s="51">
        <v>0.25</v>
      </c>
      <c r="F117" s="51">
        <v>0.25</v>
      </c>
      <c r="G117" s="51">
        <v>0.25</v>
      </c>
      <c r="H117" s="51">
        <v>0.25</v>
      </c>
      <c r="I117" s="53">
        <f t="shared" si="4"/>
        <v>7.3717948717948714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45">
      <c r="A118" s="50">
        <v>37</v>
      </c>
      <c r="B118" s="60">
        <v>120.51282051282051</v>
      </c>
      <c r="C118" s="50">
        <v>5</v>
      </c>
      <c r="D118" s="60">
        <v>23.076923076923077</v>
      </c>
      <c r="E118" s="51">
        <v>0.25</v>
      </c>
      <c r="F118" s="51">
        <v>0.25</v>
      </c>
      <c r="G118" s="51">
        <v>0.25</v>
      </c>
      <c r="H118" s="51">
        <v>0.25</v>
      </c>
      <c r="I118" s="53">
        <f t="shared" si="4"/>
        <v>7.3717948717948731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45">
      <c r="A119" s="50">
        <v>44</v>
      </c>
      <c r="B119" s="60">
        <v>147.43589743589743</v>
      </c>
      <c r="C119" s="50">
        <v>6</v>
      </c>
      <c r="D119" s="60">
        <v>27.564102564102562</v>
      </c>
      <c r="E119" s="51">
        <v>0.25</v>
      </c>
      <c r="F119" s="51">
        <v>0.25</v>
      </c>
      <c r="G119" s="51">
        <v>0.25</v>
      </c>
      <c r="H119" s="51">
        <v>0.25</v>
      </c>
      <c r="I119" s="53">
        <f t="shared" si="4"/>
        <v>7.1428571428571432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45">
      <c r="A120" s="60">
        <v>52</v>
      </c>
      <c r="B120" s="60">
        <v>173.07692307692307</v>
      </c>
      <c r="C120" s="60">
        <v>7</v>
      </c>
      <c r="D120" s="60">
        <v>30.769230769230766</v>
      </c>
      <c r="E120" s="87">
        <v>0.25</v>
      </c>
      <c r="F120" s="87">
        <v>0.25</v>
      </c>
      <c r="G120" s="87">
        <v>0.25</v>
      </c>
      <c r="H120" s="87">
        <v>0.25</v>
      </c>
      <c r="I120" s="53">
        <f t="shared" si="4"/>
        <v>6.6506410256410255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45">
      <c r="A121" s="60">
        <v>60</v>
      </c>
      <c r="B121" s="60">
        <v>190.38461538461539</v>
      </c>
      <c r="C121" s="60">
        <v>8</v>
      </c>
      <c r="D121" s="60">
        <v>30.128205128205128</v>
      </c>
      <c r="E121" s="87">
        <v>0.25</v>
      </c>
      <c r="F121" s="87">
        <v>0.25</v>
      </c>
      <c r="G121" s="87">
        <v>0.25</v>
      </c>
      <c r="H121" s="87">
        <v>0.25</v>
      </c>
      <c r="I121" s="53">
        <f t="shared" si="4"/>
        <v>6.0096153846153868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45">
      <c r="A122" s="60">
        <v>69</v>
      </c>
      <c r="B122" s="60">
        <v>210.25641025641025</v>
      </c>
      <c r="C122" s="60">
        <v>9</v>
      </c>
      <c r="D122" s="60">
        <v>210.25641025641025</v>
      </c>
      <c r="E122" s="87">
        <v>0.25</v>
      </c>
      <c r="F122" s="87">
        <v>0.25</v>
      </c>
      <c r="G122" s="87">
        <v>0.25</v>
      </c>
      <c r="H122" s="87">
        <v>0.25</v>
      </c>
      <c r="I122" s="53">
        <f t="shared" si="4"/>
        <v>5.5555555555555554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4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4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4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4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4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4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4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4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4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4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4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4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45">
      <c r="A135" s="4"/>
      <c r="B135" s="4"/>
      <c r="C135" s="23" t="s">
        <v>328</v>
      </c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45">
      <c r="A136" s="46" t="s">
        <v>169</v>
      </c>
      <c r="B136" s="52" t="str">
        <f>IF(B13="","",B13)</f>
        <v>Charme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4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45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28.5" x14ac:dyDescent="0.4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45">
      <c r="A140" s="50">
        <v>38</v>
      </c>
      <c r="B140" s="60">
        <v>152.63</v>
      </c>
      <c r="C140" s="50">
        <v>1</v>
      </c>
      <c r="D140" s="60">
        <v>71.569999999999993</v>
      </c>
      <c r="E140" s="51">
        <v>0</v>
      </c>
      <c r="F140" s="51">
        <v>0.25</v>
      </c>
      <c r="G140" s="51">
        <v>0.25</v>
      </c>
      <c r="H140" s="51">
        <v>0.5</v>
      </c>
      <c r="I140" s="57">
        <f>IFERROR(B140/A140,"")</f>
        <v>4.016578947368421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45">
      <c r="A141" s="50">
        <v>45</v>
      </c>
      <c r="B141" s="60">
        <v>149.75</v>
      </c>
      <c r="C141" s="50">
        <v>2</v>
      </c>
      <c r="D141" s="60">
        <v>41.69</v>
      </c>
      <c r="E141" s="51">
        <v>0</v>
      </c>
      <c r="F141" s="51">
        <v>0.25</v>
      </c>
      <c r="G141" s="51">
        <v>0.25</v>
      </c>
      <c r="H141" s="51">
        <v>0.5</v>
      </c>
      <c r="I141" s="57">
        <f t="shared" ref="I141:I159" si="5">IF(A141&lt;&gt;0,(B141-(B140-D140))/(A141-A140),"")</f>
        <v>9.8128571428571423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45">
      <c r="A142" s="50">
        <v>52</v>
      </c>
      <c r="B142" s="60">
        <v>178.07</v>
      </c>
      <c r="C142" s="50">
        <v>3</v>
      </c>
      <c r="D142" s="60">
        <v>44.400000000000006</v>
      </c>
      <c r="E142" s="51">
        <v>0.25</v>
      </c>
      <c r="F142" s="51">
        <v>0.25</v>
      </c>
      <c r="G142" s="51">
        <v>0.25</v>
      </c>
      <c r="H142" s="51">
        <v>0.25</v>
      </c>
      <c r="I142" s="57">
        <f t="shared" si="5"/>
        <v>10.001428571428571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45">
      <c r="A143" s="50">
        <v>59</v>
      </c>
      <c r="B143" s="60">
        <v>202.85</v>
      </c>
      <c r="C143" s="50">
        <v>4</v>
      </c>
      <c r="D143" s="60">
        <v>41.81</v>
      </c>
      <c r="E143" s="51">
        <v>0.25</v>
      </c>
      <c r="F143" s="51">
        <v>0.25</v>
      </c>
      <c r="G143" s="51">
        <v>0.25</v>
      </c>
      <c r="H143" s="51">
        <v>0.25</v>
      </c>
      <c r="I143" s="57">
        <f t="shared" si="5"/>
        <v>9.8828571428571443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45">
      <c r="A144" s="50">
        <v>67</v>
      </c>
      <c r="B144" s="60">
        <v>239.06</v>
      </c>
      <c r="C144" s="50">
        <v>5</v>
      </c>
      <c r="D144" s="60">
        <v>42.550000000000011</v>
      </c>
      <c r="E144" s="51">
        <v>0.25</v>
      </c>
      <c r="F144" s="51">
        <v>0.25</v>
      </c>
      <c r="G144" s="51">
        <v>0.25</v>
      </c>
      <c r="H144" s="51">
        <v>0.25</v>
      </c>
      <c r="I144" s="57">
        <f t="shared" si="5"/>
        <v>9.7525000000000013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45">
      <c r="A145" s="50">
        <v>75</v>
      </c>
      <c r="B145" s="60">
        <v>273.76</v>
      </c>
      <c r="C145" s="50">
        <v>6</v>
      </c>
      <c r="D145" s="60">
        <v>43.519999999999982</v>
      </c>
      <c r="E145" s="51">
        <v>0.25</v>
      </c>
      <c r="F145" s="51">
        <v>0.25</v>
      </c>
      <c r="G145" s="51">
        <v>0.25</v>
      </c>
      <c r="H145" s="51">
        <v>0.25</v>
      </c>
      <c r="I145" s="57">
        <f t="shared" si="5"/>
        <v>9.65625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45">
      <c r="A146" s="50">
        <v>83</v>
      </c>
      <c r="B146" s="60">
        <v>306.11</v>
      </c>
      <c r="C146" s="50">
        <v>7</v>
      </c>
      <c r="D146" s="60">
        <v>49.980000000000018</v>
      </c>
      <c r="E146" s="51">
        <v>0.25</v>
      </c>
      <c r="F146" s="51">
        <v>0.25</v>
      </c>
      <c r="G146" s="51">
        <v>0.25</v>
      </c>
      <c r="H146" s="51">
        <v>0.25</v>
      </c>
      <c r="I146" s="57">
        <f t="shared" si="5"/>
        <v>9.4837500000000006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45">
      <c r="A147" s="50">
        <v>93</v>
      </c>
      <c r="B147" s="60">
        <v>348.87</v>
      </c>
      <c r="C147" s="50">
        <v>8</v>
      </c>
      <c r="D147" s="60">
        <v>67.45999999999998</v>
      </c>
      <c r="E147" s="51">
        <v>0.25</v>
      </c>
      <c r="F147" s="51">
        <v>0.25</v>
      </c>
      <c r="G147" s="51">
        <v>0.25</v>
      </c>
      <c r="H147" s="51">
        <v>0.25</v>
      </c>
      <c r="I147" s="57">
        <f>IF(A147&lt;&gt;0,(B147-(B146-D146))/(A147-A146),"")</f>
        <v>9.2740000000000009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45">
      <c r="A148" s="50">
        <v>103</v>
      </c>
      <c r="B148" s="60">
        <v>371.4</v>
      </c>
      <c r="C148" s="50">
        <v>9</v>
      </c>
      <c r="D148" s="60">
        <v>67.759999999999991</v>
      </c>
      <c r="E148" s="51">
        <v>0.25</v>
      </c>
      <c r="F148" s="51">
        <v>0.25</v>
      </c>
      <c r="G148" s="51">
        <v>0.25</v>
      </c>
      <c r="H148" s="51">
        <v>0.25</v>
      </c>
      <c r="I148" s="57">
        <f t="shared" si="5"/>
        <v>8.9989999999999952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45">
      <c r="A149" s="50">
        <v>113</v>
      </c>
      <c r="B149" s="60">
        <v>391.18</v>
      </c>
      <c r="C149" s="50">
        <v>10</v>
      </c>
      <c r="D149" s="60">
        <v>68.670000000000016</v>
      </c>
      <c r="E149" s="51">
        <v>0.25</v>
      </c>
      <c r="F149" s="51">
        <v>0.25</v>
      </c>
      <c r="G149" s="51">
        <v>0.25</v>
      </c>
      <c r="H149" s="51">
        <v>0.25</v>
      </c>
      <c r="I149" s="57">
        <f t="shared" si="5"/>
        <v>8.7540000000000013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45">
      <c r="A150" s="50">
        <v>123</v>
      </c>
      <c r="B150" s="60">
        <v>409.53</v>
      </c>
      <c r="C150" s="50">
        <v>11</v>
      </c>
      <c r="D150" s="60">
        <v>203.78999999999996</v>
      </c>
      <c r="E150" s="51">
        <v>0.25</v>
      </c>
      <c r="F150" s="51">
        <v>0.25</v>
      </c>
      <c r="G150" s="51">
        <v>0.25</v>
      </c>
      <c r="H150" s="51">
        <v>0.25</v>
      </c>
      <c r="I150" s="57">
        <f t="shared" si="5"/>
        <v>8.7019999999999982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45">
      <c r="A151" s="50">
        <v>125</v>
      </c>
      <c r="B151" s="60">
        <v>215.44</v>
      </c>
      <c r="C151" s="50">
        <v>12</v>
      </c>
      <c r="D151" s="60">
        <v>70.609999999999985</v>
      </c>
      <c r="E151" s="51">
        <v>0.25</v>
      </c>
      <c r="F151" s="51">
        <v>0.25</v>
      </c>
      <c r="G151" s="51">
        <v>0.25</v>
      </c>
      <c r="H151" s="51">
        <v>0.25</v>
      </c>
      <c r="I151" s="57">
        <f t="shared" si="5"/>
        <v>4.8499999999999943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45">
      <c r="A152" s="50">
        <v>127</v>
      </c>
      <c r="B152" s="60">
        <v>151.47999999999999</v>
      </c>
      <c r="C152" s="50">
        <v>13</v>
      </c>
      <c r="D152" s="60">
        <v>46.039999999999992</v>
      </c>
      <c r="E152" s="54">
        <v>0.25</v>
      </c>
      <c r="F152" s="54">
        <v>0.25</v>
      </c>
      <c r="G152" s="54">
        <v>0.25</v>
      </c>
      <c r="H152" s="54">
        <v>0.25</v>
      </c>
      <c r="I152" s="57">
        <f t="shared" si="5"/>
        <v>3.3249999999999886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45">
      <c r="A153" s="50">
        <v>130</v>
      </c>
      <c r="B153" s="60">
        <v>112.75</v>
      </c>
      <c r="C153" s="50">
        <v>14</v>
      </c>
      <c r="D153" s="60">
        <v>112.75</v>
      </c>
      <c r="E153" s="54">
        <v>0.25</v>
      </c>
      <c r="F153" s="54">
        <v>0.25</v>
      </c>
      <c r="G153" s="54">
        <v>0.25</v>
      </c>
      <c r="H153" s="54">
        <v>0.25</v>
      </c>
      <c r="I153" s="57">
        <f t="shared" si="5"/>
        <v>2.4366666666666674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4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4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4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4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4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4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4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45">
      <c r="A161" s="4"/>
      <c r="B161" s="4"/>
      <c r="C161" s="23" t="s">
        <v>326</v>
      </c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45">
      <c r="A162" s="46" t="s">
        <v>170</v>
      </c>
      <c r="B162" s="52" t="str">
        <f>IF(B14="","",B14)</f>
        <v>Alisier torminal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4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45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28.5" x14ac:dyDescent="0.4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45">
      <c r="A166" s="50">
        <v>60</v>
      </c>
      <c r="B166" s="60">
        <v>201.62</v>
      </c>
      <c r="C166" s="60">
        <v>1</v>
      </c>
      <c r="D166" s="60">
        <v>72.87</v>
      </c>
      <c r="E166" s="51">
        <v>0</v>
      </c>
      <c r="F166" s="51">
        <v>0.25</v>
      </c>
      <c r="G166" s="51">
        <v>0.25</v>
      </c>
      <c r="H166" s="51">
        <v>0.5</v>
      </c>
      <c r="I166" s="49">
        <f>IFERROR(B166/A166,"")</f>
        <v>3.3603333333333336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45">
      <c r="A167" s="50">
        <v>69</v>
      </c>
      <c r="B167" s="60">
        <v>190.79</v>
      </c>
      <c r="C167" s="60">
        <v>2</v>
      </c>
      <c r="D167" s="60">
        <v>42.22</v>
      </c>
      <c r="E167" s="51">
        <v>0</v>
      </c>
      <c r="F167" s="51">
        <v>0.25</v>
      </c>
      <c r="G167" s="51">
        <v>0.25</v>
      </c>
      <c r="H167" s="51">
        <v>0.5</v>
      </c>
      <c r="I167" s="49">
        <f t="shared" ref="I167:I185" si="6">IF(A167&lt;&gt;0,(B167-(B166-D166))/(A167-A166),"")</f>
        <v>6.8933333333333326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45">
      <c r="A168" s="50">
        <v>77</v>
      </c>
      <c r="B168" s="60">
        <v>202.52</v>
      </c>
      <c r="C168" s="60">
        <v>3</v>
      </c>
      <c r="D168" s="60">
        <v>33.950000000000017</v>
      </c>
      <c r="E168" s="51">
        <v>0</v>
      </c>
      <c r="F168" s="51">
        <v>0.25</v>
      </c>
      <c r="G168" s="51">
        <v>0.25</v>
      </c>
      <c r="H168" s="51">
        <v>0.5</v>
      </c>
      <c r="I168" s="49">
        <f t="shared" si="6"/>
        <v>6.7437500000000021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45">
      <c r="A169" s="50">
        <v>86</v>
      </c>
      <c r="B169" s="60">
        <v>229.27</v>
      </c>
      <c r="C169" s="60">
        <v>4</v>
      </c>
      <c r="D169" s="60">
        <v>37.54000000000002</v>
      </c>
      <c r="E169" s="51">
        <v>0.25</v>
      </c>
      <c r="F169" s="51">
        <v>0.25</v>
      </c>
      <c r="G169" s="51">
        <v>0.25</v>
      </c>
      <c r="H169" s="51">
        <v>0.25</v>
      </c>
      <c r="I169" s="49">
        <f t="shared" si="6"/>
        <v>6.7444444444444462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45">
      <c r="A170" s="50">
        <v>95</v>
      </c>
      <c r="B170" s="60">
        <v>252.57</v>
      </c>
      <c r="C170" s="60">
        <v>5</v>
      </c>
      <c r="D170" s="60">
        <v>42.199999999999989</v>
      </c>
      <c r="E170" s="51">
        <v>0.25</v>
      </c>
      <c r="F170" s="51">
        <v>0.25</v>
      </c>
      <c r="G170" s="51">
        <v>0.25</v>
      </c>
      <c r="H170" s="51">
        <v>0.25</v>
      </c>
      <c r="I170" s="49">
        <f t="shared" si="6"/>
        <v>6.7600000000000007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45">
      <c r="A171" s="50">
        <v>104</v>
      </c>
      <c r="B171" s="60">
        <v>271.37</v>
      </c>
      <c r="C171" s="60">
        <v>6</v>
      </c>
      <c r="D171" s="60">
        <v>39.400000000000006</v>
      </c>
      <c r="E171" s="51">
        <v>0.25</v>
      </c>
      <c r="F171" s="51">
        <v>0.25</v>
      </c>
      <c r="G171" s="51">
        <v>0.25</v>
      </c>
      <c r="H171" s="51">
        <v>0.25</v>
      </c>
      <c r="I171" s="49">
        <f t="shared" si="6"/>
        <v>6.7777777777777777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45">
      <c r="A172" s="50">
        <v>113</v>
      </c>
      <c r="B172" s="60">
        <v>293.89999999999998</v>
      </c>
      <c r="C172" s="60">
        <v>7</v>
      </c>
      <c r="D172" s="60">
        <v>41.639999999999986</v>
      </c>
      <c r="E172" s="51">
        <v>0.25</v>
      </c>
      <c r="F172" s="51">
        <v>0.25</v>
      </c>
      <c r="G172" s="51">
        <v>0.25</v>
      </c>
      <c r="H172" s="51">
        <v>0.25</v>
      </c>
      <c r="I172" s="49">
        <f t="shared" si="6"/>
        <v>6.8811111111111085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45">
      <c r="A173" s="50">
        <v>122</v>
      </c>
      <c r="B173" s="50">
        <v>315.27</v>
      </c>
      <c r="C173" s="50">
        <v>8</v>
      </c>
      <c r="D173" s="50">
        <v>45.829999999999984</v>
      </c>
      <c r="E173" s="51">
        <v>0.25</v>
      </c>
      <c r="F173" s="51">
        <v>0.25</v>
      </c>
      <c r="G173" s="51">
        <v>0.25</v>
      </c>
      <c r="H173" s="51">
        <v>0.25</v>
      </c>
      <c r="I173" s="49">
        <f t="shared" si="6"/>
        <v>7.0011111111111104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45">
      <c r="A174" s="50">
        <v>132</v>
      </c>
      <c r="B174" s="50">
        <v>340.57</v>
      </c>
      <c r="C174" s="50">
        <v>9</v>
      </c>
      <c r="D174" s="50">
        <v>48.699999999999989</v>
      </c>
      <c r="E174" s="51">
        <v>0.25</v>
      </c>
      <c r="F174" s="51">
        <v>0.25</v>
      </c>
      <c r="G174" s="51">
        <v>0.25</v>
      </c>
      <c r="H174" s="51">
        <v>0.25</v>
      </c>
      <c r="I174" s="49">
        <f t="shared" si="6"/>
        <v>7.1129999999999995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45">
      <c r="A175" s="50">
        <v>144</v>
      </c>
      <c r="B175" s="50">
        <v>379.92</v>
      </c>
      <c r="C175" s="50">
        <v>10</v>
      </c>
      <c r="D175" s="50">
        <v>60.949999999999989</v>
      </c>
      <c r="E175" s="51">
        <v>0.25</v>
      </c>
      <c r="F175" s="51">
        <v>0.25</v>
      </c>
      <c r="G175" s="51">
        <v>0.25</v>
      </c>
      <c r="H175" s="51">
        <v>0.25</v>
      </c>
      <c r="I175" s="49">
        <f t="shared" si="6"/>
        <v>7.3375000000000012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45">
      <c r="A176" s="50">
        <v>156</v>
      </c>
      <c r="B176" s="50">
        <v>409.2</v>
      </c>
      <c r="C176" s="50">
        <v>11</v>
      </c>
      <c r="D176" s="50">
        <v>65.69</v>
      </c>
      <c r="E176" s="51">
        <v>0.25</v>
      </c>
      <c r="F176" s="51">
        <v>0.25</v>
      </c>
      <c r="G176" s="51">
        <v>0.25</v>
      </c>
      <c r="H176" s="51">
        <v>0.25</v>
      </c>
      <c r="I176" s="49">
        <f t="shared" si="6"/>
        <v>7.5191666666666634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45">
      <c r="A177" s="50">
        <v>168</v>
      </c>
      <c r="B177" s="50">
        <v>435.65</v>
      </c>
      <c r="C177" s="50">
        <v>12</v>
      </c>
      <c r="D177" s="50">
        <v>71.37</v>
      </c>
      <c r="E177" s="51">
        <v>0.25</v>
      </c>
      <c r="F177" s="51">
        <v>0.25</v>
      </c>
      <c r="G177" s="51">
        <v>0.25</v>
      </c>
      <c r="H177" s="51">
        <v>0.25</v>
      </c>
      <c r="I177" s="49">
        <f t="shared" si="6"/>
        <v>7.6783333333333319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45">
      <c r="A178" s="50">
        <v>180</v>
      </c>
      <c r="B178" s="50">
        <v>456.54</v>
      </c>
      <c r="C178" s="50">
        <v>13</v>
      </c>
      <c r="D178" s="50">
        <v>175.59000000000003</v>
      </c>
      <c r="E178" s="51">
        <v>0.25</v>
      </c>
      <c r="F178" s="51">
        <v>0.25</v>
      </c>
      <c r="G178" s="51">
        <v>0.25</v>
      </c>
      <c r="H178" s="51">
        <v>0.25</v>
      </c>
      <c r="I178" s="49">
        <f t="shared" si="6"/>
        <v>7.688333333333337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45">
      <c r="A179" s="50">
        <v>184</v>
      </c>
      <c r="B179" s="50">
        <v>300.14</v>
      </c>
      <c r="C179" s="50">
        <v>14</v>
      </c>
      <c r="D179" s="50">
        <v>101.19999999999999</v>
      </c>
      <c r="E179" s="51">
        <v>0.25</v>
      </c>
      <c r="F179" s="51">
        <v>0.25</v>
      </c>
      <c r="G179" s="51">
        <v>0.25</v>
      </c>
      <c r="H179" s="51">
        <v>0.25</v>
      </c>
      <c r="I179" s="49">
        <f t="shared" si="6"/>
        <v>4.7974999999999994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45">
      <c r="A180" s="50">
        <v>188</v>
      </c>
      <c r="B180" s="50">
        <v>211.27</v>
      </c>
      <c r="C180" s="50">
        <v>15</v>
      </c>
      <c r="D180" s="50">
        <v>72.180000000000007</v>
      </c>
      <c r="E180" s="51">
        <v>0.25</v>
      </c>
      <c r="F180" s="51">
        <v>0.25</v>
      </c>
      <c r="G180" s="51">
        <v>0.25</v>
      </c>
      <c r="H180" s="51">
        <v>0.25</v>
      </c>
      <c r="I180" s="49">
        <f t="shared" si="6"/>
        <v>3.0825000000000031</v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45">
      <c r="A181" s="50">
        <v>191</v>
      </c>
      <c r="B181" s="50">
        <v>145.01</v>
      </c>
      <c r="C181" s="50">
        <v>16</v>
      </c>
      <c r="D181" s="50">
        <v>145.01</v>
      </c>
      <c r="E181" s="51">
        <v>0.25</v>
      </c>
      <c r="F181" s="51">
        <v>0.25</v>
      </c>
      <c r="G181" s="51">
        <v>0.25</v>
      </c>
      <c r="H181" s="51">
        <v>0.25</v>
      </c>
      <c r="I181" s="49">
        <f t="shared" si="6"/>
        <v>1.9733333333333292</v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4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4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4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4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4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4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4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4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45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28.5" x14ac:dyDescent="0.4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4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4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4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4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4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4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4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4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4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4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4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4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4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4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4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4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4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4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4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4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4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4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4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4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45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28.5" x14ac:dyDescent="0.4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4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4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4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4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4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4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4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4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4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4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4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4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4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4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4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4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4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4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4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4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4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4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4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4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45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28.5" x14ac:dyDescent="0.4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4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4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4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4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4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4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4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4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4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4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4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4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4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4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4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4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4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4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4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4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4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4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4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4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45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28.5" x14ac:dyDescent="0.4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4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4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4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4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4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4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4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4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4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4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4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4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4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4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4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4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4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4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4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4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4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4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4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4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4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4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4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4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4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4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4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4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4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4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4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4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4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4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4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4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4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4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4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4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4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4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4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4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4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4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4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4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4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4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4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4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4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4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4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4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4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4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4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4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4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4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4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4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4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4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4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4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4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4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4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4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4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4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4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4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4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4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4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4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4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4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4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4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4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4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4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4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4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4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4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4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4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4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4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4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4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4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4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4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4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4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4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4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4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4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4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4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4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4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4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4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4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4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4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4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4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4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4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4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4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4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4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4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4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4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4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4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4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4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4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4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4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4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4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4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4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4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4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4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4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4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4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4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4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4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4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4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4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4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4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4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4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4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3" zoomScaleNormal="100" workbookViewId="0">
      <selection activeCell="G21" sqref="G21"/>
    </sheetView>
  </sheetViews>
  <sheetFormatPr baseColWidth="10" defaultColWidth="11.46484375" defaultRowHeight="14.25" x14ac:dyDescent="0.45"/>
  <cols>
    <col min="1" max="1" width="5.9296875" style="1" customWidth="1"/>
    <col min="2" max="2" width="14.06640625" style="1" customWidth="1"/>
    <col min="3" max="3" width="62.06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6484375" style="1"/>
    <col min="11" max="11" width="12.53125" style="1" customWidth="1"/>
    <col min="12" max="16384" width="11.46484375" style="1"/>
  </cols>
  <sheetData>
    <row r="1" spans="1:38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5.9" thickBot="1" x14ac:dyDescent="0.8">
      <c r="A2" s="4"/>
      <c r="B2" s="273" t="s">
        <v>191</v>
      </c>
      <c r="C2" s="274"/>
      <c r="D2" s="274"/>
      <c r="E2" s="274"/>
      <c r="F2" s="274"/>
      <c r="G2" s="275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4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45">
      <c r="A4" s="4"/>
      <c r="B4" s="272"/>
      <c r="C4" s="272"/>
      <c r="D4" s="272"/>
      <c r="E4" s="272"/>
      <c r="F4" s="272"/>
      <c r="G4" s="272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4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4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4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45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4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4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4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4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4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4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45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45">
      <c r="A16" s="23"/>
      <c r="B16" s="61">
        <v>0.56999999999999995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45">
      <c r="A17" s="23"/>
      <c r="B17" s="61">
        <v>0.43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4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4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4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4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4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4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4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4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4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4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4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4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4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4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4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4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4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4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4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4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4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4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4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4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4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4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4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4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4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4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4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4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4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4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4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4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4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4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4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4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4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4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4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4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4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4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4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4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4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4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4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4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4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4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4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4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4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4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4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4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4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4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4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4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4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4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4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4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4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4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4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4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4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4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4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4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4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4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4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4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4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4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4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4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4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45">
      <c r="C104" s="4"/>
      <c r="F104" s="4"/>
    </row>
    <row r="105" spans="3:35" x14ac:dyDescent="0.45">
      <c r="C105" s="4"/>
      <c r="F105" s="4"/>
    </row>
    <row r="106" spans="3:35" x14ac:dyDescent="0.45">
      <c r="C106" s="4"/>
      <c r="F106" s="4"/>
    </row>
    <row r="107" spans="3:35" x14ac:dyDescent="0.45">
      <c r="C107" s="4"/>
      <c r="F107" s="4"/>
    </row>
    <row r="108" spans="3:35" x14ac:dyDescent="0.45">
      <c r="C108" s="4"/>
      <c r="F108" s="4"/>
    </row>
    <row r="109" spans="3:35" x14ac:dyDescent="0.45">
      <c r="C109" s="4"/>
      <c r="F109" s="4"/>
    </row>
    <row r="110" spans="3:35" x14ac:dyDescent="0.45">
      <c r="C110" s="4"/>
      <c r="F110" s="4"/>
    </row>
    <row r="111" spans="3:35" x14ac:dyDescent="0.45">
      <c r="C111" s="4"/>
      <c r="F111" s="4"/>
    </row>
    <row r="112" spans="3:35" x14ac:dyDescent="0.45">
      <c r="C112" s="4"/>
      <c r="F112" s="4"/>
    </row>
    <row r="113" spans="3:6" x14ac:dyDescent="0.45">
      <c r="C113" s="4"/>
      <c r="F113" s="4"/>
    </row>
    <row r="114" spans="3:6" x14ac:dyDescent="0.45">
      <c r="C114" s="4"/>
      <c r="F114" s="4"/>
    </row>
    <row r="115" spans="3:6" x14ac:dyDescent="0.45">
      <c r="C115" s="4"/>
      <c r="F115" s="4"/>
    </row>
    <row r="116" spans="3:6" x14ac:dyDescent="0.45">
      <c r="C116" s="4"/>
      <c r="F116" s="4"/>
    </row>
    <row r="117" spans="3:6" x14ac:dyDescent="0.45">
      <c r="C117" s="4"/>
      <c r="F117" s="4"/>
    </row>
    <row r="118" spans="3:6" x14ac:dyDescent="0.45">
      <c r="C118" s="4"/>
      <c r="F118" s="4"/>
    </row>
    <row r="119" spans="3:6" x14ac:dyDescent="0.45">
      <c r="C119" s="4"/>
      <c r="F119" s="4"/>
    </row>
    <row r="120" spans="3:6" x14ac:dyDescent="0.45">
      <c r="C120" s="4"/>
      <c r="F120" s="4"/>
    </row>
    <row r="121" spans="3:6" x14ac:dyDescent="0.45">
      <c r="C121" s="4"/>
      <c r="F121" s="4"/>
    </row>
    <row r="122" spans="3:6" x14ac:dyDescent="0.45">
      <c r="C122" s="4"/>
      <c r="F122" s="4"/>
    </row>
    <row r="123" spans="3:6" x14ac:dyDescent="0.45">
      <c r="C123" s="4"/>
      <c r="F123" s="4"/>
    </row>
    <row r="124" spans="3:6" x14ac:dyDescent="0.45">
      <c r="C124" s="4"/>
      <c r="F124" s="4"/>
    </row>
    <row r="125" spans="3:6" x14ac:dyDescent="0.45">
      <c r="C125" s="4"/>
      <c r="F125" s="4"/>
    </row>
    <row r="126" spans="3:6" x14ac:dyDescent="0.45">
      <c r="C126" s="4"/>
      <c r="F126" s="4"/>
    </row>
    <row r="127" spans="3:6" x14ac:dyDescent="0.45">
      <c r="C127" s="4"/>
      <c r="F127" s="4"/>
    </row>
    <row r="128" spans="3:6" x14ac:dyDescent="0.45">
      <c r="C128" s="4"/>
      <c r="F128" s="4"/>
    </row>
    <row r="129" spans="3:6" x14ac:dyDescent="0.45">
      <c r="C129" s="4"/>
      <c r="F129" s="4"/>
    </row>
    <row r="130" spans="3:6" x14ac:dyDescent="0.45">
      <c r="C130" s="4"/>
      <c r="F130" s="4"/>
    </row>
    <row r="131" spans="3:6" x14ac:dyDescent="0.45">
      <c r="C131" s="4"/>
      <c r="F131" s="4"/>
    </row>
    <row r="132" spans="3:6" x14ac:dyDescent="0.45">
      <c r="F132" s="4"/>
    </row>
    <row r="133" spans="3:6" x14ac:dyDescent="0.45">
      <c r="F133" s="4"/>
    </row>
    <row r="134" spans="3:6" x14ac:dyDescent="0.45">
      <c r="F134" s="4"/>
    </row>
    <row r="135" spans="3:6" x14ac:dyDescent="0.45">
      <c r="F135" s="4"/>
    </row>
    <row r="136" spans="3:6" x14ac:dyDescent="0.45">
      <c r="F136" s="4"/>
    </row>
    <row r="137" spans="3:6" x14ac:dyDescent="0.45">
      <c r="F137" s="4"/>
    </row>
    <row r="138" spans="3:6" x14ac:dyDescent="0.45">
      <c r="F138" s="4"/>
    </row>
    <row r="139" spans="3:6" x14ac:dyDescent="0.45">
      <c r="F139" s="4"/>
    </row>
    <row r="140" spans="3:6" x14ac:dyDescent="0.45">
      <c r="F140" s="4"/>
    </row>
    <row r="141" spans="3:6" x14ac:dyDescent="0.45">
      <c r="F141" s="4"/>
    </row>
    <row r="142" spans="3:6" x14ac:dyDescent="0.45">
      <c r="F142" s="4"/>
    </row>
    <row r="143" spans="3:6" x14ac:dyDescent="0.45">
      <c r="F143" s="4"/>
    </row>
    <row r="144" spans="3:6" x14ac:dyDescent="0.45">
      <c r="F144" s="4"/>
    </row>
    <row r="145" spans="6:6" x14ac:dyDescent="0.45">
      <c r="F145" s="4"/>
    </row>
    <row r="146" spans="6:6" x14ac:dyDescent="0.45">
      <c r="F146" s="4"/>
    </row>
    <row r="147" spans="6:6" x14ac:dyDescent="0.45">
      <c r="F147" s="4"/>
    </row>
    <row r="148" spans="6:6" x14ac:dyDescent="0.45">
      <c r="F148" s="4"/>
    </row>
    <row r="149" spans="6:6" x14ac:dyDescent="0.45">
      <c r="F149" s="4"/>
    </row>
    <row r="150" spans="6:6" x14ac:dyDescent="0.45">
      <c r="F150" s="4"/>
    </row>
    <row r="151" spans="6:6" x14ac:dyDescent="0.45">
      <c r="F151" s="4"/>
    </row>
    <row r="152" spans="6:6" x14ac:dyDescent="0.45">
      <c r="F152" s="4"/>
    </row>
    <row r="153" spans="6:6" x14ac:dyDescent="0.45">
      <c r="F153" s="4"/>
    </row>
    <row r="154" spans="6:6" x14ac:dyDescent="0.45">
      <c r="F154" s="4"/>
    </row>
    <row r="155" spans="6:6" x14ac:dyDescent="0.45">
      <c r="F155" s="4"/>
    </row>
    <row r="156" spans="6:6" x14ac:dyDescent="0.45">
      <c r="F156" s="4"/>
    </row>
    <row r="157" spans="6:6" x14ac:dyDescent="0.45">
      <c r="F157" s="4"/>
    </row>
    <row r="158" spans="6:6" x14ac:dyDescent="0.45">
      <c r="F158" s="4"/>
    </row>
    <row r="159" spans="6:6" x14ac:dyDescent="0.45">
      <c r="F159" s="4"/>
    </row>
    <row r="160" spans="6:6" x14ac:dyDescent="0.45">
      <c r="F160" s="4"/>
    </row>
    <row r="161" spans="6:6" x14ac:dyDescent="0.45">
      <c r="F161" s="4"/>
    </row>
    <row r="162" spans="6:6" x14ac:dyDescent="0.45">
      <c r="F162" s="4"/>
    </row>
    <row r="163" spans="6:6" x14ac:dyDescent="0.4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6484375" defaultRowHeight="14.25" x14ac:dyDescent="0.45"/>
  <cols>
    <col min="1" max="1" width="6.9296875" style="4" bestFit="1" customWidth="1"/>
    <col min="2" max="4" width="11.46484375" style="4"/>
    <col min="5" max="5" width="9.53125" style="4" customWidth="1"/>
    <col min="6" max="7" width="11.46484375" style="4"/>
    <col min="8" max="8" width="10.59765625" style="4" customWidth="1"/>
    <col min="9" max="9" width="9.46484375" style="4" customWidth="1"/>
    <col min="10" max="11" width="10.53125" style="4" bestFit="1" customWidth="1"/>
    <col min="12" max="12" width="14" style="4" bestFit="1" customWidth="1"/>
    <col min="13" max="13" width="14" style="4" customWidth="1"/>
    <col min="14" max="23" width="11.46484375" style="4"/>
    <col min="24" max="24" width="11.59765625" style="4" bestFit="1" customWidth="1"/>
    <col min="25" max="25" width="14.53125" style="4" bestFit="1" customWidth="1"/>
    <col min="26" max="26" width="12.46484375" style="4" bestFit="1" customWidth="1"/>
    <col min="27" max="27" width="9.59765625" style="4" bestFit="1" customWidth="1"/>
    <col min="28" max="28" width="11" style="4" bestFit="1" customWidth="1"/>
    <col min="29" max="29" width="9.46484375" style="4" bestFit="1" customWidth="1"/>
    <col min="30" max="31" width="9.46484375" style="4" customWidth="1"/>
    <col min="32" max="32" width="11.46484375" style="4"/>
    <col min="33" max="34" width="14" style="4" bestFit="1" customWidth="1"/>
    <col min="35" max="35" width="10.53125" style="4" bestFit="1" customWidth="1"/>
    <col min="36" max="36" width="9.46484375" style="4" bestFit="1" customWidth="1"/>
    <col min="37" max="38" width="10.53125" style="4" bestFit="1" customWidth="1"/>
    <col min="39" max="41" width="10.53125" style="4" customWidth="1"/>
    <col min="42" max="42" width="9" style="4" bestFit="1" customWidth="1"/>
    <col min="43" max="43" width="10.53125" style="4" bestFit="1" customWidth="1"/>
    <col min="44" max="44" width="9.33203125" style="4" bestFit="1" customWidth="1"/>
    <col min="45" max="45" width="11.59765625" style="4" bestFit="1" customWidth="1"/>
    <col min="46" max="46" width="8.46484375" style="4" bestFit="1" customWidth="1"/>
    <col min="47" max="47" width="9.46484375" style="4" bestFit="1" customWidth="1"/>
    <col min="48" max="48" width="9.59765625" style="4" bestFit="1" customWidth="1"/>
    <col min="49" max="49" width="11" style="4" bestFit="1" customWidth="1"/>
    <col min="50" max="50" width="9.46484375" style="4" bestFit="1" customWidth="1"/>
    <col min="51" max="52" width="9.46484375" style="4" customWidth="1"/>
    <col min="53" max="53" width="10.53125" style="4" bestFit="1" customWidth="1"/>
    <col min="54" max="54" width="14.33203125" style="4" customWidth="1"/>
    <col min="55" max="55" width="14" style="4" customWidth="1"/>
    <col min="56" max="56" width="10.53125" style="4" bestFit="1" customWidth="1"/>
    <col min="57" max="57" width="9.46484375" style="4" bestFit="1" customWidth="1"/>
    <col min="58" max="59" width="10.53125" style="4" bestFit="1" customWidth="1"/>
    <col min="60" max="62" width="10.53125" style="4" customWidth="1"/>
    <col min="63" max="63" width="9" style="4" bestFit="1" customWidth="1"/>
    <col min="64" max="64" width="10.53125" style="4" bestFit="1" customWidth="1"/>
    <col min="65" max="65" width="9.33203125" style="4" bestFit="1" customWidth="1"/>
    <col min="66" max="66" width="11.59765625" style="4" bestFit="1" customWidth="1"/>
    <col min="67" max="67" width="8.46484375" style="4" bestFit="1" customWidth="1"/>
    <col min="68" max="68" width="9.46484375" style="4" bestFit="1" customWidth="1"/>
    <col min="69" max="69" width="9.59765625" style="4" bestFit="1" customWidth="1"/>
    <col min="70" max="70" width="11" style="4" bestFit="1" customWidth="1"/>
    <col min="71" max="71" width="9.46484375" style="4" bestFit="1" customWidth="1"/>
    <col min="72" max="73" width="9.46484375" style="4" customWidth="1"/>
    <col min="74" max="74" width="10.53125" style="4" bestFit="1" customWidth="1"/>
    <col min="75" max="75" width="14" style="4" bestFit="1" customWidth="1"/>
    <col min="76" max="76" width="13.9296875" style="4" customWidth="1"/>
    <col min="77" max="77" width="10.53125" style="4" bestFit="1" customWidth="1"/>
    <col min="78" max="78" width="9.46484375" style="4" bestFit="1" customWidth="1"/>
    <col min="79" max="80" width="10.53125" style="4" bestFit="1" customWidth="1"/>
    <col min="81" max="83" width="10.53125" style="4" customWidth="1"/>
    <col min="84" max="84" width="11.46484375" style="4"/>
    <col min="85" max="85" width="10.53125" style="4" bestFit="1" customWidth="1"/>
    <col min="86" max="86" width="9.33203125" style="4" bestFit="1" customWidth="1"/>
    <col min="87" max="87" width="11.59765625" style="4" bestFit="1" customWidth="1"/>
    <col min="88" max="88" width="8.46484375" style="4" bestFit="1" customWidth="1"/>
    <col min="89" max="89" width="9.46484375" style="4" bestFit="1" customWidth="1"/>
    <col min="90" max="90" width="9.59765625" style="4" bestFit="1" customWidth="1"/>
    <col min="91" max="91" width="11" style="4" bestFit="1" customWidth="1"/>
    <col min="92" max="92" width="9.46484375" style="4" bestFit="1" customWidth="1"/>
    <col min="93" max="94" width="9.46484375" style="4" customWidth="1"/>
    <col min="95" max="95" width="11.46484375" style="4"/>
    <col min="96" max="97" width="14" style="4" customWidth="1"/>
    <col min="98" max="98" width="10.53125" style="4" bestFit="1" customWidth="1"/>
    <col min="99" max="99" width="9.46484375" style="4" bestFit="1" customWidth="1"/>
    <col min="100" max="101" width="10.53125" style="4" bestFit="1" customWidth="1"/>
    <col min="102" max="104" width="10.53125" style="4" customWidth="1"/>
    <col min="105" max="105" width="9" style="4" bestFit="1" customWidth="1"/>
    <col min="106" max="106" width="10.53125" style="4" bestFit="1" customWidth="1"/>
    <col min="107" max="107" width="9.33203125" style="4" bestFit="1" customWidth="1"/>
    <col min="108" max="108" width="11.59765625" style="4" bestFit="1" customWidth="1"/>
    <col min="109" max="109" width="8.46484375" style="4" bestFit="1" customWidth="1"/>
    <col min="110" max="110" width="9.46484375" style="4" bestFit="1" customWidth="1"/>
    <col min="111" max="111" width="9.59765625" style="4" bestFit="1" customWidth="1"/>
    <col min="112" max="112" width="11" style="4" bestFit="1" customWidth="1"/>
    <col min="113" max="113" width="9.46484375" style="4" bestFit="1" customWidth="1"/>
    <col min="114" max="115" width="9.46484375" style="4" customWidth="1"/>
    <col min="116" max="116" width="10.53125" style="4" bestFit="1" customWidth="1"/>
    <col min="117" max="117" width="14.33203125" style="4" customWidth="1"/>
    <col min="118" max="118" width="14" style="4" bestFit="1" customWidth="1"/>
    <col min="119" max="119" width="10.53125" style="4" bestFit="1" customWidth="1"/>
    <col min="120" max="120" width="9.46484375" style="4" bestFit="1" customWidth="1"/>
    <col min="121" max="122" width="10.53125" style="4" bestFit="1" customWidth="1"/>
    <col min="123" max="125" width="10.53125" style="4" customWidth="1"/>
    <col min="126" max="126" width="9" style="4" bestFit="1" customWidth="1"/>
    <col min="127" max="127" width="10.53125" style="4" bestFit="1" customWidth="1"/>
    <col min="128" max="128" width="9.33203125" style="4" bestFit="1" customWidth="1"/>
    <col min="129" max="129" width="11.59765625" style="4" bestFit="1" customWidth="1"/>
    <col min="130" max="130" width="8.46484375" style="4" bestFit="1" customWidth="1"/>
    <col min="131" max="131" width="9.46484375" style="4" bestFit="1" customWidth="1"/>
    <col min="132" max="132" width="9.59765625" style="4" bestFit="1" customWidth="1"/>
    <col min="133" max="133" width="11" style="4" bestFit="1" customWidth="1"/>
    <col min="134" max="134" width="9.46484375" style="4" bestFit="1" customWidth="1"/>
    <col min="135" max="136" width="9.46484375" style="4" customWidth="1"/>
    <col min="137" max="137" width="10.53125" style="4" bestFit="1" customWidth="1"/>
    <col min="138" max="139" width="14" style="4" customWidth="1"/>
    <col min="140" max="140" width="10.53125" style="4" bestFit="1" customWidth="1"/>
    <col min="141" max="141" width="9.46484375" style="4" bestFit="1" customWidth="1"/>
    <col min="142" max="143" width="10.53125" style="4" bestFit="1" customWidth="1"/>
    <col min="144" max="146" width="10.53125" style="4" customWidth="1"/>
    <col min="147" max="147" width="9" style="4" bestFit="1" customWidth="1"/>
    <col min="148" max="148" width="10.53125" style="4" bestFit="1" customWidth="1"/>
    <col min="149" max="149" width="9.33203125" style="4" bestFit="1" customWidth="1"/>
    <col min="150" max="150" width="11.59765625" style="4" bestFit="1" customWidth="1"/>
    <col min="151" max="151" width="8.46484375" style="4" bestFit="1" customWidth="1"/>
    <col min="152" max="152" width="9.46484375" style="4" bestFit="1" customWidth="1"/>
    <col min="153" max="153" width="9.59765625" style="4" bestFit="1" customWidth="1"/>
    <col min="154" max="154" width="11" style="4" bestFit="1" customWidth="1"/>
    <col min="155" max="155" width="9.46484375" style="4" bestFit="1" customWidth="1"/>
    <col min="156" max="157" width="9.46484375" style="4" customWidth="1"/>
    <col min="158" max="158" width="11.46484375" style="4"/>
    <col min="159" max="160" width="14" style="4" bestFit="1" customWidth="1"/>
    <col min="161" max="161" width="10.53125" style="4" bestFit="1" customWidth="1"/>
    <col min="162" max="162" width="9.46484375" style="4" bestFit="1" customWidth="1"/>
    <col min="163" max="164" width="10.53125" style="4" bestFit="1" customWidth="1"/>
    <col min="165" max="167" width="10.53125" style="4" customWidth="1"/>
    <col min="168" max="168" width="9" style="4" bestFit="1" customWidth="1"/>
    <col min="169" max="169" width="10.53125" style="4" bestFit="1" customWidth="1"/>
    <col min="170" max="170" width="9.33203125" style="4" bestFit="1" customWidth="1"/>
    <col min="171" max="171" width="11.59765625" style="4" bestFit="1" customWidth="1"/>
    <col min="172" max="172" width="8.06640625" style="4" bestFit="1" customWidth="1"/>
    <col min="173" max="173" width="9.46484375" style="4" bestFit="1" customWidth="1"/>
    <col min="174" max="174" width="9.59765625" style="4" bestFit="1" customWidth="1"/>
    <col min="175" max="175" width="11" style="4" bestFit="1" customWidth="1"/>
    <col min="176" max="176" width="9.46484375" style="4" bestFit="1" customWidth="1"/>
    <col min="177" max="178" width="9.46484375" style="4" customWidth="1"/>
    <col min="179" max="179" width="10.53125" style="4" bestFit="1" customWidth="1"/>
    <col min="180" max="181" width="14" style="4" bestFit="1" customWidth="1"/>
    <col min="182" max="182" width="10.53125" style="4" bestFit="1" customWidth="1"/>
    <col min="183" max="183" width="9.46484375" style="4" bestFit="1" customWidth="1"/>
    <col min="184" max="185" width="10.53125" style="4" bestFit="1" customWidth="1"/>
    <col min="186" max="188" width="10.53125" style="4" customWidth="1"/>
    <col min="189" max="189" width="9" style="4" bestFit="1" customWidth="1"/>
    <col min="190" max="190" width="10.53125" style="4" bestFit="1" customWidth="1"/>
    <col min="191" max="191" width="9.33203125" style="4" bestFit="1" customWidth="1"/>
    <col min="192" max="192" width="11.46484375" style="4"/>
    <col min="193" max="193" width="8.46484375" style="4" bestFit="1" customWidth="1"/>
    <col min="194" max="194" width="9.46484375" style="4" bestFit="1" customWidth="1"/>
    <col min="195" max="195" width="9.59765625" style="4" bestFit="1" customWidth="1"/>
    <col min="196" max="196" width="11" style="4" bestFit="1" customWidth="1"/>
    <col min="197" max="197" width="9.46484375" style="4" bestFit="1" customWidth="1"/>
    <col min="198" max="199" width="9.46484375" style="4" customWidth="1"/>
    <col min="200" max="200" width="10.53125" style="4" bestFit="1" customWidth="1"/>
    <col min="201" max="201" width="14" style="4" customWidth="1"/>
    <col min="202" max="202" width="14.33203125" style="4" customWidth="1"/>
    <col min="203" max="203" width="10.53125" style="4" bestFit="1" customWidth="1"/>
    <col min="204" max="204" width="9.46484375" style="4" bestFit="1" customWidth="1"/>
    <col min="205" max="206" width="10.53125" style="4" bestFit="1" customWidth="1"/>
    <col min="207" max="209" width="10.53125" style="4" customWidth="1"/>
    <col min="210" max="210" width="9" style="4" bestFit="1" customWidth="1"/>
    <col min="211" max="211" width="10.53125" style="4" bestFit="1" customWidth="1"/>
    <col min="212" max="212" width="9.33203125" style="4" bestFit="1" customWidth="1"/>
    <col min="213" max="213" width="11.59765625" style="4" bestFit="1" customWidth="1"/>
    <col min="214" max="214" width="8.46484375" style="4" bestFit="1" customWidth="1"/>
    <col min="215" max="215" width="9.46484375" style="4" bestFit="1" customWidth="1"/>
    <col min="216" max="216" width="9.59765625" style="4" bestFit="1" customWidth="1"/>
    <col min="217" max="217" width="11" style="4" bestFit="1" customWidth="1"/>
    <col min="218" max="218" width="9.46484375" style="4" bestFit="1" customWidth="1"/>
    <col min="219" max="16384" width="11.46484375" style="4"/>
  </cols>
  <sheetData>
    <row r="1" spans="1:218" ht="25.9" thickBot="1" x14ac:dyDescent="0.8">
      <c r="B1" s="279" t="s">
        <v>176</v>
      </c>
      <c r="C1" s="280"/>
      <c r="D1" s="280"/>
      <c r="E1" s="280"/>
      <c r="F1" s="280"/>
      <c r="G1" s="280"/>
      <c r="H1" s="281"/>
      <c r="I1" s="276" t="str">
        <f>IF('Données projet'!$B$9="","",'Données projet'!$B$9)</f>
        <v>Chêne sessile</v>
      </c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77"/>
      <c r="AA1" s="277"/>
      <c r="AB1" s="277"/>
      <c r="AC1" s="278"/>
      <c r="AD1" s="277" t="str">
        <f>IF('Données projet'!$B$10="","",'Données projet'!$B$10)</f>
        <v>Chêne pédonculé</v>
      </c>
      <c r="AE1" s="277"/>
      <c r="AF1" s="277"/>
      <c r="AG1" s="277"/>
      <c r="AH1" s="277"/>
      <c r="AI1" s="277"/>
      <c r="AJ1" s="277"/>
      <c r="AK1" s="277"/>
      <c r="AL1" s="277"/>
      <c r="AM1" s="277"/>
      <c r="AN1" s="277"/>
      <c r="AO1" s="277"/>
      <c r="AP1" s="277"/>
      <c r="AQ1" s="277"/>
      <c r="AR1" s="277"/>
      <c r="AS1" s="277"/>
      <c r="AT1" s="277"/>
      <c r="AU1" s="277"/>
      <c r="AV1" s="277"/>
      <c r="AW1" s="277"/>
      <c r="AX1" s="278"/>
      <c r="AY1" s="276" t="str">
        <f>IF('Données projet'!$B$11="","",'Données projet'!$B$11)</f>
        <v>Chêne pubescent</v>
      </c>
      <c r="AZ1" s="277"/>
      <c r="BA1" s="277"/>
      <c r="BB1" s="277"/>
      <c r="BC1" s="277"/>
      <c r="BD1" s="277"/>
      <c r="BE1" s="277"/>
      <c r="BF1" s="277"/>
      <c r="BG1" s="277"/>
      <c r="BH1" s="277"/>
      <c r="BI1" s="277"/>
      <c r="BJ1" s="277"/>
      <c r="BK1" s="277"/>
      <c r="BL1" s="277"/>
      <c r="BM1" s="277"/>
      <c r="BN1" s="277"/>
      <c r="BO1" s="277"/>
      <c r="BP1" s="277"/>
      <c r="BQ1" s="277"/>
      <c r="BR1" s="277"/>
      <c r="BS1" s="278"/>
      <c r="BT1" s="276" t="str">
        <f>IF('Données projet'!$B$12="","",'Données projet'!$B$12)</f>
        <v>Merisier</v>
      </c>
      <c r="BU1" s="277"/>
      <c r="BV1" s="277"/>
      <c r="BW1" s="277"/>
      <c r="BX1" s="277"/>
      <c r="BY1" s="277"/>
      <c r="BZ1" s="277"/>
      <c r="CA1" s="277"/>
      <c r="CB1" s="277"/>
      <c r="CC1" s="277"/>
      <c r="CD1" s="277"/>
      <c r="CE1" s="277"/>
      <c r="CF1" s="277"/>
      <c r="CG1" s="277"/>
      <c r="CH1" s="277"/>
      <c r="CI1" s="277"/>
      <c r="CJ1" s="277"/>
      <c r="CK1" s="277"/>
      <c r="CL1" s="277"/>
      <c r="CM1" s="277"/>
      <c r="CN1" s="278"/>
      <c r="CO1" s="276" t="str">
        <f>IF('Données projet'!$B$13="","",'Données projet'!$B$13)</f>
        <v>Charme</v>
      </c>
      <c r="CP1" s="277"/>
      <c r="CQ1" s="277"/>
      <c r="CR1" s="277"/>
      <c r="CS1" s="277"/>
      <c r="CT1" s="277"/>
      <c r="CU1" s="277"/>
      <c r="CV1" s="277"/>
      <c r="CW1" s="277"/>
      <c r="CX1" s="277"/>
      <c r="CY1" s="277"/>
      <c r="CZ1" s="277"/>
      <c r="DA1" s="277"/>
      <c r="DB1" s="277"/>
      <c r="DC1" s="277"/>
      <c r="DD1" s="277"/>
      <c r="DE1" s="277"/>
      <c r="DF1" s="277"/>
      <c r="DG1" s="277"/>
      <c r="DH1" s="277"/>
      <c r="DI1" s="278"/>
      <c r="DJ1" s="276" t="str">
        <f>IF('Données projet'!$B$14="","",'Données projet'!$B$14)</f>
        <v>Alisier torminal</v>
      </c>
      <c r="DK1" s="277"/>
      <c r="DL1" s="277"/>
      <c r="DM1" s="277"/>
      <c r="DN1" s="277"/>
      <c r="DO1" s="277"/>
      <c r="DP1" s="277"/>
      <c r="DQ1" s="277"/>
      <c r="DR1" s="277"/>
      <c r="DS1" s="277"/>
      <c r="DT1" s="277"/>
      <c r="DU1" s="277"/>
      <c r="DV1" s="277"/>
      <c r="DW1" s="277"/>
      <c r="DX1" s="277"/>
      <c r="DY1" s="277"/>
      <c r="DZ1" s="277"/>
      <c r="EA1" s="277"/>
      <c r="EB1" s="277"/>
      <c r="EC1" s="277"/>
      <c r="ED1" s="278"/>
      <c r="EE1" s="276" t="str">
        <f>IF('Données projet'!$B$15="","",'Données projet'!$B$15)</f>
        <v/>
      </c>
      <c r="EF1" s="277"/>
      <c r="EG1" s="277"/>
      <c r="EH1" s="277"/>
      <c r="EI1" s="277"/>
      <c r="EJ1" s="277"/>
      <c r="EK1" s="277"/>
      <c r="EL1" s="277"/>
      <c r="EM1" s="277"/>
      <c r="EN1" s="277"/>
      <c r="EO1" s="277"/>
      <c r="EP1" s="277"/>
      <c r="EQ1" s="277"/>
      <c r="ER1" s="277"/>
      <c r="ES1" s="277"/>
      <c r="ET1" s="277"/>
      <c r="EU1" s="277"/>
      <c r="EV1" s="277"/>
      <c r="EW1" s="277"/>
      <c r="EX1" s="277"/>
      <c r="EY1" s="278"/>
      <c r="EZ1" s="276" t="str">
        <f>IF('Données projet'!$B$16="","",'Données projet'!$B$16)</f>
        <v/>
      </c>
      <c r="FA1" s="277"/>
      <c r="FB1" s="277"/>
      <c r="FC1" s="277"/>
      <c r="FD1" s="277"/>
      <c r="FE1" s="277"/>
      <c r="FF1" s="277"/>
      <c r="FG1" s="277"/>
      <c r="FH1" s="277"/>
      <c r="FI1" s="277"/>
      <c r="FJ1" s="277"/>
      <c r="FK1" s="277"/>
      <c r="FL1" s="277"/>
      <c r="FM1" s="277"/>
      <c r="FN1" s="277"/>
      <c r="FO1" s="277"/>
      <c r="FP1" s="277"/>
      <c r="FQ1" s="277"/>
      <c r="FR1" s="277"/>
      <c r="FS1" s="277"/>
      <c r="FT1" s="278"/>
      <c r="FU1" s="276" t="str">
        <f>IF('Données projet'!$B$17="","",'Données projet'!$B$17)</f>
        <v/>
      </c>
      <c r="FV1" s="277"/>
      <c r="FW1" s="277"/>
      <c r="FX1" s="277"/>
      <c r="FY1" s="277"/>
      <c r="FZ1" s="277"/>
      <c r="GA1" s="277"/>
      <c r="GB1" s="277"/>
      <c r="GC1" s="277"/>
      <c r="GD1" s="277"/>
      <c r="GE1" s="277"/>
      <c r="GF1" s="277"/>
      <c r="GG1" s="277"/>
      <c r="GH1" s="277"/>
      <c r="GI1" s="277"/>
      <c r="GJ1" s="277"/>
      <c r="GK1" s="277"/>
      <c r="GL1" s="277"/>
      <c r="GM1" s="277"/>
      <c r="GN1" s="277"/>
      <c r="GO1" s="278"/>
      <c r="GP1" s="276" t="str">
        <f>IF('Données projet'!$B$18="","",'Données projet'!$B$18)</f>
        <v/>
      </c>
      <c r="GQ1" s="277"/>
      <c r="GR1" s="277"/>
      <c r="GS1" s="277"/>
      <c r="GT1" s="277"/>
      <c r="GU1" s="277"/>
      <c r="GV1" s="277"/>
      <c r="GW1" s="277"/>
      <c r="GX1" s="277"/>
      <c r="GY1" s="277"/>
      <c r="GZ1" s="277"/>
      <c r="HA1" s="277"/>
      <c r="HB1" s="277"/>
      <c r="HC1" s="277"/>
      <c r="HD1" s="277"/>
      <c r="HE1" s="277"/>
      <c r="HF1" s="277"/>
      <c r="HG1" s="277"/>
      <c r="HH1" s="277"/>
      <c r="HI1" s="277"/>
      <c r="HJ1" s="278"/>
    </row>
    <row r="2" spans="1:218" ht="57.4" thickBot="1" x14ac:dyDescent="0.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45">
      <c r="A3" s="10">
        <v>0</v>
      </c>
      <c r="B3" s="73">
        <f>'Scénario référence'!$B$16*5+'Scénario référence'!$B$17*0+'Scénario référence'!$B$18*5</f>
        <v>2.8499999999999996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10.449999999999998</v>
      </c>
      <c r="H3" s="67">
        <f>(B3+E3+F3)*44/12+(C3+D3)*0.475*44/12</f>
        <v>214.86666666666667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55.75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204.41666666666666</v>
      </c>
      <c r="S3" s="59">
        <f ca="1">AVERAGE(OFFSET($R$3,0,0,'Données projet'!$E$9+1,1))-AVERAGE(OFFSET($H$3,0,0,'Données projet'!$E$9+1,1))</f>
        <v>719.20816951277925</v>
      </c>
      <c r="T3" s="59">
        <f>IF('Données projet'!E9&gt;30,$R$33-$H$33,LOOKUP('Données projet'!$E$9,$A$3:$A$203,R3:R203)-LOOKUP('Données projet'!$E$9,$A$3:$A$203,$H$3:$H$203))</f>
        <v>237.1127421841087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55.75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204.41666666666666</v>
      </c>
      <c r="AN3" s="59">
        <f ca="1">AVERAGE(OFFSET($AM$3,0,0,'Données projet'!$E$10+1,1))-AVERAGE(OFFSET($H$3,0,0,'Données projet'!$E$10+1,1))</f>
        <v>442.79037205372367</v>
      </c>
      <c r="AO3" s="59">
        <f>IF('Données projet'!E10&gt;30,$AM$33-$H$33,LOOKUP('Données projet'!$E$10,$A$3:$A$203,AM3:AM203)-LOOKUP('Données projet'!$E$10,$A$3:$A$203,$H$3:$H$203))</f>
        <v>288.23553637727969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55.75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204.41666666666666</v>
      </c>
      <c r="BI3" s="59">
        <f ca="1">AVERAGE(OFFSET($BH$3,0,0,'Données projet'!$E$11+1,1))-AVERAGE(OFFSET($H$3,0,0,'Données projet'!$E$11+1,1))</f>
        <v>559.91818701710872</v>
      </c>
      <c r="BJ3" s="59">
        <f>IF('Données projet'!E11&gt;30,$BH$33-$H$33,LOOKUP('Données projet'!$E$11,$A$3:$A$203,BH3:BH203)-LOOKUP('Données projet'!$E$11,$A$3:$A$203,$H$3:$H$203))</f>
        <v>273.47272623465915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55.75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204.41666666666666</v>
      </c>
      <c r="CD3" s="59">
        <f ca="1">AVERAGE(OFFSET($CC$3,0,0,'Données projet'!$E$12+1,1))-AVERAGE(OFFSET($H$3,0,0,'Données projet'!$E$12+1,1))</f>
        <v>208.92677786250815</v>
      </c>
      <c r="CE3" s="59">
        <f>IF('Données projet'!E12&gt;30,$CC$33-$H$33,LOOKUP('Données projet'!$E$12,$A$3:$A$203,CC3:CC203)-LOOKUP('Données projet'!$E$12,$A$3:$A$203,$H$3:$H$203))</f>
        <v>207.54290142772214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55.75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204.41666666666666</v>
      </c>
      <c r="CY3" s="59">
        <f ca="1">AVERAGE(OFFSET($CX$3,0,0,'Données projet'!$E$13+1,1))-AVERAGE(OFFSET($H$3,0,0,'Données projet'!$E$13+1,1))</f>
        <v>470.42022791389275</v>
      </c>
      <c r="CZ3" s="59">
        <f>IF('Données projet'!E13&gt;30,$CX$33-$H$33,LOOKUP('Données projet'!$E$13,$A$3:$A$203,CX3:CX203)-LOOKUP('Données projet'!$E$13,$A$3:$A$203,$H$3:$H$203))</f>
        <v>300.26117330627346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55.75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204.41666666666666</v>
      </c>
      <c r="DT3" s="59">
        <f ca="1">AVERAGE(OFFSET($DS$3,0,0,'Données projet'!$E$14+1,1))-AVERAGE(OFFSET($H$3,0,0,'Données projet'!$E$14+1,1))</f>
        <v>537.37164071064103</v>
      </c>
      <c r="DU3" s="59">
        <f>IF('Données projet'!E14&gt;30,$DS$33-$H$33,LOOKUP('Données projet'!$E$14,$A$3:$A$203,DS3:DS203)-LOOKUP('Données projet'!$E$14,$A$3:$A$203,$H$3:$H$203))</f>
        <v>263.29777321132235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55.75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55.75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55.75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55.75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45">
      <c r="A4" s="10">
        <f>A3+1</f>
        <v>1</v>
      </c>
      <c r="B4" s="73">
        <f>'Scénario référence'!$B$16*5+'Scénario référence'!$B$17*0+'Scénario référence'!$B$18*5</f>
        <v>2.8499999999999996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10.449999999999998</v>
      </c>
      <c r="H4" s="67">
        <f t="shared" ref="H4:H67" si="1">(B4+E4+F4)*44/12+(C4+D4)*0.475*44/12</f>
        <v>214.86666666666667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55.997205641772702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5.0894117647058819</v>
      </c>
      <c r="N4" s="13">
        <f>IF('Données projet'!$A$36&gt;35,N3+M4-V3,IF(A4&lt;'Données projet'!$A$36,$K$205^A4,IF(A4='Données projet'!$A$36,'Données projet'!$B$36,N3+M4-V3)))</f>
        <v>1.1636646418946561</v>
      </c>
      <c r="O4" s="13">
        <f>N4*VLOOKUP('Données projet'!$B$9,Paramètres!$A$1:$I$89,3,0)*VLOOKUP('Données projet'!$B$9,Paramètres!$A$1:$I$89,5,0)</f>
        <v>1.0528837679862848</v>
      </c>
      <c r="P4" s="13">
        <f>EXP(-1.0587+0.8836*LN(O4)+0.284)</f>
        <v>0.48231127341028485</v>
      </c>
      <c r="Q4" s="20">
        <f t="shared" ref="Q4:Q34" si="2">(O4+P4)*0.475*44/12</f>
        <v>2.6737980304323585</v>
      </c>
      <c r="R4" s="59">
        <f t="shared" si="0"/>
        <v>209.21910760582116</v>
      </c>
      <c r="S4" s="59">
        <f ca="1">AVERAGE(OFFSET($R$3,0,0,'Données projet'!$E$9+1,1))-AVERAGE(OFFSET($H$3,0,0,'Données projet'!$E$9+1,1))</f>
        <v>719.20816951277925</v>
      </c>
      <c r="T4" s="59">
        <f>$T$3</f>
        <v>237.1127421841087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55.997205641772702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4.9119354838709679</v>
      </c>
      <c r="AI4" s="13">
        <f>IF('Données projet'!$A$62&gt;35,AI3+AH4-AQ3,IF(A4&lt;'Données projet'!$A$62,$AF$205^A4,IF(A4='Données projet'!$A$62,'Données projet'!$B$62,AI3+AH4-AQ3)))</f>
        <v>1.175998897105349</v>
      </c>
      <c r="AJ4" s="13">
        <f>AI4*VLOOKUP('Données projet'!$B$10,Paramètres!$A$1:$I$89,3,0)*VLOOKUP('Données projet'!$B$10,Paramètres!$A$1:$I$89,5,0)</f>
        <v>0.99066147092154599</v>
      </c>
      <c r="AK4" s="13">
        <f>EXP(-1.0587+0.8836*LN(AJ4)+0.284)</f>
        <v>0.45703728983538922</v>
      </c>
      <c r="AL4" s="20">
        <f t="shared" ref="AL4:AL67" si="4">(AJ4+AK4)*0.475*44/12</f>
        <v>2.5214086749849955</v>
      </c>
      <c r="AM4" s="59">
        <f t="shared" ref="AM4:AM67" si="5">AL4+(AD4+AE4)*44/12</f>
        <v>209.06671825037381</v>
      </c>
      <c r="AN4" s="59">
        <f ca="1">AVERAGE(OFFSET($AM$3,0,0,'Données projet'!$E$10+1,1))-AVERAGE(OFFSET($H$3,0,0,'Données projet'!$E$10+1,1))</f>
        <v>442.79037205372367</v>
      </c>
      <c r="AO4" s="59">
        <f>$AO$3</f>
        <v>288.23553637727969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55.997205641772702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3.3603333333333336</v>
      </c>
      <c r="BD4" s="12">
        <f>IF('Données projet'!$A$88&gt;35,BD3+BC4-BL3,IF(A4&lt;'Données projet'!$A$88,$BA$205^A4,IF(A4='Données projet'!$A$88,'Données projet'!$B$88,BD3+BC4-BL3)))</f>
        <v>3.3603333333333336</v>
      </c>
      <c r="BE4" s="13">
        <f>BD4*VLOOKUP('Données projet'!$B$11,Paramètres!$A$1:$I$89,3,0)*VLOOKUP('Données projet'!$B$11,Paramètres!$A$1:$I$89,5,0)</f>
        <v>3.4073780000000005</v>
      </c>
      <c r="BF4" s="13">
        <f>EXP(-1.0587+0.8836*LN(BE4)+0.284)</f>
        <v>1.361440466803705</v>
      </c>
      <c r="BG4" s="20">
        <f t="shared" ref="BG4:BG67" si="7">(BE4+BF4)*0.475*44/12</f>
        <v>8.3056921630164542</v>
      </c>
      <c r="BH4" s="59">
        <f t="shared" ref="BH4:BH67" si="8">BG4+(AY4+AZ4)*44/12</f>
        <v>214.85100173840527</v>
      </c>
      <c r="BI4" s="59">
        <f ca="1">AVERAGE(OFFSET($BH$3,0,0,'Données projet'!$E$11+1,1))-AVERAGE(OFFSET($H$3,0,0,'Données projet'!$E$11+1,1))</f>
        <v>559.91818701710872</v>
      </c>
      <c r="BJ4" s="59">
        <f>$BJ$3</f>
        <v>273.47272623465915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55.997205641772702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1.7094017094017093</v>
      </c>
      <c r="BY4" s="12">
        <f>IF('Données projet'!$A$114&gt;35,BY3+BX4-CG3,IF(A4&lt;'Données projet'!$A$114,$BV$205^A4,IF(A4='Données projet'!$A$114,'Données projet'!$B$114,BY3+BX4-CG3)))</f>
        <v>1.2414494093563335</v>
      </c>
      <c r="BZ4" s="13">
        <f>BY4*VLOOKUP('Données projet'!$B$12,Paramètres!$A$1:$I$89,3,0)*VLOOKUP('Données projet'!$B$12,Paramètres!$A$1:$I$89,5,0)</f>
        <v>0.96833053929794022</v>
      </c>
      <c r="CA4" s="13">
        <f>EXP(-1.0587+0.8836*LN(BZ4)+0.284)</f>
        <v>0.44792215440986066</v>
      </c>
      <c r="CB4" s="20">
        <f t="shared" ref="CB4:CB67" si="10">(BZ4+CA4)*0.475*44/12</f>
        <v>2.4666401082077529</v>
      </c>
      <c r="CC4" s="59">
        <f t="shared" ref="CC4:CC67" si="11">CB4+(BT4+BU4)*44/12</f>
        <v>209.01194968359655</v>
      </c>
      <c r="CD4" s="59">
        <f ca="1">AVERAGE(OFFSET($CC$3,0,0,'Données projet'!$E$12+1,1))-AVERAGE(OFFSET($H$3,0,0,'Données projet'!$E$12+1,1))</f>
        <v>208.92677786250815</v>
      </c>
      <c r="CE4" s="59">
        <f>$CE$3</f>
        <v>207.54290142772214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55.997205641772702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4.016578947368421</v>
      </c>
      <c r="CT4" s="12">
        <f>IF('Données projet'!$A$140&gt;35,CT3+CS4-DB3,IF(A4&lt;'Données projet'!$A$140,$CQ$205^A4,IF(A4='Données projet'!$A$140,'Données projet'!$B$140,CT3+CS4-DB3)))</f>
        <v>4.016578947368421</v>
      </c>
      <c r="CU4" s="17">
        <f>CT4*VLOOKUP('Données projet'!$B$13,Paramètres!$A$1:$I$89,3,0)*VLOOKUP('Données projet'!$B$13,Paramètres!$A$1:$I$89,5,0)</f>
        <v>3.8221765263157894</v>
      </c>
      <c r="CV4" s="13">
        <f>EXP(-1.0587+0.8836*LN(CU4)+0.284)</f>
        <v>1.5068909880440347</v>
      </c>
      <c r="CW4" s="20">
        <f t="shared" ref="CW4:CW67" si="13">(CU4+CV4)*0.475*44/12</f>
        <v>9.2814592541766938</v>
      </c>
      <c r="CX4" s="59">
        <f t="shared" ref="CX4:CX67" si="14">CW4+(CO4+CP4)*44/12</f>
        <v>215.82676882956551</v>
      </c>
      <c r="CY4" s="59">
        <f ca="1">AVERAGE(OFFSET($CX$3,0,0,'Données projet'!$E$13+1,1))-AVERAGE(OFFSET($H$3,0,0,'Données projet'!$E$13+1,1))</f>
        <v>470.42022791389275</v>
      </c>
      <c r="CZ4" s="59">
        <f>$CZ$3</f>
        <v>300.26117330627346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55.997205641772702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3.3603333333333336</v>
      </c>
      <c r="DO4" s="12">
        <f>IF('Données projet'!$A$166&gt;35,DO3+DN4-DW3,IF(A4&lt;'Données projet'!$A$166,$DL$205^A4,IF(A4='Données projet'!$A$166,'Données projet'!$B$166,DO3+DN4-DW3)))</f>
        <v>3.3603333333333336</v>
      </c>
      <c r="DP4" s="17">
        <f>DO4*VLOOKUP('Données projet'!$B$14,Paramètres!$A$1:$I$89,3,0)*VLOOKUP('Données projet'!$B$14,Paramètres!$A$1:$I$89,5,0)</f>
        <v>3.2501144000000002</v>
      </c>
      <c r="DQ4" s="13">
        <f>EXP(-1.0587+0.8836*LN(DP4)+0.284)</f>
        <v>1.3057670644435437</v>
      </c>
      <c r="DR4" s="20">
        <f t="shared" ref="DR4:DR67" si="16">(DP4+DQ4)*0.475*44/12</f>
        <v>7.9348268839058393</v>
      </c>
      <c r="DS4" s="59">
        <f t="shared" ref="DS4:DS67" si="17">DR4+(DJ4+DK4)*44/12</f>
        <v>214.48013645929464</v>
      </c>
      <c r="DT4" s="59">
        <f ca="1">AVERAGE(OFFSET($DS$3,0,0,'Données projet'!$E$14+1,1))-AVERAGE(OFFSET($H$3,0,0,'Données projet'!$E$14+1,1))</f>
        <v>537.37164071064103</v>
      </c>
      <c r="DU4" s="59">
        <f>$DU$3</f>
        <v>263.29777321132235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55.997205641772702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55.997205641772702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55.997205641772702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55.997205641772702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45">
      <c r="A5" s="10">
        <f t="shared" ref="A5:A68" si="31">A4+1</f>
        <v>2</v>
      </c>
      <c r="B5" s="73">
        <f>'Scénario référence'!$B$16*5+'Scénario référence'!$B$17*0+'Scénario référence'!$B$18*5</f>
        <v>2.8499999999999996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10.449999999999998</v>
      </c>
      <c r="H5" s="67">
        <f t="shared" si="1"/>
        <v>214.86666666666667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56.240122818329674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5.0894117647058819</v>
      </c>
      <c r="N5" s="13">
        <f>IF('Données projet'!$A$36&gt;35,N4+M5-V4,IF(A5&lt;'Données projet'!$A$36,$K$205^A5,IF(A5='Données projet'!$A$36,'Données projet'!$B$36,N4+M5-V4)))</f>
        <v>1.3541153987958183</v>
      </c>
      <c r="O5" s="13">
        <f>N5*VLOOKUP('Données projet'!$B$9,Paramètres!$A$1:$I$89,3,0)*VLOOKUP('Données projet'!$B$9,Paramètres!$A$1:$I$89,5,0)</f>
        <v>1.2252036128304564</v>
      </c>
      <c r="P5" s="13">
        <f t="shared" ref="P5:P68" si="33">EXP(-1.0587+0.8836*LN(O5)+0.284)</f>
        <v>0.55143317604780007</v>
      </c>
      <c r="Q5" s="20">
        <f t="shared" si="2"/>
        <v>3.0943090739629628</v>
      </c>
      <c r="R5" s="59">
        <f t="shared" si="0"/>
        <v>211.75253718561621</v>
      </c>
      <c r="S5" s="59">
        <f ca="1">AVERAGE(OFFSET($R$3,0,0,'Données projet'!$E$9+1,1))-AVERAGE(OFFSET($H$3,0,0,'Données projet'!$E$9+1,1))</f>
        <v>719.20816951277925</v>
      </c>
      <c r="T5" s="59">
        <f t="shared" ref="T5:T68" si="34">$T$3</f>
        <v>237.1127421841087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56.240122818329674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4.9119354838709679</v>
      </c>
      <c r="AI5" s="13">
        <f>IF('Données projet'!$A$62&gt;35,AI4+AH5-AQ4,IF(A5&lt;'Données projet'!$A$62,$AF$205^A5,IF(A5='Données projet'!$A$62,'Données projet'!$B$62,AI4+AH5-AQ4)))</f>
        <v>1.3829734059929972</v>
      </c>
      <c r="AJ5" s="13">
        <f>AI5*VLOOKUP('Données projet'!$B$10,Paramètres!$A$1:$I$89,3,0)*VLOOKUP('Données projet'!$B$10,Paramètres!$A$1:$I$89,5,0)</f>
        <v>1.165016797208501</v>
      </c>
      <c r="AK5" s="13">
        <f t="shared" ref="AK5:AK68" si="35">EXP(-1.0587+0.8836*LN(AJ5)+0.284)</f>
        <v>0.52742800430464087</v>
      </c>
      <c r="AL5" s="20">
        <f t="shared" si="4"/>
        <v>2.9476746959687219</v>
      </c>
      <c r="AM5" s="59">
        <f t="shared" si="5"/>
        <v>211.60590280762196</v>
      </c>
      <c r="AN5" s="59">
        <f ca="1">AVERAGE(OFFSET($AM$3,0,0,'Données projet'!$E$10+1,1))-AVERAGE(OFFSET($H$3,0,0,'Données projet'!$E$10+1,1))</f>
        <v>442.79037205372367</v>
      </c>
      <c r="AO5" s="59">
        <f t="shared" ref="AO5:AO68" si="36">$AO$3</f>
        <v>288.23553637727969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56.240122818329674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3.3603333333333336</v>
      </c>
      <c r="BD5" s="12">
        <f>IF('Données projet'!$A$88&gt;35,BD4+BC5-BL4,IF(A5&lt;'Données projet'!$A$88,$BA$205^A5,IF(A5='Données projet'!$A$88,'Données projet'!$B$88,BD4+BC5-BL4)))</f>
        <v>6.7206666666666672</v>
      </c>
      <c r="BE5" s="13">
        <f>BD5*VLOOKUP('Données projet'!$B$11,Paramètres!$A$1:$I$89,3,0)*VLOOKUP('Données projet'!$B$11,Paramètres!$A$1:$I$89,5,0)</f>
        <v>6.8147560000000009</v>
      </c>
      <c r="BF5" s="13">
        <f t="shared" ref="BF5:BF68" si="37">EXP(-1.0587+0.8836*LN(BE5)+0.284)</f>
        <v>2.5118214185487715</v>
      </c>
      <c r="BG5" s="20">
        <f t="shared" si="7"/>
        <v>16.243789003972445</v>
      </c>
      <c r="BH5" s="59">
        <f t="shared" si="8"/>
        <v>224.90201711562568</v>
      </c>
      <c r="BI5" s="59">
        <f ca="1">AVERAGE(OFFSET($BH$3,0,0,'Données projet'!$E$11+1,1))-AVERAGE(OFFSET($H$3,0,0,'Données projet'!$E$11+1,1))</f>
        <v>559.91818701710872</v>
      </c>
      <c r="BJ5" s="59">
        <f t="shared" ref="BJ5:BJ68" si="38">$BJ$3</f>
        <v>273.47272623465915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56.240122818329674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1.7094017094017093</v>
      </c>
      <c r="BY5" s="12">
        <f>IF('Données projet'!$A$114&gt;35,BY4+BX5-CG4,IF(A5&lt;'Données projet'!$A$114,$BV$205^A5,IF(A5='Données projet'!$A$114,'Données projet'!$B$114,BY4+BX5-CG4)))</f>
        <v>1.5411966359911893</v>
      </c>
      <c r="BZ5" s="13">
        <f>BY5*VLOOKUP('Données projet'!$B$12,Paramètres!$A$1:$I$89,3,0)*VLOOKUP('Données projet'!$B$12,Paramètres!$A$1:$I$89,5,0)</f>
        <v>1.2021333760731276</v>
      </c>
      <c r="CA5" s="13">
        <f t="shared" ref="CA5:CA68" si="39">EXP(-1.0587+0.8836*LN(BZ5)+0.284)</f>
        <v>0.54224833966781483</v>
      </c>
      <c r="CB5" s="20">
        <f t="shared" si="10"/>
        <v>3.038131488248808</v>
      </c>
      <c r="CC5" s="59">
        <f t="shared" si="11"/>
        <v>211.69635959990205</v>
      </c>
      <c r="CD5" s="59">
        <f ca="1">AVERAGE(OFFSET($CC$3,0,0,'Données projet'!$E$12+1,1))-AVERAGE(OFFSET($H$3,0,0,'Données projet'!$E$12+1,1))</f>
        <v>208.92677786250815</v>
      </c>
      <c r="CE5" s="59">
        <f t="shared" ref="CE5:CE68" si="40">$CE$3</f>
        <v>207.54290142772214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56.240122818329674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4.016578947368421</v>
      </c>
      <c r="CT5" s="12">
        <f>IF('Données projet'!$A$140&gt;35,CT4+CS5-DB4,IF(A5&lt;'Données projet'!$A$140,$CQ$205^A5,IF(A5='Données projet'!$A$140,'Données projet'!$B$140,CT4+CS5-DB4)))</f>
        <v>8.0331578947368421</v>
      </c>
      <c r="CU5" s="17">
        <f>CT5*VLOOKUP('Données projet'!$B$13,Paramètres!$A$1:$I$89,3,0)*VLOOKUP('Données projet'!$B$13,Paramètres!$A$1:$I$89,5,0)</f>
        <v>7.6443530526315788</v>
      </c>
      <c r="CV5" s="13">
        <f t="shared" ref="CV5:CV68" si="41">EXP(-1.0587+0.8836*LN(CU5)+0.284)</f>
        <v>2.7801737582204993</v>
      </c>
      <c r="CW5" s="20">
        <f t="shared" si="13"/>
        <v>18.156050862234036</v>
      </c>
      <c r="CX5" s="59">
        <f t="shared" si="14"/>
        <v>226.81427897388727</v>
      </c>
      <c r="CY5" s="59">
        <f ca="1">AVERAGE(OFFSET($CX$3,0,0,'Données projet'!$E$13+1,1))-AVERAGE(OFFSET($H$3,0,0,'Données projet'!$E$13+1,1))</f>
        <v>470.42022791389275</v>
      </c>
      <c r="CZ5" s="59">
        <f t="shared" ref="CZ5:CZ68" si="42">$CZ$3</f>
        <v>300.26117330627346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56.240122818329674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3.3603333333333336</v>
      </c>
      <c r="DO5" s="12">
        <f>IF('Données projet'!$A$166&gt;35,DO4+DN5-DW4,IF(A5&lt;'Données projet'!$A$166,$DL$205^A5,IF(A5='Données projet'!$A$166,'Données projet'!$B$166,DO4+DN5-DW4)))</f>
        <v>6.7206666666666672</v>
      </c>
      <c r="DP5" s="17">
        <f>DO5*VLOOKUP('Données projet'!$B$14,Paramètres!$A$1:$I$89,3,0)*VLOOKUP('Données projet'!$B$14,Paramètres!$A$1:$I$89,5,0)</f>
        <v>6.5002288000000004</v>
      </c>
      <c r="DQ5" s="13">
        <f t="shared" ref="DQ5:DQ68" si="43">EXP(-1.0587+0.8836*LN(DP5)+0.284)</f>
        <v>2.4091054732676334</v>
      </c>
      <c r="DR5" s="20">
        <f t="shared" si="16"/>
        <v>15.517090525941128</v>
      </c>
      <c r="DS5" s="59">
        <f t="shared" si="17"/>
        <v>224.17531863759439</v>
      </c>
      <c r="DT5" s="59">
        <f ca="1">AVERAGE(OFFSET($DS$3,0,0,'Données projet'!$E$14+1,1))-AVERAGE(OFFSET($H$3,0,0,'Données projet'!$E$14+1,1))</f>
        <v>537.37164071064103</v>
      </c>
      <c r="DU5" s="59">
        <f t="shared" ref="DU5:DU68" si="44">$DU$3</f>
        <v>263.29777321132235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56.240122818329674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56.240122818329674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56.240122818329674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56.240122818329674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45">
      <c r="A6" s="10">
        <f t="shared" si="31"/>
        <v>3</v>
      </c>
      <c r="B6" s="73">
        <f>'Scénario référence'!$B$16*5+'Scénario référence'!$B$17*0+'Scénario référence'!$B$18*5</f>
        <v>2.8499999999999996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10.449999999999998</v>
      </c>
      <c r="H6" s="67">
        <f t="shared" si="1"/>
        <v>214.86666666666667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56.478825924954833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5.0894117647058819</v>
      </c>
      <c r="N6" s="13">
        <f>IF('Données projet'!$A$36&gt;35,N5+M6-V5,IF(A6&lt;'Données projet'!$A$36,$K$205^A6,IF(A6='Données projet'!$A$36,'Données projet'!$B$36,N5+M6-V5)))</f>
        <v>1.5757362106237753</v>
      </c>
      <c r="O6" s="13">
        <f>N6*VLOOKUP('Données projet'!$B$9,Paramètres!$A$1:$I$89,3,0)*VLOOKUP('Données projet'!$B$9,Paramètres!$A$1:$I$89,5,0)</f>
        <v>1.4257261233723919</v>
      </c>
      <c r="P6" s="13">
        <f t="shared" si="33"/>
        <v>0.63046120712898079</v>
      </c>
      <c r="Q6" s="20">
        <f t="shared" si="2"/>
        <v>3.5811929339565567</v>
      </c>
      <c r="R6" s="59">
        <f t="shared" si="0"/>
        <v>214.33688799212425</v>
      </c>
      <c r="S6" s="59">
        <f ca="1">AVERAGE(OFFSET($R$3,0,0,'Données projet'!$E$9+1,1))-AVERAGE(OFFSET($H$3,0,0,'Données projet'!$E$9+1,1))</f>
        <v>719.20816951277925</v>
      </c>
      <c r="T6" s="59">
        <f t="shared" si="34"/>
        <v>237.1127421841087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56.478825924954833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4.9119354838709679</v>
      </c>
      <c r="AI6" s="13">
        <f>IF('Données projet'!$A$62&gt;35,AI5+AH6-AQ5,IF(A6&lt;'Données projet'!$A$62,$AF$205^A6,IF(A6='Données projet'!$A$62,'Données projet'!$B$62,AI5+AH6-AQ5)))</f>
        <v>1.6263752001737928</v>
      </c>
      <c r="AJ6" s="13">
        <f>AI6*VLOOKUP('Données projet'!$B$10,Paramètres!$A$1:$I$89,3,0)*VLOOKUP('Données projet'!$B$10,Paramètres!$A$1:$I$89,5,0)</f>
        <v>1.3700584686264032</v>
      </c>
      <c r="AK6" s="13">
        <f t="shared" si="35"/>
        <v>0.60865996257103727</v>
      </c>
      <c r="AL6" s="20">
        <f t="shared" si="4"/>
        <v>3.4462679343355425</v>
      </c>
      <c r="AM6" s="59">
        <f t="shared" si="5"/>
        <v>214.20196299250324</v>
      </c>
      <c r="AN6" s="59">
        <f ca="1">AVERAGE(OFFSET($AM$3,0,0,'Données projet'!$E$10+1,1))-AVERAGE(OFFSET($H$3,0,0,'Données projet'!$E$10+1,1))</f>
        <v>442.79037205372367</v>
      </c>
      <c r="AO6" s="59">
        <f t="shared" si="36"/>
        <v>288.23553637727969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56.478825924954833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3.3603333333333336</v>
      </c>
      <c r="BD6" s="12">
        <f>IF('Données projet'!$A$88&gt;35,BD5+BC6-BL5,IF(A6&lt;'Données projet'!$A$88,$BA$205^A6,IF(A6='Données projet'!$A$88,'Données projet'!$B$88,BD5+BC6-BL5)))</f>
        <v>10.081000000000001</v>
      </c>
      <c r="BE6" s="13">
        <f>BD6*VLOOKUP('Données projet'!$B$11,Paramètres!$A$1:$I$89,3,0)*VLOOKUP('Données projet'!$B$11,Paramètres!$A$1:$I$89,5,0)</f>
        <v>10.222134000000002</v>
      </c>
      <c r="BF6" s="13">
        <f t="shared" si="37"/>
        <v>3.594040741454803</v>
      </c>
      <c r="BG6" s="20">
        <f t="shared" si="7"/>
        <v>24.063171008033788</v>
      </c>
      <c r="BH6" s="59">
        <f t="shared" si="8"/>
        <v>234.81886606620148</v>
      </c>
      <c r="BI6" s="59">
        <f ca="1">AVERAGE(OFFSET($BH$3,0,0,'Données projet'!$E$11+1,1))-AVERAGE(OFFSET($H$3,0,0,'Données projet'!$E$11+1,1))</f>
        <v>559.91818701710872</v>
      </c>
      <c r="BJ6" s="59">
        <f t="shared" si="38"/>
        <v>273.47272623465915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56.478825924954833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1.7094017094017093</v>
      </c>
      <c r="BY6" s="12">
        <f>IF('Données projet'!$A$114&gt;35,BY5+BX6-CG5,IF(A6&lt;'Données projet'!$A$114,$BV$205^A6,IF(A6='Données projet'!$A$114,'Données projet'!$B$114,BY5+BX6-CG5)))</f>
        <v>1.9133176534532301</v>
      </c>
      <c r="BZ6" s="13">
        <f>BY6*VLOOKUP('Données projet'!$B$12,Paramètres!$A$1:$I$89,3,0)*VLOOKUP('Données projet'!$B$12,Paramètres!$A$1:$I$89,5,0)</f>
        <v>1.4923877696935195</v>
      </c>
      <c r="CA6" s="13">
        <f t="shared" si="39"/>
        <v>0.65643830959844374</v>
      </c>
      <c r="CB6" s="20">
        <f t="shared" si="10"/>
        <v>3.7425387547668367</v>
      </c>
      <c r="CC6" s="59">
        <f t="shared" si="11"/>
        <v>214.49823381293453</v>
      </c>
      <c r="CD6" s="59">
        <f ca="1">AVERAGE(OFFSET($CC$3,0,0,'Données projet'!$E$12+1,1))-AVERAGE(OFFSET($H$3,0,0,'Données projet'!$E$12+1,1))</f>
        <v>208.92677786250815</v>
      </c>
      <c r="CE6" s="59">
        <f t="shared" si="40"/>
        <v>207.54290142772214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56.478825924954833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4.016578947368421</v>
      </c>
      <c r="CT6" s="12">
        <f>IF('Données projet'!$A$140&gt;35,CT5+CS6-DB5,IF(A6&lt;'Données projet'!$A$140,$CQ$205^A6,IF(A6='Données projet'!$A$140,'Données projet'!$B$140,CT5+CS6-DB5)))</f>
        <v>12.049736842105263</v>
      </c>
      <c r="CU6" s="17">
        <f>CT6*VLOOKUP('Données projet'!$B$13,Paramètres!$A$1:$I$89,3,0)*VLOOKUP('Données projet'!$B$13,Paramètres!$A$1:$I$89,5,0)</f>
        <v>11.466529578947368</v>
      </c>
      <c r="CV6" s="13">
        <f t="shared" si="41"/>
        <v>3.9780128004247182</v>
      </c>
      <c r="CW6" s="20">
        <f t="shared" si="13"/>
        <v>26.89924464407305</v>
      </c>
      <c r="CX6" s="59">
        <f t="shared" si="14"/>
        <v>237.65493970224077</v>
      </c>
      <c r="CY6" s="59">
        <f ca="1">AVERAGE(OFFSET($CX$3,0,0,'Données projet'!$E$13+1,1))-AVERAGE(OFFSET($H$3,0,0,'Données projet'!$E$13+1,1))</f>
        <v>470.42022791389275</v>
      </c>
      <c r="CZ6" s="59">
        <f t="shared" si="42"/>
        <v>300.26117330627346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56.478825924954833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3.3603333333333336</v>
      </c>
      <c r="DO6" s="12">
        <f>IF('Données projet'!$A$166&gt;35,DO5+DN6-DW5,IF(A6&lt;'Données projet'!$A$166,$DL$205^A6,IF(A6='Données projet'!$A$166,'Données projet'!$B$166,DO5+DN6-DW5)))</f>
        <v>10.081000000000001</v>
      </c>
      <c r="DP6" s="17">
        <f>DO6*VLOOKUP('Données projet'!$B$14,Paramètres!$A$1:$I$89,3,0)*VLOOKUP('Données projet'!$B$14,Paramètres!$A$1:$I$89,5,0)</f>
        <v>9.7503432000000014</v>
      </c>
      <c r="DQ6" s="13">
        <f t="shared" si="43"/>
        <v>3.447069587609501</v>
      </c>
      <c r="DR6" s="20">
        <f t="shared" si="16"/>
        <v>22.985493938419882</v>
      </c>
      <c r="DS6" s="59">
        <f t="shared" si="17"/>
        <v>233.7411889965876</v>
      </c>
      <c r="DT6" s="59">
        <f ca="1">AVERAGE(OFFSET($DS$3,0,0,'Données projet'!$E$14+1,1))-AVERAGE(OFFSET($H$3,0,0,'Données projet'!$E$14+1,1))</f>
        <v>537.37164071064103</v>
      </c>
      <c r="DU6" s="59">
        <f t="shared" si="44"/>
        <v>263.29777321132235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56.478825924954833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56.478825924954833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56.478825924954833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56.478825924954833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45">
      <c r="A7" s="10">
        <f t="shared" si="31"/>
        <v>4</v>
      </c>
      <c r="B7" s="73">
        <f>'Scénario référence'!$B$16*5+'Scénario référence'!$B$17*0+'Scénario référence'!$B$18*5</f>
        <v>2.8499999999999996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10.449999999999998</v>
      </c>
      <c r="H7" s="67">
        <f t="shared" si="1"/>
        <v>214.86666666666667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56.713388066340229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5.0894117647058819</v>
      </c>
      <c r="N7" s="13">
        <f>IF('Données projet'!$A$36&gt;35,N6+M7-V6,IF(A7&lt;'Données projet'!$A$36,$K$205^A7,IF(A7='Données projet'!$A$36,'Données projet'!$B$36,N6+M7-V6)))</f>
        <v>1.833628513255958</v>
      </c>
      <c r="O7" s="13">
        <f>N7*VLOOKUP('Données projet'!$B$9,Paramètres!$A$1:$I$89,3,0)*VLOOKUP('Données projet'!$B$9,Paramètres!$A$1:$I$89,5,0)</f>
        <v>1.6590670787939907</v>
      </c>
      <c r="P7" s="13">
        <f t="shared" si="33"/>
        <v>0.72081505241185662</v>
      </c>
      <c r="Q7" s="20">
        <f t="shared" si="2"/>
        <v>4.1449613785168511</v>
      </c>
      <c r="R7" s="59">
        <f t="shared" si="0"/>
        <v>216.9829398439866</v>
      </c>
      <c r="S7" s="59">
        <f ca="1">AVERAGE(OFFSET($R$3,0,0,'Données projet'!$E$9+1,1))-AVERAGE(OFFSET($H$3,0,0,'Données projet'!$E$9+1,1))</f>
        <v>719.20816951277925</v>
      </c>
      <c r="T7" s="59">
        <f t="shared" si="34"/>
        <v>237.1127421841087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56.713388066340229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4.9119354838709679</v>
      </c>
      <c r="AI7" s="13">
        <f>IF('Données projet'!$A$62&gt;35,AI6+AH7-AQ6,IF(A7&lt;'Données projet'!$A$62,$AF$205^A7,IF(A7='Données projet'!$A$62,'Données projet'!$B$62,AI6+AH7-AQ6)))</f>
        <v>1.9126154416838717</v>
      </c>
      <c r="AJ7" s="13">
        <f>AI7*VLOOKUP('Données projet'!$B$10,Paramètres!$A$1:$I$89,3,0)*VLOOKUP('Données projet'!$B$10,Paramètres!$A$1:$I$89,5,0)</f>
        <v>1.6111872480744935</v>
      </c>
      <c r="AK7" s="13">
        <f t="shared" si="35"/>
        <v>0.70240288155612574</v>
      </c>
      <c r="AL7" s="20">
        <f t="shared" si="4"/>
        <v>4.0295028091066616</v>
      </c>
      <c r="AM7" s="59">
        <f t="shared" si="5"/>
        <v>216.86748127457642</v>
      </c>
      <c r="AN7" s="59">
        <f ca="1">AVERAGE(OFFSET($AM$3,0,0,'Données projet'!$E$10+1,1))-AVERAGE(OFFSET($H$3,0,0,'Données projet'!$E$10+1,1))</f>
        <v>442.79037205372367</v>
      </c>
      <c r="AO7" s="59">
        <f t="shared" si="36"/>
        <v>288.23553637727969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56.713388066340229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3.3603333333333336</v>
      </c>
      <c r="BD7" s="12">
        <f>IF('Données projet'!$A$88&gt;35,BD6+BC7-BL6,IF(A7&lt;'Données projet'!$A$88,$BA$205^A7,IF(A7='Données projet'!$A$88,'Données projet'!$B$88,BD6+BC7-BL6)))</f>
        <v>13.441333333333334</v>
      </c>
      <c r="BE7" s="13">
        <f>BD7*VLOOKUP('Données projet'!$B$11,Paramètres!$A$1:$I$89,3,0)*VLOOKUP('Données projet'!$B$11,Paramètres!$A$1:$I$89,5,0)</f>
        <v>13.629512000000002</v>
      </c>
      <c r="BF7" s="13">
        <f t="shared" si="37"/>
        <v>4.6342436503982958</v>
      </c>
      <c r="BG7" s="20">
        <f t="shared" si="7"/>
        <v>31.8093744244437</v>
      </c>
      <c r="BH7" s="59">
        <f t="shared" si="8"/>
        <v>244.64735288991344</v>
      </c>
      <c r="BI7" s="59">
        <f ca="1">AVERAGE(OFFSET($BH$3,0,0,'Données projet'!$E$11+1,1))-AVERAGE(OFFSET($H$3,0,0,'Données projet'!$E$11+1,1))</f>
        <v>559.91818701710872</v>
      </c>
      <c r="BJ7" s="59">
        <f t="shared" si="38"/>
        <v>273.47272623465915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56.713388066340229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1.7094017094017093</v>
      </c>
      <c r="BY7" s="12">
        <f>IF('Données projet'!$A$114&gt;35,BY6+BX7-CG6,IF(A7&lt;'Données projet'!$A$114,$BV$205^A7,IF(A7='Données projet'!$A$114,'Données projet'!$B$114,BY6+BX7-CG6)))</f>
        <v>2.3752870707905585</v>
      </c>
      <c r="BZ7" s="13">
        <f>BY7*VLOOKUP('Données projet'!$B$12,Paramètres!$A$1:$I$89,3,0)*VLOOKUP('Données projet'!$B$12,Paramètres!$A$1:$I$89,5,0)</f>
        <v>1.8527239152166357</v>
      </c>
      <c r="CA7" s="13">
        <f t="shared" si="39"/>
        <v>0.79467510139808173</v>
      </c>
      <c r="CB7" s="20">
        <f t="shared" si="10"/>
        <v>4.6108866206039663</v>
      </c>
      <c r="CC7" s="59">
        <f t="shared" si="11"/>
        <v>217.44886508607371</v>
      </c>
      <c r="CD7" s="59">
        <f ca="1">AVERAGE(OFFSET($CC$3,0,0,'Données projet'!$E$12+1,1))-AVERAGE(OFFSET($H$3,0,0,'Données projet'!$E$12+1,1))</f>
        <v>208.92677786250815</v>
      </c>
      <c r="CE7" s="59">
        <f t="shared" si="40"/>
        <v>207.54290142772214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56.713388066340229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4.016578947368421</v>
      </c>
      <c r="CT7" s="12">
        <f>IF('Données projet'!$A$140&gt;35,CT6+CS7-DB6,IF(A7&lt;'Données projet'!$A$140,$CQ$205^A7,IF(A7='Données projet'!$A$140,'Données projet'!$B$140,CT6+CS7-DB6)))</f>
        <v>16.066315789473684</v>
      </c>
      <c r="CU7" s="17">
        <f>CT7*VLOOKUP('Données projet'!$B$13,Paramètres!$A$1:$I$89,3,0)*VLOOKUP('Données projet'!$B$13,Paramètres!$A$1:$I$89,5,0)</f>
        <v>15.288706105263158</v>
      </c>
      <c r="CV7" s="13">
        <f t="shared" si="41"/>
        <v>5.1293465733249333</v>
      </c>
      <c r="CW7" s="20">
        <f t="shared" si="13"/>
        <v>35.561441748540922</v>
      </c>
      <c r="CX7" s="59">
        <f t="shared" si="14"/>
        <v>248.39942021401066</v>
      </c>
      <c r="CY7" s="59">
        <f ca="1">AVERAGE(OFFSET($CX$3,0,0,'Données projet'!$E$13+1,1))-AVERAGE(OFFSET($H$3,0,0,'Données projet'!$E$13+1,1))</f>
        <v>470.42022791389275</v>
      </c>
      <c r="CZ7" s="59">
        <f t="shared" si="42"/>
        <v>300.26117330627346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56.713388066340229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3.3603333333333336</v>
      </c>
      <c r="DO7" s="12">
        <f>IF('Données projet'!$A$166&gt;35,DO6+DN7-DW6,IF(A7&lt;'Données projet'!$A$166,$DL$205^A7,IF(A7='Données projet'!$A$166,'Données projet'!$B$166,DO6+DN7-DW6)))</f>
        <v>13.441333333333334</v>
      </c>
      <c r="DP7" s="17">
        <f>DO7*VLOOKUP('Données projet'!$B$14,Paramètres!$A$1:$I$89,3,0)*VLOOKUP('Données projet'!$B$14,Paramètres!$A$1:$I$89,5,0)</f>
        <v>13.000457600000001</v>
      </c>
      <c r="DQ7" s="13">
        <f t="shared" si="43"/>
        <v>4.4447354657404903</v>
      </c>
      <c r="DR7" s="20">
        <f t="shared" si="16"/>
        <v>30.383711256164688</v>
      </c>
      <c r="DS7" s="59">
        <f t="shared" si="17"/>
        <v>243.22168972163445</v>
      </c>
      <c r="DT7" s="59">
        <f ca="1">AVERAGE(OFFSET($DS$3,0,0,'Données projet'!$E$14+1,1))-AVERAGE(OFFSET($H$3,0,0,'Données projet'!$E$14+1,1))</f>
        <v>537.37164071064103</v>
      </c>
      <c r="DU7" s="59">
        <f t="shared" si="44"/>
        <v>263.29777321132235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56.713388066340229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56.713388066340229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56.713388066340229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56.713388066340229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45">
      <c r="A8" s="10">
        <f t="shared" si="31"/>
        <v>5</v>
      </c>
      <c r="B8" s="73">
        <f>'Scénario référence'!$B$16*5+'Scénario référence'!$B$17*0+'Scénario référence'!$B$18*5</f>
        <v>2.8499999999999996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10.449999999999998</v>
      </c>
      <c r="H8" s="67">
        <f t="shared" si="1"/>
        <v>214.86666666666667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56.943881078974997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5.0894117647058819</v>
      </c>
      <c r="N8" s="13">
        <f>IF('Données projet'!$A$36&gt;35,N7+M8-V7,IF(A8&lt;'Données projet'!$A$36,$K$205^A8,IF(A8='Données projet'!$A$36,'Données projet'!$B$36,N7+M8-V7)))</f>
        <v>2.1337286672458249</v>
      </c>
      <c r="O8" s="13">
        <f>N8*VLOOKUP('Données projet'!$B$9,Paramètres!$A$1:$I$89,3,0)*VLOOKUP('Données projet'!$B$9,Paramètres!$A$1:$I$89,5,0)</f>
        <v>1.9305976981240223</v>
      </c>
      <c r="P8" s="13">
        <f t="shared" si="33"/>
        <v>0.82411785833670215</v>
      </c>
      <c r="Q8" s="20">
        <f t="shared" si="2"/>
        <v>4.7977962608357618</v>
      </c>
      <c r="R8" s="59">
        <f t="shared" si="0"/>
        <v>219.70313799485518</v>
      </c>
      <c r="S8" s="59">
        <f ca="1">AVERAGE(OFFSET($R$3,0,0,'Données projet'!$E$9+1,1))-AVERAGE(OFFSET($H$3,0,0,'Données projet'!$E$9+1,1))</f>
        <v>719.20816951277925</v>
      </c>
      <c r="T8" s="59">
        <f t="shared" si="34"/>
        <v>237.1127421841087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56.943881078974997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4.9119354838709679</v>
      </c>
      <c r="AI8" s="13">
        <f>IF('Données projet'!$A$62&gt;35,AI7+AH8-AQ7,IF(A8&lt;'Données projet'!$A$62,$AF$205^A8,IF(A8='Données projet'!$A$62,'Données projet'!$B$62,AI7+AH8-AQ7)))</f>
        <v>2.249233650006893</v>
      </c>
      <c r="AJ8" s="13">
        <f>AI8*VLOOKUP('Données projet'!$B$10,Paramètres!$A$1:$I$89,3,0)*VLOOKUP('Données projet'!$B$10,Paramètres!$A$1:$I$89,5,0)</f>
        <v>1.8947544267658067</v>
      </c>
      <c r="AK8" s="13">
        <f t="shared" si="35"/>
        <v>0.81058364005792016</v>
      </c>
      <c r="AL8" s="20">
        <f t="shared" si="4"/>
        <v>4.7117971330513244</v>
      </c>
      <c r="AM8" s="59">
        <f t="shared" si="5"/>
        <v>219.61713886707076</v>
      </c>
      <c r="AN8" s="59">
        <f ca="1">AVERAGE(OFFSET($AM$3,0,0,'Données projet'!$E$10+1,1))-AVERAGE(OFFSET($H$3,0,0,'Données projet'!$E$10+1,1))</f>
        <v>442.79037205372367</v>
      </c>
      <c r="AO8" s="59">
        <f t="shared" si="36"/>
        <v>288.23553637727969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56.943881078974997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3.3603333333333336</v>
      </c>
      <c r="BD8" s="12">
        <f>IF('Données projet'!$A$88&gt;35,BD7+BC8-BL7,IF(A8&lt;'Données projet'!$A$88,$BA$205^A8,IF(A8='Données projet'!$A$88,'Données projet'!$B$88,BD7+BC8-BL7)))</f>
        <v>16.801666666666669</v>
      </c>
      <c r="BE8" s="13">
        <f>BD8*VLOOKUP('Données projet'!$B$11,Paramètres!$A$1:$I$89,3,0)*VLOOKUP('Données projet'!$B$11,Paramètres!$A$1:$I$89,5,0)</f>
        <v>17.036890000000003</v>
      </c>
      <c r="BF8" s="13">
        <f t="shared" si="37"/>
        <v>5.6442800138581015</v>
      </c>
      <c r="BG8" s="20">
        <f t="shared" si="7"/>
        <v>39.503037774136196</v>
      </c>
      <c r="BH8" s="59">
        <f t="shared" si="8"/>
        <v>254.40837950815563</v>
      </c>
      <c r="BI8" s="59">
        <f ca="1">AVERAGE(OFFSET($BH$3,0,0,'Données projet'!$E$11+1,1))-AVERAGE(OFFSET($H$3,0,0,'Données projet'!$E$11+1,1))</f>
        <v>559.91818701710872</v>
      </c>
      <c r="BJ8" s="59">
        <f t="shared" si="38"/>
        <v>273.47272623465915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56.943881078974997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1.7094017094017093</v>
      </c>
      <c r="BY8" s="12">
        <f>IF('Données projet'!$A$114&gt;35,BY7+BX8-CG7,IF(A8&lt;'Données projet'!$A$114,$BV$205^A8,IF(A8='Données projet'!$A$114,'Données projet'!$B$114,BY7+BX8-CG7)))</f>
        <v>2.9487987310846742</v>
      </c>
      <c r="BZ8" s="13">
        <f>BY8*VLOOKUP('Données projet'!$B$12,Paramètres!$A$1:$I$89,3,0)*VLOOKUP('Données projet'!$B$12,Paramètres!$A$1:$I$89,5,0)</f>
        <v>2.300063010246046</v>
      </c>
      <c r="CA8" s="13">
        <f t="shared" si="39"/>
        <v>0.96202264180522579</v>
      </c>
      <c r="CB8" s="20">
        <f t="shared" si="10"/>
        <v>5.6814658439892973</v>
      </c>
      <c r="CC8" s="59">
        <f t="shared" si="11"/>
        <v>220.58680757800872</v>
      </c>
      <c r="CD8" s="59">
        <f ca="1">AVERAGE(OFFSET($CC$3,0,0,'Données projet'!$E$12+1,1))-AVERAGE(OFFSET($H$3,0,0,'Données projet'!$E$12+1,1))</f>
        <v>208.92677786250815</v>
      </c>
      <c r="CE8" s="59">
        <f t="shared" si="40"/>
        <v>207.54290142772214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56.943881078974997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4.016578947368421</v>
      </c>
      <c r="CT8" s="12">
        <f>IF('Données projet'!$A$140&gt;35,CT7+CS8-DB7,IF(A8&lt;'Données projet'!$A$140,$CQ$205^A8,IF(A8='Données projet'!$A$140,'Données projet'!$B$140,CT7+CS8-DB7)))</f>
        <v>20.082894736842107</v>
      </c>
      <c r="CU8" s="17">
        <f>CT8*VLOOKUP('Données projet'!$B$13,Paramètres!$A$1:$I$89,3,0)*VLOOKUP('Données projet'!$B$13,Paramètres!$A$1:$I$89,5,0)</f>
        <v>19.110882631578949</v>
      </c>
      <c r="CV8" s="13">
        <f t="shared" si="41"/>
        <v>6.2472909350549983</v>
      </c>
      <c r="CW8" s="20">
        <f t="shared" si="13"/>
        <v>44.16548562855413</v>
      </c>
      <c r="CX8" s="59">
        <f t="shared" si="14"/>
        <v>259.07082736257354</v>
      </c>
      <c r="CY8" s="59">
        <f ca="1">AVERAGE(OFFSET($CX$3,0,0,'Données projet'!$E$13+1,1))-AVERAGE(OFFSET($H$3,0,0,'Données projet'!$E$13+1,1))</f>
        <v>470.42022791389275</v>
      </c>
      <c r="CZ8" s="59">
        <f t="shared" si="42"/>
        <v>300.26117330627346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56.943881078974997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3.3603333333333336</v>
      </c>
      <c r="DO8" s="12">
        <f>IF('Données projet'!$A$166&gt;35,DO7+DN8-DW7,IF(A8&lt;'Données projet'!$A$166,$DL$205^A8,IF(A8='Données projet'!$A$166,'Données projet'!$B$166,DO7+DN8-DW7)))</f>
        <v>16.801666666666669</v>
      </c>
      <c r="DP8" s="17">
        <f>DO8*VLOOKUP('Données projet'!$B$14,Paramètres!$A$1:$I$89,3,0)*VLOOKUP('Données projet'!$B$14,Paramètres!$A$1:$I$89,5,0)</f>
        <v>16.250572000000002</v>
      </c>
      <c r="DQ8" s="13">
        <f t="shared" si="43"/>
        <v>5.4134683993167183</v>
      </c>
      <c r="DR8" s="20">
        <f t="shared" si="16"/>
        <v>37.731537028809953</v>
      </c>
      <c r="DS8" s="59">
        <f t="shared" si="17"/>
        <v>252.63687876282938</v>
      </c>
      <c r="DT8" s="59">
        <f ca="1">AVERAGE(OFFSET($DS$3,0,0,'Données projet'!$E$14+1,1))-AVERAGE(OFFSET($H$3,0,0,'Données projet'!$E$14+1,1))</f>
        <v>537.37164071064103</v>
      </c>
      <c r="DU8" s="59">
        <f t="shared" si="44"/>
        <v>263.29777321132235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56.943881078974997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56.943881078974997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56.943881078974997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56.943881078974997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45">
      <c r="A9" s="10">
        <f t="shared" si="31"/>
        <v>6</v>
      </c>
      <c r="B9" s="73">
        <f>'Scénario référence'!$B$16*5+'Scénario référence'!$B$17*0+'Scénario référence'!$B$18*5</f>
        <v>2.8499999999999996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10.449999999999998</v>
      </c>
      <c r="H9" s="67">
        <f t="shared" si="1"/>
        <v>214.86666666666667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57.170375553145711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5.0894117647058819</v>
      </c>
      <c r="N9" s="13">
        <f>IF('Données projet'!$A$36&gt;35,N8+M9-V8,IF(A9&lt;'Données projet'!$A$36,$K$205^A9,IF(A9='Données projet'!$A$36,'Données projet'!$B$36,N8+M9-V8)))</f>
        <v>2.482944605470975</v>
      </c>
      <c r="O9" s="13">
        <f>N9*VLOOKUP('Données projet'!$B$9,Paramètres!$A$1:$I$89,3,0)*VLOOKUP('Données projet'!$B$9,Paramètres!$A$1:$I$89,5,0)</f>
        <v>2.246568279030138</v>
      </c>
      <c r="P9" s="13">
        <f t="shared" si="33"/>
        <v>0.94222539076696599</v>
      </c>
      <c r="Q9" s="20">
        <f t="shared" si="2"/>
        <v>5.5538156415632898</v>
      </c>
      <c r="R9" s="59">
        <f t="shared" si="0"/>
        <v>222.51185933643089</v>
      </c>
      <c r="S9" s="59">
        <f ca="1">AVERAGE(OFFSET($R$3,0,0,'Données projet'!$E$9+1,1))-AVERAGE(OFFSET($H$3,0,0,'Données projet'!$E$9+1,1))</f>
        <v>719.20816951277925</v>
      </c>
      <c r="T9" s="59">
        <f t="shared" si="34"/>
        <v>237.1127421841087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57.170375553145711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4.9119354838709679</v>
      </c>
      <c r="AI9" s="13">
        <f>IF('Données projet'!$A$62&gt;35,AI8+AH9-AQ8,IF(A9&lt;'Données projet'!$A$62,$AF$205^A9,IF(A9='Données projet'!$A$62,'Données projet'!$B$62,AI8+AH9-AQ8)))</f>
        <v>2.6450962917403449</v>
      </c>
      <c r="AJ9" s="13">
        <f>AI9*VLOOKUP('Données projet'!$B$10,Paramètres!$A$1:$I$89,3,0)*VLOOKUP('Données projet'!$B$10,Paramètres!$A$1:$I$89,5,0)</f>
        <v>2.2282291161620664</v>
      </c>
      <c r="AK9" s="13">
        <f t="shared" si="35"/>
        <v>0.93542588560272921</v>
      </c>
      <c r="AL9" s="20">
        <f t="shared" si="4"/>
        <v>5.5100324614070191</v>
      </c>
      <c r="AM9" s="59">
        <f t="shared" si="5"/>
        <v>222.46807615627461</v>
      </c>
      <c r="AN9" s="59">
        <f ca="1">AVERAGE(OFFSET($AM$3,0,0,'Données projet'!$E$10+1,1))-AVERAGE(OFFSET($H$3,0,0,'Données projet'!$E$10+1,1))</f>
        <v>442.79037205372367</v>
      </c>
      <c r="AO9" s="59">
        <f t="shared" si="36"/>
        <v>288.23553637727969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57.170375553145711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3.3603333333333336</v>
      </c>
      <c r="BD9" s="12">
        <f>IF('Données projet'!$A$88&gt;35,BD8+BC9-BL8,IF(A9&lt;'Données projet'!$A$88,$BA$205^A9,IF(A9='Données projet'!$A$88,'Données projet'!$B$88,BD8+BC9-BL8)))</f>
        <v>20.162000000000003</v>
      </c>
      <c r="BE9" s="13">
        <f>BD9*VLOOKUP('Données projet'!$B$11,Paramètres!$A$1:$I$89,3,0)*VLOOKUP('Données projet'!$B$11,Paramètres!$A$1:$I$89,5,0)</f>
        <v>20.444268000000005</v>
      </c>
      <c r="BF9" s="13">
        <f t="shared" si="37"/>
        <v>6.6309094915603763</v>
      </c>
      <c r="BG9" s="20">
        <f t="shared" si="7"/>
        <v>47.15593413113433</v>
      </c>
      <c r="BH9" s="59">
        <f t="shared" si="8"/>
        <v>264.11397782600193</v>
      </c>
      <c r="BI9" s="59">
        <f ca="1">AVERAGE(OFFSET($BH$3,0,0,'Données projet'!$E$11+1,1))-AVERAGE(OFFSET($H$3,0,0,'Données projet'!$E$11+1,1))</f>
        <v>559.91818701710872</v>
      </c>
      <c r="BJ9" s="59">
        <f t="shared" si="38"/>
        <v>273.47272623465915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57.170375553145711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1.7094017094017093</v>
      </c>
      <c r="BY9" s="12">
        <f>IF('Données projet'!$A$114&gt;35,BY8+BX9-CG8,IF(A9&lt;'Données projet'!$A$114,$BV$205^A9,IF(A9='Données projet'!$A$114,'Données projet'!$B$114,BY8+BX9-CG8)))</f>
        <v>3.6607844430157748</v>
      </c>
      <c r="BZ9" s="13">
        <f>BY9*VLOOKUP('Données projet'!$B$12,Paramètres!$A$1:$I$89,3,0)*VLOOKUP('Données projet'!$B$12,Paramètres!$A$1:$I$89,5,0)</f>
        <v>2.8554118655523042</v>
      </c>
      <c r="CA9" s="13">
        <f t="shared" si="39"/>
        <v>1.1646112502048747</v>
      </c>
      <c r="CB9" s="20">
        <f t="shared" si="10"/>
        <v>7.0015402599437531</v>
      </c>
      <c r="CC9" s="59">
        <f t="shared" si="11"/>
        <v>223.95958395481136</v>
      </c>
      <c r="CD9" s="59">
        <f ca="1">AVERAGE(OFFSET($CC$3,0,0,'Données projet'!$E$12+1,1))-AVERAGE(OFFSET($H$3,0,0,'Données projet'!$E$12+1,1))</f>
        <v>208.92677786250815</v>
      </c>
      <c r="CE9" s="59">
        <f t="shared" si="40"/>
        <v>207.54290142772214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57.170375553145711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4.016578947368421</v>
      </c>
      <c r="CT9" s="12">
        <f>IF('Données projet'!$A$140&gt;35,CT8+CS9-DB8,IF(A9&lt;'Données projet'!$A$140,$CQ$205^A9,IF(A9='Données projet'!$A$140,'Données projet'!$B$140,CT8+CS9-DB8)))</f>
        <v>24.09947368421053</v>
      </c>
      <c r="CU9" s="17">
        <f>CT9*VLOOKUP('Données projet'!$B$13,Paramètres!$A$1:$I$89,3,0)*VLOOKUP('Données projet'!$B$13,Paramètres!$A$1:$I$89,5,0)</f>
        <v>22.933059157894743</v>
      </c>
      <c r="CV9" s="13">
        <f t="shared" si="41"/>
        <v>7.3393277186968353</v>
      </c>
      <c r="CW9" s="20">
        <f t="shared" si="13"/>
        <v>52.724407143396995</v>
      </c>
      <c r="CX9" s="59">
        <f t="shared" si="14"/>
        <v>269.68245083826457</v>
      </c>
      <c r="CY9" s="59">
        <f ca="1">AVERAGE(OFFSET($CX$3,0,0,'Données projet'!$E$13+1,1))-AVERAGE(OFFSET($H$3,0,0,'Données projet'!$E$13+1,1))</f>
        <v>470.42022791389275</v>
      </c>
      <c r="CZ9" s="59">
        <f t="shared" si="42"/>
        <v>300.26117330627346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57.170375553145711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3.3603333333333336</v>
      </c>
      <c r="DO9" s="12">
        <f>IF('Données projet'!$A$166&gt;35,DO8+DN9-DW8,IF(A9&lt;'Données projet'!$A$166,$DL$205^A9,IF(A9='Données projet'!$A$166,'Données projet'!$B$166,DO8+DN9-DW8)))</f>
        <v>20.162000000000003</v>
      </c>
      <c r="DP9" s="17">
        <f>DO9*VLOOKUP('Données projet'!$B$14,Paramètres!$A$1:$I$89,3,0)*VLOOKUP('Données projet'!$B$14,Paramètres!$A$1:$I$89,5,0)</f>
        <v>19.500686400000003</v>
      </c>
      <c r="DQ9" s="13">
        <f t="shared" si="43"/>
        <v>6.3597516252130122</v>
      </c>
      <c r="DR9" s="20">
        <f t="shared" si="16"/>
        <v>45.040262893912661</v>
      </c>
      <c r="DS9" s="59">
        <f t="shared" si="17"/>
        <v>261.99830658878028</v>
      </c>
      <c r="DT9" s="59">
        <f ca="1">AVERAGE(OFFSET($DS$3,0,0,'Données projet'!$E$14+1,1))-AVERAGE(OFFSET($H$3,0,0,'Données projet'!$E$14+1,1))</f>
        <v>537.37164071064103</v>
      </c>
      <c r="DU9" s="59">
        <f t="shared" si="44"/>
        <v>263.29777321132235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57.170375553145711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57.170375553145711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57.170375553145711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57.170375553145711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45">
      <c r="A10" s="10">
        <f t="shared" si="31"/>
        <v>7</v>
      </c>
      <c r="B10" s="73">
        <f>'Scénario référence'!$B$16*5+'Scénario référence'!$B$17*0+'Scénario référence'!$B$18*5</f>
        <v>2.8499999999999996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10.449999999999998</v>
      </c>
      <c r="H10" s="67">
        <f t="shared" si="1"/>
        <v>214.86666666666667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57.392940854555356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5.0894117647058819</v>
      </c>
      <c r="N10" s="13">
        <f>IF('Données projet'!$A$36&gt;35,N9+M10-V9,IF(A10&lt;'Données projet'!$A$36,$K$205^A10,IF(A10='Données projet'!$A$36,'Données projet'!$B$36,N9+M10-V9)))</f>
        <v>2.8893148451696504</v>
      </c>
      <c r="O10" s="13">
        <f>N10*VLOOKUP('Données projet'!$B$9,Paramètres!$A$1:$I$89,3,0)*VLOOKUP('Données projet'!$B$9,Paramètres!$A$1:$I$89,5,0)</f>
        <v>2.6142520719094997</v>
      </c>
      <c r="P10" s="13">
        <f t="shared" si="33"/>
        <v>1.0772593725826609</v>
      </c>
      <c r="Q10" s="20">
        <f t="shared" si="2"/>
        <v>6.4293824324905131</v>
      </c>
      <c r="R10" s="59">
        <f t="shared" si="0"/>
        <v>225.42572112141571</v>
      </c>
      <c r="S10" s="59">
        <f ca="1">AVERAGE(OFFSET($R$3,0,0,'Données projet'!$E$9+1,1))-AVERAGE(OFFSET($H$3,0,0,'Données projet'!$E$9+1,1))</f>
        <v>719.20816951277925</v>
      </c>
      <c r="T10" s="59">
        <f t="shared" si="34"/>
        <v>237.1127421841087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57.392940854555356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4.9119354838709679</v>
      </c>
      <c r="AI10" s="13">
        <f>IF('Données projet'!$A$62&gt;35,AI9+AH10-AQ9,IF(A10&lt;'Données projet'!$A$62,$AF$205^A10,IF(A10='Données projet'!$A$62,'Données projet'!$B$62,AI9+AH10-AQ9)))</f>
        <v>3.110630321824094</v>
      </c>
      <c r="AJ10" s="13">
        <f>AI10*VLOOKUP('Données projet'!$B$10,Paramètres!$A$1:$I$89,3,0)*VLOOKUP('Données projet'!$B$10,Paramètres!$A$1:$I$89,5,0)</f>
        <v>2.6203949831046174</v>
      </c>
      <c r="AK10" s="13">
        <f t="shared" si="35"/>
        <v>1.0794957413563466</v>
      </c>
      <c r="AL10" s="20">
        <f t="shared" si="4"/>
        <v>6.443976345102846</v>
      </c>
      <c r="AM10" s="59">
        <f t="shared" si="5"/>
        <v>225.44031503402803</v>
      </c>
      <c r="AN10" s="59">
        <f ca="1">AVERAGE(OFFSET($AM$3,0,0,'Données projet'!$E$10+1,1))-AVERAGE(OFFSET($H$3,0,0,'Données projet'!$E$10+1,1))</f>
        <v>442.79037205372367</v>
      </c>
      <c r="AO10" s="59">
        <f t="shared" si="36"/>
        <v>288.23553637727969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57.392940854555356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3.3603333333333336</v>
      </c>
      <c r="BD10" s="12">
        <f>IF('Données projet'!$A$88&gt;35,BD9+BC10-BL9,IF(A10&lt;'Données projet'!$A$88,$BA$205^A10,IF(A10='Données projet'!$A$88,'Données projet'!$B$88,BD9+BC10-BL9)))</f>
        <v>23.522333333333336</v>
      </c>
      <c r="BE10" s="13">
        <f>BD10*VLOOKUP('Données projet'!$B$11,Paramètres!$A$1:$I$89,3,0)*VLOOKUP('Données projet'!$B$11,Paramètres!$A$1:$I$89,5,0)</f>
        <v>23.851646000000006</v>
      </c>
      <c r="BF10" s="13">
        <f t="shared" si="37"/>
        <v>7.5984897747645288</v>
      </c>
      <c r="BG10" s="20">
        <f t="shared" si="7"/>
        <v>54.775653141048224</v>
      </c>
      <c r="BH10" s="59">
        <f t="shared" si="8"/>
        <v>273.77199182997344</v>
      </c>
      <c r="BI10" s="59">
        <f ca="1">AVERAGE(OFFSET($BH$3,0,0,'Données projet'!$E$11+1,1))-AVERAGE(OFFSET($H$3,0,0,'Données projet'!$E$11+1,1))</f>
        <v>559.91818701710872</v>
      </c>
      <c r="BJ10" s="59">
        <f t="shared" si="38"/>
        <v>273.47272623465915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57.392940854555356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1.7094017094017093</v>
      </c>
      <c r="BY10" s="12">
        <f>IF('Données projet'!$A$114&gt;35,BY9+BX10-CG9,IF(A10&lt;'Données projet'!$A$114,$BV$205^A10,IF(A10='Données projet'!$A$114,'Données projet'!$B$114,BY9+BX10-CG9)))</f>
        <v>4.544678684562788</v>
      </c>
      <c r="BZ10" s="13">
        <f>BY10*VLOOKUP('Données projet'!$B$12,Paramètres!$A$1:$I$89,3,0)*VLOOKUP('Données projet'!$B$12,Paramètres!$A$1:$I$89,5,0)</f>
        <v>3.5448493739589746</v>
      </c>
      <c r="CA10" s="13">
        <f t="shared" si="39"/>
        <v>1.4098622061104944</v>
      </c>
      <c r="CB10" s="20">
        <f t="shared" si="10"/>
        <v>8.6294560019543258</v>
      </c>
      <c r="CC10" s="59">
        <f t="shared" si="11"/>
        <v>227.62579469087953</v>
      </c>
      <c r="CD10" s="59">
        <f ca="1">AVERAGE(OFFSET($CC$3,0,0,'Données projet'!$E$12+1,1))-AVERAGE(OFFSET($H$3,0,0,'Données projet'!$E$12+1,1))</f>
        <v>208.92677786250815</v>
      </c>
      <c r="CE10" s="59">
        <f t="shared" si="40"/>
        <v>207.54290142772214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57.392940854555356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4.016578947368421</v>
      </c>
      <c r="CT10" s="12">
        <f>IF('Données projet'!$A$140&gt;35,CT9+CS10-DB9,IF(A10&lt;'Données projet'!$A$140,$CQ$205^A10,IF(A10='Données projet'!$A$140,'Données projet'!$B$140,CT9+CS10-DB9)))</f>
        <v>28.116052631578953</v>
      </c>
      <c r="CU10" s="17">
        <f>CT10*VLOOKUP('Données projet'!$B$13,Paramètres!$A$1:$I$89,3,0)*VLOOKUP('Données projet'!$B$13,Paramètres!$A$1:$I$89,5,0)</f>
        <v>26.755235684210533</v>
      </c>
      <c r="CV10" s="13">
        <f t="shared" si="41"/>
        <v>8.4102801727490544</v>
      </c>
      <c r="CW10" s="20">
        <f t="shared" si="13"/>
        <v>61.246606784204609</v>
      </c>
      <c r="CX10" s="59">
        <f t="shared" si="14"/>
        <v>280.24294547312979</v>
      </c>
      <c r="CY10" s="59">
        <f ca="1">AVERAGE(OFFSET($CX$3,0,0,'Données projet'!$E$13+1,1))-AVERAGE(OFFSET($H$3,0,0,'Données projet'!$E$13+1,1))</f>
        <v>470.42022791389275</v>
      </c>
      <c r="CZ10" s="59">
        <f t="shared" si="42"/>
        <v>300.26117330627346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57.392940854555356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3.3603333333333336</v>
      </c>
      <c r="DO10" s="12">
        <f>IF('Données projet'!$A$166&gt;35,DO9+DN10-DW9,IF(A10&lt;'Données projet'!$A$166,$DL$205^A10,IF(A10='Données projet'!$A$166,'Données projet'!$B$166,DO9+DN10-DW9)))</f>
        <v>23.522333333333336</v>
      </c>
      <c r="DP10" s="17">
        <f>DO10*VLOOKUP('Données projet'!$B$14,Paramètres!$A$1:$I$89,3,0)*VLOOKUP('Données projet'!$B$14,Paramètres!$A$1:$I$89,5,0)</f>
        <v>22.750800800000004</v>
      </c>
      <c r="DQ10" s="13">
        <f t="shared" si="43"/>
        <v>7.2877646355645735</v>
      </c>
      <c r="DR10" s="20">
        <f t="shared" si="16"/>
        <v>52.317168133608305</v>
      </c>
      <c r="DS10" s="59">
        <f t="shared" si="17"/>
        <v>271.3135068225335</v>
      </c>
      <c r="DT10" s="59">
        <f ca="1">AVERAGE(OFFSET($DS$3,0,0,'Données projet'!$E$14+1,1))-AVERAGE(OFFSET($H$3,0,0,'Données projet'!$E$14+1,1))</f>
        <v>537.37164071064103</v>
      </c>
      <c r="DU10" s="59">
        <f t="shared" si="44"/>
        <v>263.29777321132235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57.392940854555356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57.392940854555356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57.392940854555356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57.392940854555356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45">
      <c r="A11" s="10">
        <f t="shared" si="31"/>
        <v>8</v>
      </c>
      <c r="B11" s="73">
        <f>'Scénario référence'!$B$16*5+'Scénario référence'!$B$17*0+'Scénario référence'!$B$18*5</f>
        <v>2.8499999999999996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10.449999999999998</v>
      </c>
      <c r="H11" s="67">
        <f t="shared" si="1"/>
        <v>214.86666666666667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57.61164514556701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5.0894117647058819</v>
      </c>
      <c r="N11" s="13">
        <f>IF('Données projet'!$A$36&gt;35,N10+M11-V10,IF(A11&lt;'Données projet'!$A$36,$K$205^A11,IF(A11='Données projet'!$A$36,'Données projet'!$B$36,N10+M11-V10)))</f>
        <v>3.3621935246252548</v>
      </c>
      <c r="O11" s="13">
        <f>N11*VLOOKUP('Données projet'!$B$9,Paramètres!$A$1:$I$89,3,0)*VLOOKUP('Données projet'!$B$9,Paramètres!$A$1:$I$89,5,0)</f>
        <v>3.0421127010809306</v>
      </c>
      <c r="P11" s="13">
        <f t="shared" si="33"/>
        <v>1.2316455990137962</v>
      </c>
      <c r="Q11" s="20">
        <f t="shared" si="2"/>
        <v>7.4434623726649827</v>
      </c>
      <c r="R11" s="59">
        <f t="shared" si="0"/>
        <v>228.4639390175218</v>
      </c>
      <c r="S11" s="59">
        <f ca="1">AVERAGE(OFFSET($R$3,0,0,'Données projet'!$E$9+1,1))-AVERAGE(OFFSET($H$3,0,0,'Données projet'!$E$9+1,1))</f>
        <v>719.20816951277925</v>
      </c>
      <c r="T11" s="59">
        <f t="shared" si="34"/>
        <v>237.1127421841087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57.61164514556701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4.9119354838709679</v>
      </c>
      <c r="AI11" s="13">
        <f>IF('Données projet'!$A$62&gt;35,AI10+AH11-AQ10,IF(A11&lt;'Données projet'!$A$62,$AF$205^A11,IF(A11='Données projet'!$A$62,'Données projet'!$B$62,AI10+AH11-AQ10)))</f>
        <v>3.6580978277675915</v>
      </c>
      <c r="AJ11" s="13">
        <f>AI11*VLOOKUP('Données projet'!$B$10,Paramètres!$A$1:$I$89,3,0)*VLOOKUP('Données projet'!$B$10,Paramètres!$A$1:$I$89,5,0)</f>
        <v>3.0815816101114191</v>
      </c>
      <c r="AK11" s="13">
        <f t="shared" si="35"/>
        <v>1.2457545525967939</v>
      </c>
      <c r="AL11" s="20">
        <f t="shared" si="4"/>
        <v>7.5367771500501375</v>
      </c>
      <c r="AM11" s="59">
        <f t="shared" si="5"/>
        <v>228.55725379490696</v>
      </c>
      <c r="AN11" s="59">
        <f ca="1">AVERAGE(OFFSET($AM$3,0,0,'Données projet'!$E$10+1,1))-AVERAGE(OFFSET($H$3,0,0,'Données projet'!$E$10+1,1))</f>
        <v>442.79037205372367</v>
      </c>
      <c r="AO11" s="59">
        <f t="shared" si="36"/>
        <v>288.23553637727969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57.61164514556701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3.3603333333333336</v>
      </c>
      <c r="BD11" s="12">
        <f>IF('Données projet'!$A$88&gt;35,BD10+BC11-BL10,IF(A11&lt;'Données projet'!$A$88,$BA$205^A11,IF(A11='Données projet'!$A$88,'Données projet'!$B$88,BD10+BC11-BL10)))</f>
        <v>26.882666666666669</v>
      </c>
      <c r="BE11" s="13">
        <f>BD11*VLOOKUP('Données projet'!$B$11,Paramètres!$A$1:$I$89,3,0)*VLOOKUP('Données projet'!$B$11,Paramètres!$A$1:$I$89,5,0)</f>
        <v>27.259024000000004</v>
      </c>
      <c r="BF11" s="13">
        <f t="shared" si="37"/>
        <v>8.5500561674742812</v>
      </c>
      <c r="BG11" s="20">
        <f t="shared" si="7"/>
        <v>62.367481291684378</v>
      </c>
      <c r="BH11" s="59">
        <f t="shared" si="8"/>
        <v>283.38795793654117</v>
      </c>
      <c r="BI11" s="59">
        <f ca="1">AVERAGE(OFFSET($BH$3,0,0,'Données projet'!$E$11+1,1))-AVERAGE(OFFSET($H$3,0,0,'Données projet'!$E$11+1,1))</f>
        <v>559.91818701710872</v>
      </c>
      <c r="BJ11" s="59">
        <f t="shared" si="38"/>
        <v>273.47272623465915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57.61164514556701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1.7094017094017093</v>
      </c>
      <c r="BY11" s="12">
        <f>IF('Données projet'!$A$114&gt;35,BY10+BX11-CG10,IF(A11&lt;'Données projet'!$A$114,$BV$205^A11,IF(A11='Données projet'!$A$114,'Données projet'!$B$114,BY10+BX11-CG10)))</f>
        <v>5.6419886686647915</v>
      </c>
      <c r="BZ11" s="13">
        <f>BY11*VLOOKUP('Données projet'!$B$12,Paramètres!$A$1:$I$89,3,0)*VLOOKUP('Données projet'!$B$12,Paramètres!$A$1:$I$89,5,0)</f>
        <v>4.4007511615585377</v>
      </c>
      <c r="CA11" s="13">
        <f t="shared" si="39"/>
        <v>1.7067596074390303</v>
      </c>
      <c r="CB11" s="20">
        <f t="shared" si="10"/>
        <v>10.637247922670763</v>
      </c>
      <c r="CC11" s="59">
        <f t="shared" si="11"/>
        <v>231.65772456752757</v>
      </c>
      <c r="CD11" s="59">
        <f ca="1">AVERAGE(OFFSET($CC$3,0,0,'Données projet'!$E$12+1,1))-AVERAGE(OFFSET($H$3,0,0,'Données projet'!$E$12+1,1))</f>
        <v>208.92677786250815</v>
      </c>
      <c r="CE11" s="59">
        <f t="shared" si="40"/>
        <v>207.54290142772214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57.61164514556701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4.016578947368421</v>
      </c>
      <c r="CT11" s="12">
        <f>IF('Données projet'!$A$140&gt;35,CT10+CS11-DB10,IF(A11&lt;'Données projet'!$A$140,$CQ$205^A11,IF(A11='Données projet'!$A$140,'Données projet'!$B$140,CT10+CS11-DB10)))</f>
        <v>32.132631578947375</v>
      </c>
      <c r="CU11" s="17">
        <f>CT11*VLOOKUP('Données projet'!$B$13,Paramètres!$A$1:$I$89,3,0)*VLOOKUP('Données projet'!$B$13,Paramètres!$A$1:$I$89,5,0)</f>
        <v>30.577412210526322</v>
      </c>
      <c r="CV11" s="13">
        <f t="shared" si="41"/>
        <v>9.4635078802126973</v>
      </c>
      <c r="CW11" s="20">
        <f t="shared" si="13"/>
        <v>69.737935824703797</v>
      </c>
      <c r="CX11" s="59">
        <f t="shared" si="14"/>
        <v>290.7584124695606</v>
      </c>
      <c r="CY11" s="59">
        <f ca="1">AVERAGE(OFFSET($CX$3,0,0,'Données projet'!$E$13+1,1))-AVERAGE(OFFSET($H$3,0,0,'Données projet'!$E$13+1,1))</f>
        <v>470.42022791389275</v>
      </c>
      <c r="CZ11" s="59">
        <f t="shared" si="42"/>
        <v>300.26117330627346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57.61164514556701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3.3603333333333336</v>
      </c>
      <c r="DO11" s="12">
        <f>IF('Données projet'!$A$166&gt;35,DO10+DN11-DW10,IF(A11&lt;'Données projet'!$A$166,$DL$205^A11,IF(A11='Données projet'!$A$166,'Données projet'!$B$166,DO10+DN11-DW10)))</f>
        <v>26.882666666666669</v>
      </c>
      <c r="DP11" s="17">
        <f>DO11*VLOOKUP('Données projet'!$B$14,Paramètres!$A$1:$I$89,3,0)*VLOOKUP('Données projet'!$B$14,Paramètres!$A$1:$I$89,5,0)</f>
        <v>26.000915200000001</v>
      </c>
      <c r="DQ11" s="13">
        <f t="shared" si="43"/>
        <v>8.2004186116498072</v>
      </c>
      <c r="DR11" s="20">
        <f t="shared" si="16"/>
        <v>59.567323055290082</v>
      </c>
      <c r="DS11" s="59">
        <f t="shared" si="17"/>
        <v>280.58779970014689</v>
      </c>
      <c r="DT11" s="59">
        <f ca="1">AVERAGE(OFFSET($DS$3,0,0,'Données projet'!$E$14+1,1))-AVERAGE(OFFSET($H$3,0,0,'Données projet'!$E$14+1,1))</f>
        <v>537.37164071064103</v>
      </c>
      <c r="DU11" s="59">
        <f t="shared" si="44"/>
        <v>263.29777321132235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57.61164514556701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57.61164514556701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57.61164514556701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57.61164514556701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45">
      <c r="A12" s="10">
        <f t="shared" si="31"/>
        <v>9</v>
      </c>
      <c r="B12" s="73">
        <f>'Scénario référence'!$B$16*5+'Scénario référence'!$B$17*0+'Scénario référence'!$B$18*5</f>
        <v>2.8499999999999996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10.449999999999998</v>
      </c>
      <c r="H12" s="67">
        <f t="shared" si="1"/>
        <v>214.86666666666667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57.826555406079166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5.0894117647058819</v>
      </c>
      <c r="N12" s="13">
        <f>IF('Données projet'!$A$36&gt;35,N11+M12-V11,IF(A12&lt;'Données projet'!$A$36,$K$205^A12,IF(A12='Données projet'!$A$36,'Données projet'!$B$36,N11+M12-V11)))</f>
        <v>3.9124657238135789</v>
      </c>
      <c r="O12" s="13">
        <f>N12*VLOOKUP('Données projet'!$B$9,Paramètres!$A$1:$I$89,3,0)*VLOOKUP('Données projet'!$B$9,Paramètres!$A$1:$I$89,5,0)</f>
        <v>3.5399989869065265</v>
      </c>
      <c r="P12" s="13">
        <f t="shared" si="33"/>
        <v>1.4081575154303458</v>
      </c>
      <c r="Q12" s="20">
        <f t="shared" si="2"/>
        <v>8.6180392415700524</v>
      </c>
      <c r="R12" s="59">
        <f t="shared" si="0"/>
        <v>231.64874239719367</v>
      </c>
      <c r="S12" s="59">
        <f ca="1">AVERAGE(OFFSET($R$3,0,0,'Données projet'!$E$9+1,1))-AVERAGE(OFFSET($H$3,0,0,'Données projet'!$E$9+1,1))</f>
        <v>719.20816951277925</v>
      </c>
      <c r="T12" s="59">
        <f t="shared" si="34"/>
        <v>237.1127421841087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57.826555406079166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4.9119354838709679</v>
      </c>
      <c r="AI12" s="13">
        <f>IF('Données projet'!$A$62&gt;35,AI11+AH12-AQ11,IF(A12&lt;'Données projet'!$A$62,$AF$205^A12,IF(A12='Données projet'!$A$62,'Données projet'!$B$62,AI11+AH12-AQ11)))</f>
        <v>4.3019190109581604</v>
      </c>
      <c r="AJ12" s="13">
        <f>AI12*VLOOKUP('Données projet'!$B$10,Paramètres!$A$1:$I$89,3,0)*VLOOKUP('Données projet'!$B$10,Paramètres!$A$1:$I$89,5,0)</f>
        <v>3.6239365748311547</v>
      </c>
      <c r="AK12" s="13">
        <f t="shared" si="35"/>
        <v>1.4376197569484881</v>
      </c>
      <c r="AL12" s="20">
        <f t="shared" si="4"/>
        <v>8.8155439445162127</v>
      </c>
      <c r="AM12" s="59">
        <f t="shared" si="5"/>
        <v>231.84624710013983</v>
      </c>
      <c r="AN12" s="59">
        <f ca="1">AVERAGE(OFFSET($AM$3,0,0,'Données projet'!$E$10+1,1))-AVERAGE(OFFSET($H$3,0,0,'Données projet'!$E$10+1,1))</f>
        <v>442.79037205372367</v>
      </c>
      <c r="AO12" s="59">
        <f t="shared" si="36"/>
        <v>288.23553637727969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57.826555406079166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3.3603333333333336</v>
      </c>
      <c r="BD12" s="12">
        <f>IF('Données projet'!$A$88&gt;35,BD11+BC12-BL11,IF(A12&lt;'Données projet'!$A$88,$BA$205^A12,IF(A12='Données projet'!$A$88,'Données projet'!$B$88,BD11+BC12-BL11)))</f>
        <v>30.243000000000002</v>
      </c>
      <c r="BE12" s="13">
        <f>BD12*VLOOKUP('Données projet'!$B$11,Paramètres!$A$1:$I$89,3,0)*VLOOKUP('Données projet'!$B$11,Paramètres!$A$1:$I$89,5,0)</f>
        <v>30.666402000000005</v>
      </c>
      <c r="BF12" s="13">
        <f t="shared" si="37"/>
        <v>9.4878396567445336</v>
      </c>
      <c r="BG12" s="20">
        <f t="shared" si="7"/>
        <v>69.935304218830069</v>
      </c>
      <c r="BH12" s="59">
        <f t="shared" si="8"/>
        <v>292.96600737445368</v>
      </c>
      <c r="BI12" s="59">
        <f ca="1">AVERAGE(OFFSET($BH$3,0,0,'Données projet'!$E$11+1,1))-AVERAGE(OFFSET($H$3,0,0,'Données projet'!$E$11+1,1))</f>
        <v>559.91818701710872</v>
      </c>
      <c r="BJ12" s="59">
        <f t="shared" si="38"/>
        <v>273.47272623465915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57.826555406079166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1.7094017094017093</v>
      </c>
      <c r="BY12" s="12">
        <f>IF('Données projet'!$A$114&gt;35,BY11+BX12-CG11,IF(A12&lt;'Données projet'!$A$114,$BV$205^A12,IF(A12='Données projet'!$A$114,'Données projet'!$B$114,BY11+BX12-CG11)))</f>
        <v>7.0042435003090322</v>
      </c>
      <c r="BZ12" s="13">
        <f>BY12*VLOOKUP('Données projet'!$B$12,Paramètres!$A$1:$I$89,3,0)*VLOOKUP('Données projet'!$B$12,Paramètres!$A$1:$I$89,5,0)</f>
        <v>5.4633099302410457</v>
      </c>
      <c r="CA12" s="13">
        <f t="shared" si="39"/>
        <v>2.0661794783632437</v>
      </c>
      <c r="CB12" s="20">
        <f t="shared" si="10"/>
        <v>13.113860719985803</v>
      </c>
      <c r="CC12" s="59">
        <f t="shared" si="11"/>
        <v>236.14456387560944</v>
      </c>
      <c r="CD12" s="59">
        <f ca="1">AVERAGE(OFFSET($CC$3,0,0,'Données projet'!$E$12+1,1))-AVERAGE(OFFSET($H$3,0,0,'Données projet'!$E$12+1,1))</f>
        <v>208.92677786250815</v>
      </c>
      <c r="CE12" s="59">
        <f t="shared" si="40"/>
        <v>207.54290142772214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57.826555406079166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4.016578947368421</v>
      </c>
      <c r="CT12" s="12">
        <f>IF('Données projet'!$A$140&gt;35,CT11+CS12-DB11,IF(A12&lt;'Données projet'!$A$140,$CQ$205^A12,IF(A12='Données projet'!$A$140,'Données projet'!$B$140,CT11+CS12-DB11)))</f>
        <v>36.149210526315798</v>
      </c>
      <c r="CU12" s="17">
        <f>CT12*VLOOKUP('Données projet'!$B$13,Paramètres!$A$1:$I$89,3,0)*VLOOKUP('Données projet'!$B$13,Paramètres!$A$1:$I$89,5,0)</f>
        <v>34.399588736842112</v>
      </c>
      <c r="CV12" s="13">
        <f t="shared" si="41"/>
        <v>10.501480177330832</v>
      </c>
      <c r="CW12" s="20">
        <f t="shared" si="13"/>
        <v>78.202695025517883</v>
      </c>
      <c r="CX12" s="59">
        <f t="shared" si="14"/>
        <v>301.23339818114152</v>
      </c>
      <c r="CY12" s="59">
        <f ca="1">AVERAGE(OFFSET($CX$3,0,0,'Données projet'!$E$13+1,1))-AVERAGE(OFFSET($H$3,0,0,'Données projet'!$E$13+1,1))</f>
        <v>470.42022791389275</v>
      </c>
      <c r="CZ12" s="59">
        <f t="shared" si="42"/>
        <v>300.26117330627346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57.826555406079166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3.3603333333333336</v>
      </c>
      <c r="DO12" s="12">
        <f>IF('Données projet'!$A$166&gt;35,DO11+DN12-DW11,IF(A12&lt;'Données projet'!$A$166,$DL$205^A12,IF(A12='Données projet'!$A$166,'Données projet'!$B$166,DO11+DN12-DW11)))</f>
        <v>30.243000000000002</v>
      </c>
      <c r="DP12" s="17">
        <f>DO12*VLOOKUP('Données projet'!$B$14,Paramètres!$A$1:$I$89,3,0)*VLOOKUP('Données projet'!$B$14,Paramètres!$A$1:$I$89,5,0)</f>
        <v>29.251029600000003</v>
      </c>
      <c r="DQ12" s="13">
        <f t="shared" si="43"/>
        <v>9.0998533087415616</v>
      </c>
      <c r="DR12" s="20">
        <f t="shared" si="16"/>
        <v>66.794454399391569</v>
      </c>
      <c r="DS12" s="59">
        <f t="shared" si="17"/>
        <v>289.82515755501521</v>
      </c>
      <c r="DT12" s="59">
        <f ca="1">AVERAGE(OFFSET($DS$3,0,0,'Données projet'!$E$14+1,1))-AVERAGE(OFFSET($H$3,0,0,'Données projet'!$E$14+1,1))</f>
        <v>537.37164071064103</v>
      </c>
      <c r="DU12" s="59">
        <f t="shared" si="44"/>
        <v>263.29777321132235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57.826555406079166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57.826555406079166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57.826555406079166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57.826555406079166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45">
      <c r="A13" s="10">
        <f t="shared" si="31"/>
        <v>10</v>
      </c>
      <c r="B13" s="73">
        <f>'Scénario référence'!$B$16*5+'Scénario référence'!$B$17*0+'Scénario référence'!$B$18*5</f>
        <v>2.8499999999999996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10.449999999999998</v>
      </c>
      <c r="H13" s="67">
        <f t="shared" si="1"/>
        <v>214.86666666666667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58.03773745403879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5.0894117647058819</v>
      </c>
      <c r="N13" s="13">
        <f>IF('Données projet'!$A$36&gt;35,N12+M13-V12,IF(A13&lt;'Données projet'!$A$36,$K$205^A13,IF(A13='Données projet'!$A$36,'Données projet'!$B$36,N12+M13-V12)))</f>
        <v>4.5527980254266449</v>
      </c>
      <c r="O13" s="13">
        <f>N13*VLOOKUP('Données projet'!$B$9,Paramètres!$A$1:$I$89,3,0)*VLOOKUP('Données projet'!$B$9,Paramètres!$A$1:$I$89,5,0)</f>
        <v>4.1193716534060281</v>
      </c>
      <c r="P13" s="13">
        <f t="shared" si="33"/>
        <v>1.6099660404346177</v>
      </c>
      <c r="Q13" s="20">
        <f t="shared" si="2"/>
        <v>9.9785964834391248</v>
      </c>
      <c r="R13" s="59">
        <f t="shared" si="0"/>
        <v>235.00585603713694</v>
      </c>
      <c r="S13" s="59">
        <f ca="1">AVERAGE(OFFSET($R$3,0,0,'Données projet'!$E$9+1,1))-AVERAGE(OFFSET($H$3,0,0,'Données projet'!$E$9+1,1))</f>
        <v>719.20816951277925</v>
      </c>
      <c r="T13" s="59">
        <f t="shared" si="34"/>
        <v>237.1127421841087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58.03773745403879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4.9119354838709679</v>
      </c>
      <c r="AI13" s="13">
        <f>IF('Données projet'!$A$62&gt;35,AI12+AH13-AQ12,IF(A13&lt;'Données projet'!$A$62,$AF$205^A13,IF(A13='Données projet'!$A$62,'Données projet'!$B$62,AI12+AH13-AQ12)))</f>
        <v>5.0590520123233302</v>
      </c>
      <c r="AJ13" s="13">
        <f>AI13*VLOOKUP('Données projet'!$B$10,Paramètres!$A$1:$I$89,3,0)*VLOOKUP('Données projet'!$B$10,Paramètres!$A$1:$I$89,5,0)</f>
        <v>4.2617454151811742</v>
      </c>
      <c r="AK13" s="13">
        <f t="shared" si="35"/>
        <v>1.6590351295610017</v>
      </c>
      <c r="AL13" s="20">
        <f t="shared" si="4"/>
        <v>10.312026115425956</v>
      </c>
      <c r="AM13" s="59">
        <f t="shared" si="5"/>
        <v>235.33928566912377</v>
      </c>
      <c r="AN13" s="59">
        <f ca="1">AVERAGE(OFFSET($AM$3,0,0,'Données projet'!$E$10+1,1))-AVERAGE(OFFSET($H$3,0,0,'Données projet'!$E$10+1,1))</f>
        <v>442.79037205372367</v>
      </c>
      <c r="AO13" s="59">
        <f t="shared" si="36"/>
        <v>288.23553637727969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58.03773745403879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3.3603333333333336</v>
      </c>
      <c r="BD13" s="12">
        <f>IF('Données projet'!$A$88&gt;35,BD12+BC13-BL12,IF(A13&lt;'Données projet'!$A$88,$BA$205^A13,IF(A13='Données projet'!$A$88,'Données projet'!$B$88,BD12+BC13-BL12)))</f>
        <v>33.603333333333339</v>
      </c>
      <c r="BE13" s="13">
        <f>BD13*VLOOKUP('Données projet'!$B$11,Paramètres!$A$1:$I$89,3,0)*VLOOKUP('Données projet'!$B$11,Paramètres!$A$1:$I$89,5,0)</f>
        <v>34.073780000000006</v>
      </c>
      <c r="BF13" s="13">
        <f t="shared" si="37"/>
        <v>10.413546370029898</v>
      </c>
      <c r="BG13" s="20">
        <f t="shared" si="7"/>
        <v>77.482093427802084</v>
      </c>
      <c r="BH13" s="59">
        <f t="shared" si="8"/>
        <v>302.50935298149989</v>
      </c>
      <c r="BI13" s="59">
        <f ca="1">AVERAGE(OFFSET($BH$3,0,0,'Données projet'!$E$11+1,1))-AVERAGE(OFFSET($H$3,0,0,'Données projet'!$E$11+1,1))</f>
        <v>559.91818701710872</v>
      </c>
      <c r="BJ13" s="59">
        <f t="shared" si="38"/>
        <v>273.47272623465915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58.03773745403879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1.7094017094017093</v>
      </c>
      <c r="BY13" s="12">
        <f>IF('Données projet'!$A$114&gt;35,BY12+BX13-CG12,IF(A13&lt;'Données projet'!$A$114,$BV$205^A13,IF(A13='Données projet'!$A$114,'Données projet'!$B$114,BY12+BX13-CG12)))</f>
        <v>8.6954139564465862</v>
      </c>
      <c r="BZ13" s="13">
        <f>BY13*VLOOKUP('Données projet'!$B$12,Paramètres!$A$1:$I$89,3,0)*VLOOKUP('Données projet'!$B$12,Paramètres!$A$1:$I$89,5,0)</f>
        <v>6.7824228860283373</v>
      </c>
      <c r="CA13" s="13">
        <f t="shared" si="39"/>
        <v>2.5012881827073041</v>
      </c>
      <c r="CB13" s="20">
        <f t="shared" si="10"/>
        <v>16.169130111381239</v>
      </c>
      <c r="CC13" s="59">
        <f t="shared" si="11"/>
        <v>241.19638966507904</v>
      </c>
      <c r="CD13" s="59">
        <f ca="1">AVERAGE(OFFSET($CC$3,0,0,'Données projet'!$E$12+1,1))-AVERAGE(OFFSET($H$3,0,0,'Données projet'!$E$12+1,1))</f>
        <v>208.92677786250815</v>
      </c>
      <c r="CE13" s="59">
        <f t="shared" si="40"/>
        <v>207.54290142772214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58.03773745403879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4.016578947368421</v>
      </c>
      <c r="CT13" s="12">
        <f>IF('Données projet'!$A$140&gt;35,CT12+CS13-DB12,IF(A13&lt;'Données projet'!$A$140,$CQ$205^A13,IF(A13='Données projet'!$A$140,'Données projet'!$B$140,CT12+CS13-DB12)))</f>
        <v>40.165789473684221</v>
      </c>
      <c r="CU13" s="17">
        <f>CT13*VLOOKUP('Données projet'!$B$13,Paramètres!$A$1:$I$89,3,0)*VLOOKUP('Données projet'!$B$13,Paramètres!$A$1:$I$89,5,0)</f>
        <v>38.221765263157906</v>
      </c>
      <c r="CV13" s="13">
        <f t="shared" si="41"/>
        <v>11.52608546697418</v>
      </c>
      <c r="CW13" s="20">
        <f t="shared" si="13"/>
        <v>86.644173354980055</v>
      </c>
      <c r="CX13" s="59">
        <f t="shared" si="14"/>
        <v>311.67143290867784</v>
      </c>
      <c r="CY13" s="59">
        <f ca="1">AVERAGE(OFFSET($CX$3,0,0,'Données projet'!$E$13+1,1))-AVERAGE(OFFSET($H$3,0,0,'Données projet'!$E$13+1,1))</f>
        <v>470.42022791389275</v>
      </c>
      <c r="CZ13" s="59">
        <f t="shared" si="42"/>
        <v>300.26117330627346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58.03773745403879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3.3603333333333336</v>
      </c>
      <c r="DO13" s="12">
        <f>IF('Données projet'!$A$166&gt;35,DO12+DN13-DW12,IF(A13&lt;'Données projet'!$A$166,$DL$205^A13,IF(A13='Données projet'!$A$166,'Données projet'!$B$166,DO12+DN13-DW12)))</f>
        <v>33.603333333333339</v>
      </c>
      <c r="DP13" s="17">
        <f>DO13*VLOOKUP('Données projet'!$B$14,Paramètres!$A$1:$I$89,3,0)*VLOOKUP('Données projet'!$B$14,Paramètres!$A$1:$I$89,5,0)</f>
        <v>32.501144000000004</v>
      </c>
      <c r="DQ13" s="13">
        <f t="shared" si="43"/>
        <v>9.9877050856026894</v>
      </c>
      <c r="DR13" s="20">
        <f t="shared" si="16"/>
        <v>74.001412157424696</v>
      </c>
      <c r="DS13" s="59">
        <f t="shared" si="17"/>
        <v>299.02867171112251</v>
      </c>
      <c r="DT13" s="59">
        <f ca="1">AVERAGE(OFFSET($DS$3,0,0,'Données projet'!$E$14+1,1))-AVERAGE(OFFSET($H$3,0,0,'Données projet'!$E$14+1,1))</f>
        <v>537.37164071064103</v>
      </c>
      <c r="DU13" s="59">
        <f t="shared" si="44"/>
        <v>263.29777321132235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58.03773745403879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58.03773745403879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58.03773745403879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58.03773745403879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45">
      <c r="A14" s="10">
        <f t="shared" si="31"/>
        <v>11</v>
      </c>
      <c r="B14" s="73">
        <f>'Scénario référence'!$B$16*5+'Scénario référence'!$B$17*0+'Scénario référence'!$B$18*5</f>
        <v>2.8499999999999996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10.449999999999998</v>
      </c>
      <c r="H14" s="67">
        <f t="shared" si="1"/>
        <v>214.86666666666667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58.245255965598645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5.0894117647058819</v>
      </c>
      <c r="N14" s="13">
        <f>IF('Données projet'!$A$36&gt;35,N13+M14-V13,IF(A14&lt;'Données projet'!$A$36,$K$205^A14,IF(A14='Données projet'!$A$36,'Données projet'!$B$36,N13+M14-V13)))</f>
        <v>5.2979300838767944</v>
      </c>
      <c r="O14" s="13">
        <f>N14*VLOOKUP('Données projet'!$B$9,Paramètres!$A$1:$I$89,3,0)*VLOOKUP('Données projet'!$B$9,Paramètres!$A$1:$I$89,5,0)</f>
        <v>4.7935671398917234</v>
      </c>
      <c r="P14" s="13">
        <f t="shared" si="33"/>
        <v>1.8406965292945834</v>
      </c>
      <c r="Q14" s="20">
        <f t="shared" si="2"/>
        <v>11.554675890499484</v>
      </c>
      <c r="R14" s="59">
        <f t="shared" si="0"/>
        <v>238.56505887547229</v>
      </c>
      <c r="S14" s="59">
        <f ca="1">AVERAGE(OFFSET($R$3,0,0,'Données projet'!$E$9+1,1))-AVERAGE(OFFSET($H$3,0,0,'Données projet'!$E$9+1,1))</f>
        <v>719.20816951277925</v>
      </c>
      <c r="T14" s="59">
        <f t="shared" si="34"/>
        <v>237.1127421841087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58.245255965598645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4.9119354838709679</v>
      </c>
      <c r="AI14" s="13">
        <f>IF('Données projet'!$A$62&gt;35,AI13+AH14-AQ13,IF(A14&lt;'Données projet'!$A$62,$AF$205^A14,IF(A14='Données projet'!$A$62,'Données projet'!$B$62,AI13+AH14-AQ13)))</f>
        <v>5.9494395868908336</v>
      </c>
      <c r="AJ14" s="13">
        <f>AI14*VLOOKUP('Données projet'!$B$10,Paramètres!$A$1:$I$89,3,0)*VLOOKUP('Données projet'!$B$10,Paramètres!$A$1:$I$89,5,0)</f>
        <v>5.0118079079968387</v>
      </c>
      <c r="AK14" s="13">
        <f t="shared" si="35"/>
        <v>1.914551847116909</v>
      </c>
      <c r="AL14" s="20">
        <f t="shared" si="4"/>
        <v>12.063409906823109</v>
      </c>
      <c r="AM14" s="59">
        <f t="shared" si="5"/>
        <v>239.0737928917959</v>
      </c>
      <c r="AN14" s="59">
        <f ca="1">AVERAGE(OFFSET($AM$3,0,0,'Données projet'!$E$10+1,1))-AVERAGE(OFFSET($H$3,0,0,'Données projet'!$E$10+1,1))</f>
        <v>442.79037205372367</v>
      </c>
      <c r="AO14" s="59">
        <f t="shared" si="36"/>
        <v>288.23553637727969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58.245255965598645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3.3603333333333336</v>
      </c>
      <c r="BD14" s="12">
        <f>IF('Données projet'!$A$88&gt;35,BD13+BC14-BL13,IF(A14&lt;'Données projet'!$A$88,$BA$205^A14,IF(A14='Données projet'!$A$88,'Données projet'!$B$88,BD13+BC14-BL13)))</f>
        <v>36.963666666666676</v>
      </c>
      <c r="BE14" s="13">
        <f>BD14*VLOOKUP('Données projet'!$B$11,Paramètres!$A$1:$I$89,3,0)*VLOOKUP('Données projet'!$B$11,Paramètres!$A$1:$I$89,5,0)</f>
        <v>37.481158000000008</v>
      </c>
      <c r="BF14" s="13">
        <f t="shared" si="37"/>
        <v>11.32852146348689</v>
      </c>
      <c r="BG14" s="20">
        <f t="shared" si="7"/>
        <v>85.01019173223969</v>
      </c>
      <c r="BH14" s="59">
        <f t="shared" si="8"/>
        <v>312.02057471721253</v>
      </c>
      <c r="BI14" s="59">
        <f ca="1">AVERAGE(OFFSET($BH$3,0,0,'Données projet'!$E$11+1,1))-AVERAGE(OFFSET($H$3,0,0,'Données projet'!$E$11+1,1))</f>
        <v>559.91818701710872</v>
      </c>
      <c r="BJ14" s="59">
        <f t="shared" si="38"/>
        <v>273.47272623465915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58.245255965598645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1.7094017094017093</v>
      </c>
      <c r="BY14" s="12">
        <f>IF('Données projet'!$A$114&gt;35,BY13+BX14-CG13,IF(A14&lt;'Données projet'!$A$114,$BV$205^A14,IF(A14='Données projet'!$A$114,'Données projet'!$B$114,BY13+BX14-CG13)))</f>
        <v>10.794916520339433</v>
      </c>
      <c r="BZ14" s="13">
        <f>BY14*VLOOKUP('Données projet'!$B$12,Paramètres!$A$1:$I$89,3,0)*VLOOKUP('Données projet'!$B$12,Paramètres!$A$1:$I$89,5,0)</f>
        <v>8.4200348858647569</v>
      </c>
      <c r="CA14" s="13">
        <f t="shared" si="39"/>
        <v>3.0280247376705862</v>
      </c>
      <c r="CB14" s="20">
        <f t="shared" si="10"/>
        <v>19.938703844324056</v>
      </c>
      <c r="CC14" s="59">
        <f t="shared" si="11"/>
        <v>246.94908682929687</v>
      </c>
      <c r="CD14" s="59">
        <f ca="1">AVERAGE(OFFSET($CC$3,0,0,'Données projet'!$E$12+1,1))-AVERAGE(OFFSET($H$3,0,0,'Données projet'!$E$12+1,1))</f>
        <v>208.92677786250815</v>
      </c>
      <c r="CE14" s="59">
        <f t="shared" si="40"/>
        <v>207.54290142772214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58.245255965598645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4.016578947368421</v>
      </c>
      <c r="CT14" s="12">
        <f>IF('Données projet'!$A$140&gt;35,CT13+CS14-DB13,IF(A14&lt;'Données projet'!$A$140,$CQ$205^A14,IF(A14='Données projet'!$A$140,'Données projet'!$B$140,CT13+CS14-DB13)))</f>
        <v>44.182368421052644</v>
      </c>
      <c r="CU14" s="17">
        <f>CT14*VLOOKUP('Données projet'!$B$13,Paramètres!$A$1:$I$89,3,0)*VLOOKUP('Données projet'!$B$13,Paramètres!$A$1:$I$89,5,0)</f>
        <v>42.043941789473699</v>
      </c>
      <c r="CV14" s="13">
        <f t="shared" si="41"/>
        <v>12.538812616073887</v>
      </c>
      <c r="CW14" s="20">
        <f t="shared" si="13"/>
        <v>95.064963922995389</v>
      </c>
      <c r="CX14" s="59">
        <f t="shared" si="14"/>
        <v>322.0753469079682</v>
      </c>
      <c r="CY14" s="59">
        <f ca="1">AVERAGE(OFFSET($CX$3,0,0,'Données projet'!$E$13+1,1))-AVERAGE(OFFSET($H$3,0,0,'Données projet'!$E$13+1,1))</f>
        <v>470.42022791389275</v>
      </c>
      <c r="CZ14" s="59">
        <f t="shared" si="42"/>
        <v>300.26117330627346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58.245255965598645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3.3603333333333336</v>
      </c>
      <c r="DO14" s="12">
        <f>IF('Données projet'!$A$166&gt;35,DO13+DN14-DW13,IF(A14&lt;'Données projet'!$A$166,$DL$205^A14,IF(A14='Données projet'!$A$166,'Données projet'!$B$166,DO13+DN14-DW13)))</f>
        <v>36.963666666666676</v>
      </c>
      <c r="DP14" s="17">
        <f>DO14*VLOOKUP('Données projet'!$B$14,Paramètres!$A$1:$I$89,3,0)*VLOOKUP('Données projet'!$B$14,Paramètres!$A$1:$I$89,5,0)</f>
        <v>35.751258400000005</v>
      </c>
      <c r="DQ14" s="13">
        <f t="shared" si="43"/>
        <v>10.865264090901857</v>
      </c>
      <c r="DR14" s="20">
        <f t="shared" si="16"/>
        <v>81.190443338320719</v>
      </c>
      <c r="DS14" s="59">
        <f t="shared" si="17"/>
        <v>308.20082632329354</v>
      </c>
      <c r="DT14" s="59">
        <f ca="1">AVERAGE(OFFSET($DS$3,0,0,'Données projet'!$E$14+1,1))-AVERAGE(OFFSET($H$3,0,0,'Données projet'!$E$14+1,1))</f>
        <v>537.37164071064103</v>
      </c>
      <c r="DU14" s="59">
        <f t="shared" si="44"/>
        <v>263.29777321132235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58.245255965598645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58.245255965598645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58.245255965598645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58.245255965598645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45">
      <c r="A15" s="10">
        <f t="shared" si="31"/>
        <v>12</v>
      </c>
      <c r="B15" s="73">
        <f>'Scénario référence'!$B$16*5+'Scénario référence'!$B$17*0+'Scénario référence'!$B$18*5</f>
        <v>2.8499999999999996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10.449999999999998</v>
      </c>
      <c r="H15" s="67">
        <f t="shared" si="1"/>
        <v>214.86666666666667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58.449174494924833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5.0894117647058819</v>
      </c>
      <c r="N15" s="13">
        <f>IF('Données projet'!$A$36&gt;35,N14+M15-V14,IF(A15&lt;'Données projet'!$A$36,$K$205^A15,IF(A15='Données projet'!$A$36,'Données projet'!$B$36,N14+M15-V14)))</f>
        <v>6.1650139138374147</v>
      </c>
      <c r="O15" s="13">
        <f>N15*VLOOKUP('Données projet'!$B$9,Paramètres!$A$1:$I$89,3,0)*VLOOKUP('Données projet'!$B$9,Paramètres!$A$1:$I$89,5,0)</f>
        <v>5.5781045892400929</v>
      </c>
      <c r="P15" s="13">
        <f t="shared" si="33"/>
        <v>2.1044939010281696</v>
      </c>
      <c r="Q15" s="20">
        <f t="shared" si="2"/>
        <v>13.38052570388389</v>
      </c>
      <c r="R15" s="59">
        <f t="shared" si="0"/>
        <v>242.36083218527494</v>
      </c>
      <c r="S15" s="59">
        <f ca="1">AVERAGE(OFFSET($R$3,0,0,'Données projet'!$E$9+1,1))-AVERAGE(OFFSET($H$3,0,0,'Données projet'!$E$9+1,1))</f>
        <v>719.20816951277925</v>
      </c>
      <c r="T15" s="59">
        <f t="shared" si="34"/>
        <v>237.1127421841087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58.449174494924833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4.9119354838709679</v>
      </c>
      <c r="AI15" s="13">
        <f>IF('Données projet'!$A$62&gt;35,AI14+AH15-AQ14,IF(A15&lt;'Données projet'!$A$62,$AF$205^A15,IF(A15='Données projet'!$A$62,'Données projet'!$B$62,AI14+AH15-AQ14)))</f>
        <v>6.9965343925785239</v>
      </c>
      <c r="AJ15" s="13">
        <f>AI15*VLOOKUP('Données projet'!$B$10,Paramètres!$A$1:$I$89,3,0)*VLOOKUP('Données projet'!$B$10,Paramètres!$A$1:$I$89,5,0)</f>
        <v>5.8938805723081495</v>
      </c>
      <c r="AK15" s="13">
        <f t="shared" si="35"/>
        <v>2.2094220369334199</v>
      </c>
      <c r="AL15" s="20">
        <f t="shared" si="4"/>
        <v>14.113252044429068</v>
      </c>
      <c r="AM15" s="59">
        <f t="shared" si="5"/>
        <v>243.0935585258201</v>
      </c>
      <c r="AN15" s="59">
        <f ca="1">AVERAGE(OFFSET($AM$3,0,0,'Données projet'!$E$10+1,1))-AVERAGE(OFFSET($H$3,0,0,'Données projet'!$E$10+1,1))</f>
        <v>442.79037205372367</v>
      </c>
      <c r="AO15" s="59">
        <f t="shared" si="36"/>
        <v>288.23553637727969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58.449174494924833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3.3603333333333336</v>
      </c>
      <c r="BD15" s="12">
        <f>IF('Données projet'!$A$88&gt;35,BD14+BC15-BL14,IF(A15&lt;'Données projet'!$A$88,$BA$205^A15,IF(A15='Données projet'!$A$88,'Données projet'!$B$88,BD14+BC15-BL14)))</f>
        <v>40.324000000000012</v>
      </c>
      <c r="BE15" s="13">
        <f>BD15*VLOOKUP('Données projet'!$B$11,Paramètres!$A$1:$I$89,3,0)*VLOOKUP('Données projet'!$B$11,Paramètres!$A$1:$I$89,5,0)</f>
        <v>40.888536000000016</v>
      </c>
      <c r="BF15" s="13">
        <f t="shared" si="37"/>
        <v>12.2338514914741</v>
      </c>
      <c r="BG15" s="20">
        <f t="shared" si="7"/>
        <v>92.52149154765074</v>
      </c>
      <c r="BH15" s="59">
        <f t="shared" si="8"/>
        <v>321.50179802904177</v>
      </c>
      <c r="BI15" s="59">
        <f ca="1">AVERAGE(OFFSET($BH$3,0,0,'Données projet'!$E$11+1,1))-AVERAGE(OFFSET($H$3,0,0,'Données projet'!$E$11+1,1))</f>
        <v>559.91818701710872</v>
      </c>
      <c r="BJ15" s="59">
        <f t="shared" si="38"/>
        <v>273.47272623465915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58.449174494924833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1.7094017094017093</v>
      </c>
      <c r="BY15" s="12">
        <f>IF('Données projet'!$A$114&gt;35,BY14+BX15-CG14,IF(A15&lt;'Données projet'!$A$114,$BV$205^A15,IF(A15='Données projet'!$A$114,'Données projet'!$B$114,BY14+BX15-CG14)))</f>
        <v>13.401342738226315</v>
      </c>
      <c r="BZ15" s="13">
        <f>BY15*VLOOKUP('Données projet'!$B$12,Paramètres!$A$1:$I$89,3,0)*VLOOKUP('Données projet'!$B$12,Paramètres!$A$1:$I$89,5,0)</f>
        <v>10.453047335816526</v>
      </c>
      <c r="CA15" s="13">
        <f t="shared" si="39"/>
        <v>3.6656846961236176</v>
      </c>
      <c r="CB15" s="20">
        <f t="shared" si="10"/>
        <v>24.590124955629083</v>
      </c>
      <c r="CC15" s="59">
        <f t="shared" si="11"/>
        <v>253.57043143702012</v>
      </c>
      <c r="CD15" s="59">
        <f ca="1">AVERAGE(OFFSET($CC$3,0,0,'Données projet'!$E$12+1,1))-AVERAGE(OFFSET($H$3,0,0,'Données projet'!$E$12+1,1))</f>
        <v>208.92677786250815</v>
      </c>
      <c r="CE15" s="59">
        <f t="shared" si="40"/>
        <v>207.54290142772214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58.449174494924833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4.016578947368421</v>
      </c>
      <c r="CT15" s="12">
        <f>IF('Données projet'!$A$140&gt;35,CT14+CS15-DB14,IF(A15&lt;'Données projet'!$A$140,$CQ$205^A15,IF(A15='Données projet'!$A$140,'Données projet'!$B$140,CT14+CS15-DB14)))</f>
        <v>48.198947368421067</v>
      </c>
      <c r="CU15" s="17">
        <f>CT15*VLOOKUP('Données projet'!$B$13,Paramètres!$A$1:$I$89,3,0)*VLOOKUP('Données projet'!$B$13,Paramètres!$A$1:$I$89,5,0)</f>
        <v>45.866118315789485</v>
      </c>
      <c r="CV15" s="13">
        <f t="shared" si="41"/>
        <v>13.540864261844654</v>
      </c>
      <c r="CW15" s="20">
        <f t="shared" si="13"/>
        <v>103.4671613227128</v>
      </c>
      <c r="CX15" s="59">
        <f t="shared" si="14"/>
        <v>332.44746780410384</v>
      </c>
      <c r="CY15" s="59">
        <f ca="1">AVERAGE(OFFSET($CX$3,0,0,'Données projet'!$E$13+1,1))-AVERAGE(OFFSET($H$3,0,0,'Données projet'!$E$13+1,1))</f>
        <v>470.42022791389275</v>
      </c>
      <c r="CZ15" s="59">
        <f t="shared" si="42"/>
        <v>300.26117330627346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58.449174494924833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3.3603333333333336</v>
      </c>
      <c r="DO15" s="12">
        <f>IF('Données projet'!$A$166&gt;35,DO14+DN15-DW14,IF(A15&lt;'Données projet'!$A$166,$DL$205^A15,IF(A15='Données projet'!$A$166,'Données projet'!$B$166,DO14+DN15-DW14)))</f>
        <v>40.324000000000012</v>
      </c>
      <c r="DP15" s="17">
        <f>DO15*VLOOKUP('Données projet'!$B$14,Paramètres!$A$1:$I$89,3,0)*VLOOKUP('Données projet'!$B$14,Paramètres!$A$1:$I$89,5,0)</f>
        <v>39.001372800000013</v>
      </c>
      <c r="DQ15" s="13">
        <f t="shared" si="43"/>
        <v>11.733572446516416</v>
      </c>
      <c r="DR15" s="20">
        <f t="shared" si="16"/>
        <v>88.363362971016116</v>
      </c>
      <c r="DS15" s="59">
        <f t="shared" si="17"/>
        <v>317.34366945240714</v>
      </c>
      <c r="DT15" s="59">
        <f ca="1">AVERAGE(OFFSET($DS$3,0,0,'Données projet'!$E$14+1,1))-AVERAGE(OFFSET($H$3,0,0,'Données projet'!$E$14+1,1))</f>
        <v>537.37164071064103</v>
      </c>
      <c r="DU15" s="59">
        <f t="shared" si="44"/>
        <v>263.29777321132235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58.449174494924833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58.449174494924833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58.449174494924833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58.449174494924833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45">
      <c r="A16" s="10">
        <f t="shared" si="31"/>
        <v>13</v>
      </c>
      <c r="B16" s="73">
        <f>'Scénario référence'!$B$16*5+'Scénario référence'!$B$17*0+'Scénario référence'!$B$18*5</f>
        <v>2.8499999999999996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10.449999999999998</v>
      </c>
      <c r="H16" s="67">
        <f t="shared" si="1"/>
        <v>214.86666666666667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58.649555493660735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5.0894117647058819</v>
      </c>
      <c r="N16" s="13">
        <f>IF('Données projet'!$A$36&gt;35,N15+M16-V15,IF(A16&lt;'Données projet'!$A$36,$K$205^A16,IF(A16='Données projet'!$A$36,'Données projet'!$B$36,N15+M16-V15)))</f>
        <v>7.1740087083211872</v>
      </c>
      <c r="O16" s="13">
        <f>N16*VLOOKUP('Données projet'!$B$9,Paramètres!$A$1:$I$89,3,0)*VLOOKUP('Données projet'!$B$9,Paramètres!$A$1:$I$89,5,0)</f>
        <v>6.4910430792890104</v>
      </c>
      <c r="P16" s="13">
        <f t="shared" si="33"/>
        <v>2.4060970991030577</v>
      </c>
      <c r="Q16" s="20">
        <f t="shared" si="2"/>
        <v>15.495852477366185</v>
      </c>
      <c r="R16" s="59">
        <f t="shared" si="0"/>
        <v>246.43311150967776</v>
      </c>
      <c r="S16" s="59">
        <f ca="1">AVERAGE(OFFSET($R$3,0,0,'Données projet'!$E$9+1,1))-AVERAGE(OFFSET($H$3,0,0,'Données projet'!$E$9+1,1))</f>
        <v>719.20816951277925</v>
      </c>
      <c r="T16" s="59">
        <f t="shared" si="34"/>
        <v>237.1127421841087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58.649555493660735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4.9119354838709679</v>
      </c>
      <c r="AI16" s="13">
        <f>IF('Données projet'!$A$62&gt;35,AI15+AH16-AQ15,IF(A16&lt;'Données projet'!$A$62,$AF$205^A16,IF(A16='Données projet'!$A$62,'Données projet'!$B$62,AI15+AH16-AQ15)))</f>
        <v>8.2279167292319872</v>
      </c>
      <c r="AJ16" s="13">
        <f>AI16*VLOOKUP('Données projet'!$B$10,Paramètres!$A$1:$I$89,3,0)*VLOOKUP('Données projet'!$B$10,Paramètres!$A$1:$I$89,5,0)</f>
        <v>6.9311970527050271</v>
      </c>
      <c r="AK16" s="13">
        <f t="shared" si="35"/>
        <v>2.5497067340527018</v>
      </c>
      <c r="AL16" s="20">
        <f t="shared" si="4"/>
        <v>16.512574095269713</v>
      </c>
      <c r="AM16" s="59">
        <f t="shared" si="5"/>
        <v>247.44983312758129</v>
      </c>
      <c r="AN16" s="59">
        <f ca="1">AVERAGE(OFFSET($AM$3,0,0,'Données projet'!$E$10+1,1))-AVERAGE(OFFSET($H$3,0,0,'Données projet'!$E$10+1,1))</f>
        <v>442.79037205372367</v>
      </c>
      <c r="AO16" s="59">
        <f t="shared" si="36"/>
        <v>288.23553637727969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58.649555493660735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3.3603333333333336</v>
      </c>
      <c r="BD16" s="12">
        <f>IF('Données projet'!$A$88&gt;35,BD15+BC16-BL15,IF(A16&lt;'Données projet'!$A$88,$BA$205^A16,IF(A16='Données projet'!$A$88,'Données projet'!$B$88,BD15+BC16-BL15)))</f>
        <v>43.684333333333349</v>
      </c>
      <c r="BE16" s="13">
        <f>BD16*VLOOKUP('Données projet'!$B$11,Paramètres!$A$1:$I$89,3,0)*VLOOKUP('Données projet'!$B$11,Paramètres!$A$1:$I$89,5,0)</f>
        <v>44.295914000000018</v>
      </c>
      <c r="BF16" s="13">
        <f t="shared" si="37"/>
        <v>13.130431589304674</v>
      </c>
      <c r="BG16" s="20">
        <f t="shared" si="7"/>
        <v>100.01755190137233</v>
      </c>
      <c r="BH16" s="59">
        <f t="shared" si="8"/>
        <v>330.95481093368392</v>
      </c>
      <c r="BI16" s="59">
        <f ca="1">AVERAGE(OFFSET($BH$3,0,0,'Données projet'!$E$11+1,1))-AVERAGE(OFFSET($H$3,0,0,'Données projet'!$E$11+1,1))</f>
        <v>559.91818701710872</v>
      </c>
      <c r="BJ16" s="59">
        <f t="shared" si="38"/>
        <v>273.47272623465915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58.649555493660735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1.7094017094017093</v>
      </c>
      <c r="BY16" s="12">
        <f>IF('Données projet'!$A$114&gt;35,BY15+BX16-CG15,IF(A16&lt;'Données projet'!$A$114,$BV$205^A16,IF(A16='Données projet'!$A$114,'Données projet'!$B$114,BY15+BX16-CG15)))</f>
        <v>16.637089026952847</v>
      </c>
      <c r="BZ16" s="13">
        <f>BY16*VLOOKUP('Données projet'!$B$12,Paramètres!$A$1:$I$89,3,0)*VLOOKUP('Données projet'!$B$12,Paramètres!$A$1:$I$89,5,0)</f>
        <v>12.976929441023222</v>
      </c>
      <c r="CA16" s="13">
        <f t="shared" si="39"/>
        <v>4.4376269864069782</v>
      </c>
      <c r="CB16" s="20">
        <f t="shared" si="10"/>
        <v>30.33035244444093</v>
      </c>
      <c r="CC16" s="59">
        <f t="shared" si="11"/>
        <v>261.26761147675251</v>
      </c>
      <c r="CD16" s="59">
        <f ca="1">AVERAGE(OFFSET($CC$3,0,0,'Données projet'!$E$12+1,1))-AVERAGE(OFFSET($H$3,0,0,'Données projet'!$E$12+1,1))</f>
        <v>208.92677786250815</v>
      </c>
      <c r="CE16" s="59">
        <f t="shared" si="40"/>
        <v>207.54290142772214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58.649555493660735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4.016578947368421</v>
      </c>
      <c r="CT16" s="12">
        <f>IF('Données projet'!$A$140&gt;35,CT15+CS16-DB15,IF(A16&lt;'Données projet'!$A$140,$CQ$205^A16,IF(A16='Données projet'!$A$140,'Données projet'!$B$140,CT15+CS16-DB15)))</f>
        <v>52.215526315789489</v>
      </c>
      <c r="CU16" s="17">
        <f>CT16*VLOOKUP('Données projet'!$B$13,Paramètres!$A$1:$I$89,3,0)*VLOOKUP('Données projet'!$B$13,Paramètres!$A$1:$I$89,5,0)</f>
        <v>49.688294842105279</v>
      </c>
      <c r="CV16" s="13">
        <f t="shared" si="41"/>
        <v>14.533231172057361</v>
      </c>
      <c r="CW16" s="20">
        <f t="shared" si="13"/>
        <v>111.85249114133325</v>
      </c>
      <c r="CX16" s="59">
        <f t="shared" si="14"/>
        <v>342.78975017364485</v>
      </c>
      <c r="CY16" s="59">
        <f ca="1">AVERAGE(OFFSET($CX$3,0,0,'Données projet'!$E$13+1,1))-AVERAGE(OFFSET($H$3,0,0,'Données projet'!$E$13+1,1))</f>
        <v>470.42022791389275</v>
      </c>
      <c r="CZ16" s="59">
        <f t="shared" si="42"/>
        <v>300.26117330627346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58.649555493660735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3.3603333333333336</v>
      </c>
      <c r="DO16" s="12">
        <f>IF('Données projet'!$A$166&gt;35,DO15+DN16-DW15,IF(A16&lt;'Données projet'!$A$166,$DL$205^A16,IF(A16='Données projet'!$A$166,'Données projet'!$B$166,DO15+DN16-DW15)))</f>
        <v>43.684333333333349</v>
      </c>
      <c r="DP16" s="17">
        <f>DO16*VLOOKUP('Données projet'!$B$14,Paramètres!$A$1:$I$89,3,0)*VLOOKUP('Données projet'!$B$14,Paramètres!$A$1:$I$89,5,0)</f>
        <v>42.251487200000021</v>
      </c>
      <c r="DQ16" s="13">
        <f t="shared" si="43"/>
        <v>12.593488682979761</v>
      </c>
      <c r="DR16" s="20">
        <f t="shared" si="16"/>
        <v>95.521666329523114</v>
      </c>
      <c r="DS16" s="59">
        <f t="shared" si="17"/>
        <v>326.4589253618347</v>
      </c>
      <c r="DT16" s="59">
        <f ca="1">AVERAGE(OFFSET($DS$3,0,0,'Données projet'!$E$14+1,1))-AVERAGE(OFFSET($H$3,0,0,'Données projet'!$E$14+1,1))</f>
        <v>537.37164071064103</v>
      </c>
      <c r="DU16" s="59">
        <f t="shared" si="44"/>
        <v>263.29777321132235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58.649555493660735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58.649555493660735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58.649555493660735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58.649555493660735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45">
      <c r="A17" s="10">
        <f t="shared" si="31"/>
        <v>14</v>
      </c>
      <c r="B17" s="73">
        <f>'Scénario référence'!$B$16*5+'Scénario référence'!$B$17*0+'Scénario référence'!$B$18*5</f>
        <v>2.8499999999999996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10.449999999999998</v>
      </c>
      <c r="H17" s="67">
        <f t="shared" si="1"/>
        <v>214.86666666666667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58.846460330053375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5.0894117647058819</v>
      </c>
      <c r="N17" s="13">
        <f>IF('Données projet'!$A$36&gt;35,N16+M17-V16,IF(A17&lt;'Données projet'!$A$36,$K$205^A17,IF(A17='Données projet'!$A$36,'Données projet'!$B$36,N16+M17-V16)))</f>
        <v>8.3481402745177196</v>
      </c>
      <c r="O17" s="13">
        <f>N17*VLOOKUP('Données projet'!$B$9,Paramètres!$A$1:$I$89,3,0)*VLOOKUP('Données projet'!$B$9,Paramètres!$A$1:$I$89,5,0)</f>
        <v>7.553397320383632</v>
      </c>
      <c r="P17" s="13">
        <f t="shared" si="33"/>
        <v>2.7509242233886888</v>
      </c>
      <c r="Q17" s="20">
        <f t="shared" si="2"/>
        <v>17.946693355403458</v>
      </c>
      <c r="R17" s="59">
        <f t="shared" si="0"/>
        <v>250.82815901004361</v>
      </c>
      <c r="S17" s="59">
        <f ca="1">AVERAGE(OFFSET($R$3,0,0,'Données projet'!$E$9+1,1))-AVERAGE(OFFSET($H$3,0,0,'Données projet'!$E$9+1,1))</f>
        <v>719.20816951277925</v>
      </c>
      <c r="T17" s="59">
        <f t="shared" si="34"/>
        <v>237.1127421841087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58.846460330053375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4.9119354838709679</v>
      </c>
      <c r="AI17" s="13">
        <f>IF('Données projet'!$A$62&gt;35,AI16+AH17-AQ16,IF(A17&lt;'Données projet'!$A$62,$AF$205^A17,IF(A17='Données projet'!$A$62,'Données projet'!$B$62,AI16+AH17-AQ16)))</f>
        <v>9.6760209990514667</v>
      </c>
      <c r="AJ17" s="13">
        <f>AI17*VLOOKUP('Données projet'!$B$10,Paramètres!$A$1:$I$89,3,0)*VLOOKUP('Données projet'!$B$10,Paramètres!$A$1:$I$89,5,0)</f>
        <v>8.1510800896009563</v>
      </c>
      <c r="AK17" s="13">
        <f t="shared" si="35"/>
        <v>2.9424004653709348</v>
      </c>
      <c r="AL17" s="20">
        <f t="shared" si="4"/>
        <v>19.321145299909375</v>
      </c>
      <c r="AM17" s="59">
        <f t="shared" si="5"/>
        <v>252.20261095454953</v>
      </c>
      <c r="AN17" s="59">
        <f ca="1">AVERAGE(OFFSET($AM$3,0,0,'Données projet'!$E$10+1,1))-AVERAGE(OFFSET($H$3,0,0,'Données projet'!$E$10+1,1))</f>
        <v>442.79037205372367</v>
      </c>
      <c r="AO17" s="59">
        <f t="shared" si="36"/>
        <v>288.23553637727969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58.846460330053375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3.3603333333333336</v>
      </c>
      <c r="BD17" s="12">
        <f>IF('Données projet'!$A$88&gt;35,BD16+BC17-BL16,IF(A17&lt;'Données projet'!$A$88,$BA$205^A17,IF(A17='Données projet'!$A$88,'Données projet'!$B$88,BD16+BC17-BL16)))</f>
        <v>47.044666666666686</v>
      </c>
      <c r="BE17" s="13">
        <f>BD17*VLOOKUP('Données projet'!$B$11,Paramètres!$A$1:$I$89,3,0)*VLOOKUP('Données projet'!$B$11,Paramètres!$A$1:$I$89,5,0)</f>
        <v>47.703292000000019</v>
      </c>
      <c r="BF17" s="13">
        <f t="shared" si="37"/>
        <v>14.019011356175028</v>
      </c>
      <c r="BG17" s="20">
        <f t="shared" si="7"/>
        <v>107.49967834533821</v>
      </c>
      <c r="BH17" s="59">
        <f t="shared" si="8"/>
        <v>340.38114399997835</v>
      </c>
      <c r="BI17" s="59">
        <f ca="1">AVERAGE(OFFSET($BH$3,0,0,'Données projet'!$E$11+1,1))-AVERAGE(OFFSET($H$3,0,0,'Données projet'!$E$11+1,1))</f>
        <v>559.91818701710872</v>
      </c>
      <c r="BJ17" s="59">
        <f t="shared" si="38"/>
        <v>273.47272623465915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58.846460330053375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1.7094017094017093</v>
      </c>
      <c r="BY17" s="12">
        <f>IF('Données projet'!$A$114&gt;35,BY16+BX17-CG16,IF(A17&lt;'Données projet'!$A$114,$BV$205^A17,IF(A17='Données projet'!$A$114,'Données projet'!$B$114,BY16+BX17-CG16)))</f>
        <v>20.65410434591935</v>
      </c>
      <c r="BZ17" s="13">
        <f>BY17*VLOOKUP('Données projet'!$B$12,Paramètres!$A$1:$I$89,3,0)*VLOOKUP('Données projet'!$B$12,Paramètres!$A$1:$I$89,5,0)</f>
        <v>16.110201389817092</v>
      </c>
      <c r="CA17" s="13">
        <f t="shared" si="39"/>
        <v>5.3721296027756829</v>
      </c>
      <c r="CB17" s="20">
        <f t="shared" si="10"/>
        <v>37.415059812099081</v>
      </c>
      <c r="CC17" s="59">
        <f t="shared" si="11"/>
        <v>270.29652546673924</v>
      </c>
      <c r="CD17" s="59">
        <f ca="1">AVERAGE(OFFSET($CC$3,0,0,'Données projet'!$E$12+1,1))-AVERAGE(OFFSET($H$3,0,0,'Données projet'!$E$12+1,1))</f>
        <v>208.92677786250815</v>
      </c>
      <c r="CE17" s="59">
        <f t="shared" si="40"/>
        <v>207.54290142772214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58.846460330053375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4.016578947368421</v>
      </c>
      <c r="CT17" s="12">
        <f>IF('Données projet'!$A$140&gt;35,CT16+CS17-DB16,IF(A17&lt;'Données projet'!$A$140,$CQ$205^A17,IF(A17='Données projet'!$A$140,'Données projet'!$B$140,CT16+CS17-DB16)))</f>
        <v>56.232105263157912</v>
      </c>
      <c r="CU17" s="17">
        <f>CT17*VLOOKUP('Données projet'!$B$13,Paramètres!$A$1:$I$89,3,0)*VLOOKUP('Données projet'!$B$13,Paramètres!$A$1:$I$89,5,0)</f>
        <v>53.510471368421072</v>
      </c>
      <c r="CV17" s="13">
        <f t="shared" si="41"/>
        <v>15.516743029905101</v>
      </c>
      <c r="CW17" s="20">
        <f t="shared" si="13"/>
        <v>120.22239841041811</v>
      </c>
      <c r="CX17" s="59">
        <f t="shared" si="14"/>
        <v>353.10386406505825</v>
      </c>
      <c r="CY17" s="59">
        <f ca="1">AVERAGE(OFFSET($CX$3,0,0,'Données projet'!$E$13+1,1))-AVERAGE(OFFSET($H$3,0,0,'Données projet'!$E$13+1,1))</f>
        <v>470.42022791389275</v>
      </c>
      <c r="CZ17" s="59">
        <f t="shared" si="42"/>
        <v>300.26117330627346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58.846460330053375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3.3603333333333336</v>
      </c>
      <c r="DO17" s="12">
        <f>IF('Données projet'!$A$166&gt;35,DO16+DN17-DW16,IF(A17&lt;'Données projet'!$A$166,$DL$205^A17,IF(A17='Données projet'!$A$166,'Données projet'!$B$166,DO16+DN17-DW16)))</f>
        <v>47.044666666666686</v>
      </c>
      <c r="DP17" s="17">
        <f>DO17*VLOOKUP('Données projet'!$B$14,Paramètres!$A$1:$I$89,3,0)*VLOOKUP('Données projet'!$B$14,Paramètres!$A$1:$I$89,5,0)</f>
        <v>45.501601600000022</v>
      </c>
      <c r="DQ17" s="13">
        <f t="shared" si="43"/>
        <v>13.445731746118797</v>
      </c>
      <c r="DR17" s="20">
        <f t="shared" si="16"/>
        <v>102.6666055778236</v>
      </c>
      <c r="DS17" s="59">
        <f t="shared" si="17"/>
        <v>335.54807123246377</v>
      </c>
      <c r="DT17" s="59">
        <f ca="1">AVERAGE(OFFSET($DS$3,0,0,'Données projet'!$E$14+1,1))-AVERAGE(OFFSET($H$3,0,0,'Données projet'!$E$14+1,1))</f>
        <v>537.37164071064103</v>
      </c>
      <c r="DU17" s="59">
        <f t="shared" si="44"/>
        <v>263.29777321132235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58.846460330053375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58.846460330053375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58.846460330053375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58.846460330053375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45">
      <c r="A18" s="10">
        <f t="shared" si="31"/>
        <v>15</v>
      </c>
      <c r="B18" s="73">
        <f>'Scénario référence'!$B$16*5+'Scénario référence'!$B$17*0+'Scénario référence'!$B$18*5</f>
        <v>2.8499999999999996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10.449999999999998</v>
      </c>
      <c r="H18" s="67">
        <f t="shared" si="1"/>
        <v>214.86666666666667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59.039949307747868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5.0894117647058819</v>
      </c>
      <c r="N18" s="13">
        <f>IF('Données projet'!$A$36&gt;35,N17+M18-V17,IF(A18&lt;'Données projet'!$A$36,$K$205^A18,IF(A18='Données projet'!$A$36,'Données projet'!$B$36,N17+M18-V17)))</f>
        <v>9.7144356630330186</v>
      </c>
      <c r="O18" s="13">
        <f>N18*VLOOKUP('Données projet'!$B$9,Paramètres!$A$1:$I$89,3,0)*VLOOKUP('Données projet'!$B$9,Paramètres!$A$1:$I$89,5,0)</f>
        <v>8.7896213879122751</v>
      </c>
      <c r="P18" s="13">
        <f t="shared" si="33"/>
        <v>3.1451698626990985</v>
      </c>
      <c r="Q18" s="20">
        <f t="shared" si="2"/>
        <v>20.786428094814809</v>
      </c>
      <c r="R18" s="59">
        <f t="shared" si="0"/>
        <v>255.59957555655694</v>
      </c>
      <c r="S18" s="59">
        <f ca="1">AVERAGE(OFFSET($R$3,0,0,'Données projet'!$E$9+1,1))-AVERAGE(OFFSET($H$3,0,0,'Données projet'!$E$9+1,1))</f>
        <v>719.20816951277925</v>
      </c>
      <c r="T18" s="59">
        <f t="shared" si="34"/>
        <v>237.1127421841087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59.039949307747868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4.9119354838709679</v>
      </c>
      <c r="AI18" s="13">
        <f>IF('Données projet'!$A$62&gt;35,AI17+AH18-AQ17,IF(A18&lt;'Données projet'!$A$62,$AF$205^A18,IF(A18='Données projet'!$A$62,'Données projet'!$B$62,AI17+AH18-AQ17)))</f>
        <v>11.378990023252722</v>
      </c>
      <c r="AJ18" s="13">
        <f>AI18*VLOOKUP('Données projet'!$B$10,Paramètres!$A$1:$I$89,3,0)*VLOOKUP('Données projet'!$B$10,Paramètres!$A$1:$I$89,5,0)</f>
        <v>9.585661195588095</v>
      </c>
      <c r="AK18" s="13">
        <f t="shared" si="35"/>
        <v>3.3955750216236993</v>
      </c>
      <c r="AL18" s="20">
        <f t="shared" si="4"/>
        <v>22.608986411643873</v>
      </c>
      <c r="AM18" s="59">
        <f t="shared" si="5"/>
        <v>257.42213387338603</v>
      </c>
      <c r="AN18" s="59">
        <f ca="1">AVERAGE(OFFSET($AM$3,0,0,'Données projet'!$E$10+1,1))-AVERAGE(OFFSET($H$3,0,0,'Données projet'!$E$10+1,1))</f>
        <v>442.79037205372367</v>
      </c>
      <c r="AO18" s="59">
        <f t="shared" si="36"/>
        <v>288.23553637727969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59.039949307747868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3.3603333333333336</v>
      </c>
      <c r="BD18" s="12">
        <f>IF('Données projet'!$A$88&gt;35,BD17+BC18-BL17,IF(A18&lt;'Données projet'!$A$88,$BA$205^A18,IF(A18='Données projet'!$A$88,'Données projet'!$B$88,BD17+BC18-BL17)))</f>
        <v>50.405000000000022</v>
      </c>
      <c r="BE18" s="13">
        <f>BD18*VLOOKUP('Données projet'!$B$11,Paramètres!$A$1:$I$89,3,0)*VLOOKUP('Données projet'!$B$11,Paramètres!$A$1:$I$89,5,0)</f>
        <v>51.11067000000002</v>
      </c>
      <c r="BF18" s="13">
        <f t="shared" si="37"/>
        <v>14.900227237706996</v>
      </c>
      <c r="BG18" s="20">
        <f t="shared" si="7"/>
        <v>114.96897935567303</v>
      </c>
      <c r="BH18" s="59">
        <f t="shared" si="8"/>
        <v>349.78212681741519</v>
      </c>
      <c r="BI18" s="59">
        <f ca="1">AVERAGE(OFFSET($BH$3,0,0,'Données projet'!$E$11+1,1))-AVERAGE(OFFSET($H$3,0,0,'Données projet'!$E$11+1,1))</f>
        <v>559.91818701710872</v>
      </c>
      <c r="BJ18" s="59">
        <f t="shared" si="38"/>
        <v>273.47272623465915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59.039949307747868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>
        <f>VLOOKUP(A18,'Données projet'!$A$113:$I$133,2,0)</f>
        <v>25.641025641025639</v>
      </c>
      <c r="BW18" s="12">
        <f>VLOOKUP(A18,'Données projet'!$A$113:$I$133,9,0)</f>
        <v>1.7094017094017093</v>
      </c>
      <c r="BX18" s="12">
        <f t="array" ref="BX18">INDEX(BW:BW,MIN(IF(ISNUMBER(BW18:BW214),ROW(BW18:BW214),"")))</f>
        <v>1.7094017094017093</v>
      </c>
      <c r="BY18" s="12">
        <f>IF('Données projet'!$A$114&gt;35,BY17+BX18-CG17,IF(A18&lt;'Données projet'!$A$114,$BV$205^A18,IF(A18='Données projet'!$A$114,'Données projet'!$B$114,BY17+BX18-CG17)))</f>
        <v>25.641025641025639</v>
      </c>
      <c r="BZ18" s="13">
        <f>BY18*VLOOKUP('Données projet'!$B$12,Paramètres!$A$1:$I$89,3,0)*VLOOKUP('Données projet'!$B$12,Paramètres!$A$1:$I$89,5,0)</f>
        <v>20</v>
      </c>
      <c r="CA18" s="13">
        <f t="shared" si="39"/>
        <v>6.5034254923678825</v>
      </c>
      <c r="CB18" s="20">
        <f t="shared" si="10"/>
        <v>46.160132732540724</v>
      </c>
      <c r="CC18" s="59">
        <f t="shared" si="11"/>
        <v>280.97328019428289</v>
      </c>
      <c r="CD18" s="59">
        <f ca="1">AVERAGE(OFFSET($CC$3,0,0,'Données projet'!$E$12+1,1))-AVERAGE(OFFSET($H$3,0,0,'Données projet'!$E$12+1,1))</f>
        <v>208.92677786250815</v>
      </c>
      <c r="CE18" s="59">
        <f t="shared" si="40"/>
        <v>207.54290142772214</v>
      </c>
      <c r="CF18" s="15">
        <f>IF(ISNA(VLOOKUP(A18,'Données projet'!$A$113:$I$133,3,0)),0,VLOOKUP(A18,'Données projet'!$A$113:$I$133,3,0))</f>
        <v>1</v>
      </c>
      <c r="CG18" s="15">
        <f>IF(ISNA(VLOOKUP(A18,'Données projet'!$A$113:$I$133,4,0)),0,VLOOKUP(A18,'Données projet'!$A$113:$I$133,4,0))</f>
        <v>1.9230769230769229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0.1075</v>
      </c>
      <c r="CJ18" s="16">
        <f>IF(ISNA(VLOOKUP(A18,'Données projet'!$A$113:$I$133,7,0)),0%,VLOOKUP(A18,'Données projet'!$A$113:$I$133,7,0))</f>
        <v>0.25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0.17755523258082798</v>
      </c>
      <c r="CM18" s="21">
        <f>EXP(-LN(2)/2)*CM17+(1-EXP(-LN(2)/2))/(LN(2)/2)*CG18*CJ18*VLOOKUP('Données projet'!$B$12,Paramètres!$A$1:$I$89,3,0)*0.475*44/12</f>
        <v>0.35382259297702051</v>
      </c>
      <c r="CN18" s="22">
        <f t="shared" si="12"/>
        <v>0.53137782555784852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59.039949307747868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4.016578947368421</v>
      </c>
      <c r="CT18" s="12">
        <f>IF('Données projet'!$A$140&gt;35,CT17+CS18-DB17,IF(A18&lt;'Données projet'!$A$140,$CQ$205^A18,IF(A18='Données projet'!$A$140,'Données projet'!$B$140,CT17+CS18-DB17)))</f>
        <v>60.248684210526335</v>
      </c>
      <c r="CU18" s="17">
        <f>CT18*VLOOKUP('Données projet'!$B$13,Paramètres!$A$1:$I$89,3,0)*VLOOKUP('Données projet'!$B$13,Paramètres!$A$1:$I$89,5,0)</f>
        <v>57.332647894736859</v>
      </c>
      <c r="CV18" s="13">
        <f t="shared" si="41"/>
        <v>16.492104276158738</v>
      </c>
      <c r="CW18" s="20">
        <f t="shared" si="13"/>
        <v>128.57811003097649</v>
      </c>
      <c r="CX18" s="59">
        <f t="shared" si="14"/>
        <v>363.39125749271864</v>
      </c>
      <c r="CY18" s="59">
        <f ca="1">AVERAGE(OFFSET($CX$3,0,0,'Données projet'!$E$13+1,1))-AVERAGE(OFFSET($H$3,0,0,'Données projet'!$E$13+1,1))</f>
        <v>470.42022791389275</v>
      </c>
      <c r="CZ18" s="59">
        <f t="shared" si="42"/>
        <v>300.26117330627346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59.039949307747868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3.3603333333333336</v>
      </c>
      <c r="DO18" s="12">
        <f>IF('Données projet'!$A$166&gt;35,DO17+DN18-DW17,IF(A18&lt;'Données projet'!$A$166,$DL$205^A18,IF(A18='Données projet'!$A$166,'Données projet'!$B$166,DO17+DN18-DW17)))</f>
        <v>50.405000000000022</v>
      </c>
      <c r="DP18" s="17">
        <f>DO18*VLOOKUP('Données projet'!$B$14,Paramètres!$A$1:$I$89,3,0)*VLOOKUP('Données projet'!$B$14,Paramètres!$A$1:$I$89,5,0)</f>
        <v>48.751716000000023</v>
      </c>
      <c r="DQ18" s="13">
        <f t="shared" si="43"/>
        <v>14.290912055376443</v>
      </c>
      <c r="DR18" s="20">
        <f t="shared" si="16"/>
        <v>109.79924386311403</v>
      </c>
      <c r="DS18" s="59">
        <f t="shared" si="17"/>
        <v>344.61239132485616</v>
      </c>
      <c r="DT18" s="59">
        <f ca="1">AVERAGE(OFFSET($DS$3,0,0,'Données projet'!$E$14+1,1))-AVERAGE(OFFSET($H$3,0,0,'Données projet'!$E$14+1,1))</f>
        <v>537.37164071064103</v>
      </c>
      <c r="DU18" s="59">
        <f t="shared" si="44"/>
        <v>263.29777321132235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59.039949307747868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59.039949307747868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59.039949307747868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59.039949307747868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45">
      <c r="A19" s="10">
        <f t="shared" si="31"/>
        <v>16</v>
      </c>
      <c r="B19" s="73">
        <f>'Scénario référence'!$B$16*5+'Scénario référence'!$B$17*0+'Scénario référence'!$B$18*5</f>
        <v>2.8499999999999996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10.449999999999998</v>
      </c>
      <c r="H19" s="67">
        <f t="shared" si="1"/>
        <v>214.86666666666667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59.230081684255907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5.0894117647058819</v>
      </c>
      <c r="N19" s="13">
        <f>IF('Données projet'!$A$36&gt;35,N18+M19-V18,IF(A19&lt;'Données projet'!$A$36,$K$205^A19,IF(A19='Données projet'!$A$36,'Données projet'!$B$36,N18+M19-V18)))</f>
        <v>11.304345297031993</v>
      </c>
      <c r="O19" s="13">
        <f>N19*VLOOKUP('Données projet'!$B$9,Paramètres!$A$1:$I$89,3,0)*VLOOKUP('Données projet'!$B$9,Paramètres!$A$1:$I$89,5,0)</f>
        <v>10.228171624754548</v>
      </c>
      <c r="P19" s="13">
        <f t="shared" si="33"/>
        <v>3.5959163764406497</v>
      </c>
      <c r="Q19" s="20">
        <f t="shared" si="2"/>
        <v>24.076953268748301</v>
      </c>
      <c r="R19" s="59">
        <f t="shared" si="0"/>
        <v>260.80947499990884</v>
      </c>
      <c r="S19" s="59">
        <f ca="1">AVERAGE(OFFSET($R$3,0,0,'Données projet'!$E$9+1,1))-AVERAGE(OFFSET($H$3,0,0,'Données projet'!$E$9+1,1))</f>
        <v>719.20816951277925</v>
      </c>
      <c r="T19" s="59">
        <f t="shared" si="34"/>
        <v>237.1127421841087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59.230081684255907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4.9119354838709679</v>
      </c>
      <c r="AI19" s="13">
        <f>IF('Données projet'!$A$62&gt;35,AI18+AH19-AQ18,IF(A19&lt;'Données projet'!$A$62,$AF$205^A19,IF(A19='Données projet'!$A$62,'Données projet'!$B$62,AI18+AH19-AQ18)))</f>
        <v>13.381679717517972</v>
      </c>
      <c r="AJ19" s="13">
        <f>AI19*VLOOKUP('Données projet'!$B$10,Paramètres!$A$1:$I$89,3,0)*VLOOKUP('Données projet'!$B$10,Paramètres!$A$1:$I$89,5,0)</f>
        <v>11.272726994037141</v>
      </c>
      <c r="AK19" s="13">
        <f t="shared" si="35"/>
        <v>3.9185453724502666</v>
      </c>
      <c r="AL19" s="20">
        <f t="shared" si="4"/>
        <v>26.458132704965564</v>
      </c>
      <c r="AM19" s="59">
        <f t="shared" si="5"/>
        <v>263.19065443612612</v>
      </c>
      <c r="AN19" s="59">
        <f ca="1">AVERAGE(OFFSET($AM$3,0,0,'Données projet'!$E$10+1,1))-AVERAGE(OFFSET($H$3,0,0,'Données projet'!$E$10+1,1))</f>
        <v>442.79037205372367</v>
      </c>
      <c r="AO19" s="59">
        <f t="shared" si="36"/>
        <v>288.23553637727969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59.230081684255907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3.3603333333333336</v>
      </c>
      <c r="BD19" s="12">
        <f>IF('Données projet'!$A$88&gt;35,BD18+BC19-BL18,IF(A19&lt;'Données projet'!$A$88,$BA$205^A19,IF(A19='Données projet'!$A$88,'Données projet'!$B$88,BD18+BC19-BL18)))</f>
        <v>53.765333333333359</v>
      </c>
      <c r="BE19" s="13">
        <f>BD19*VLOOKUP('Données projet'!$B$11,Paramètres!$A$1:$I$89,3,0)*VLOOKUP('Données projet'!$B$11,Paramètres!$A$1:$I$89,5,0)</f>
        <v>54.518048000000029</v>
      </c>
      <c r="BF19" s="13">
        <f t="shared" si="37"/>
        <v>15.774626019217196</v>
      </c>
      <c r="BG19" s="20">
        <f t="shared" si="7"/>
        <v>122.42640725013666</v>
      </c>
      <c r="BH19" s="59">
        <f t="shared" si="8"/>
        <v>359.15892898129721</v>
      </c>
      <c r="BI19" s="59">
        <f ca="1">AVERAGE(OFFSET($BH$3,0,0,'Données projet'!$E$11+1,1))-AVERAGE(OFFSET($H$3,0,0,'Données projet'!$E$11+1,1))</f>
        <v>559.91818701710872</v>
      </c>
      <c r="BJ19" s="59">
        <f t="shared" si="38"/>
        <v>273.47272623465915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59.230081684255907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6.1538461538461533</v>
      </c>
      <c r="BY19" s="12">
        <f>IF('Données projet'!$A$114&gt;35,BY18+BX19-CG18,IF(A19&lt;'Données projet'!$A$114,$BV$205^A19,IF(A19='Données projet'!$A$114,'Données projet'!$B$114,BY18+BX19-CG18)))</f>
        <v>29.871794871794869</v>
      </c>
      <c r="BZ19" s="13">
        <f>BY19*VLOOKUP('Données projet'!$B$12,Paramètres!$A$1:$I$89,3,0)*VLOOKUP('Données projet'!$B$12,Paramètres!$A$1:$I$89,5,0)</f>
        <v>23.299999999999997</v>
      </c>
      <c r="CA19" s="13">
        <f t="shared" si="39"/>
        <v>7.4429955046030809</v>
      </c>
      <c r="CB19" s="20">
        <f t="shared" si="10"/>
        <v>53.544050503850364</v>
      </c>
      <c r="CC19" s="59">
        <f t="shared" si="11"/>
        <v>290.27657223501092</v>
      </c>
      <c r="CD19" s="59">
        <f ca="1">AVERAGE(OFFSET($CC$3,0,0,'Données projet'!$E$12+1,1))-AVERAGE(OFFSET($H$3,0,0,'Données projet'!$E$12+1,1))</f>
        <v>208.92677786250815</v>
      </c>
      <c r="CE19" s="59">
        <f t="shared" si="40"/>
        <v>207.54290142772214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0.17269997540868137</v>
      </c>
      <c r="CM19" s="21">
        <f>EXP(-LN(2)/2)*CM18+(1-EXP(-LN(2)/2))/(LN(2)/2)*CG19*CJ19*VLOOKUP('Données projet'!$B$12,Paramètres!$A$1:$I$89,3,0)*0.475*44/12</f>
        <v>0.25019035483105895</v>
      </c>
      <c r="CN19" s="22">
        <f t="shared" si="12"/>
        <v>0.42289033023974032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59.230081684255907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4.016578947368421</v>
      </c>
      <c r="CT19" s="12">
        <f>IF('Données projet'!$A$140&gt;35,CT18+CS19-DB18,IF(A19&lt;'Données projet'!$A$140,$CQ$205^A19,IF(A19='Données projet'!$A$140,'Données projet'!$B$140,CT18+CS19-DB18)))</f>
        <v>64.265263157894751</v>
      </c>
      <c r="CU19" s="17">
        <f>CT19*VLOOKUP('Données projet'!$B$13,Paramètres!$A$1:$I$89,3,0)*VLOOKUP('Données projet'!$B$13,Paramètres!$A$1:$I$89,5,0)</f>
        <v>61.154824421052645</v>
      </c>
      <c r="CV19" s="13">
        <f t="shared" si="41"/>
        <v>17.459920112357459</v>
      </c>
      <c r="CW19" s="20">
        <f t="shared" si="13"/>
        <v>136.92068006235593</v>
      </c>
      <c r="CX19" s="59">
        <f t="shared" si="14"/>
        <v>373.65320179351647</v>
      </c>
      <c r="CY19" s="59">
        <f ca="1">AVERAGE(OFFSET($CX$3,0,0,'Données projet'!$E$13+1,1))-AVERAGE(OFFSET($H$3,0,0,'Données projet'!$E$13+1,1))</f>
        <v>470.42022791389275</v>
      </c>
      <c r="CZ19" s="59">
        <f t="shared" si="42"/>
        <v>300.26117330627346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59.230081684255907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3.3603333333333336</v>
      </c>
      <c r="DO19" s="12">
        <f>IF('Données projet'!$A$166&gt;35,DO18+DN19-DW18,IF(A19&lt;'Données projet'!$A$166,$DL$205^A19,IF(A19='Données projet'!$A$166,'Données projet'!$B$166,DO18+DN19-DW18)))</f>
        <v>53.765333333333359</v>
      </c>
      <c r="DP19" s="17">
        <f>DO19*VLOOKUP('Données projet'!$B$14,Paramètres!$A$1:$I$89,3,0)*VLOOKUP('Données projet'!$B$14,Paramètres!$A$1:$I$89,5,0)</f>
        <v>52.001830400000031</v>
      </c>
      <c r="DQ19" s="13">
        <f t="shared" si="43"/>
        <v>15.129554036370385</v>
      </c>
      <c r="DR19" s="20">
        <f t="shared" si="16"/>
        <v>116.92049456001179</v>
      </c>
      <c r="DS19" s="59">
        <f t="shared" si="17"/>
        <v>353.65301629117232</v>
      </c>
      <c r="DT19" s="59">
        <f ca="1">AVERAGE(OFFSET($DS$3,0,0,'Données projet'!$E$14+1,1))-AVERAGE(OFFSET($H$3,0,0,'Données projet'!$E$14+1,1))</f>
        <v>537.37164071064103</v>
      </c>
      <c r="DU19" s="59">
        <f t="shared" si="44"/>
        <v>263.29777321132235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59.230081684255907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59.230081684255907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59.230081684255907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59.230081684255907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45">
      <c r="A20" s="10">
        <f t="shared" si="31"/>
        <v>17</v>
      </c>
      <c r="B20" s="73">
        <f>'Scénario référence'!$B$16*5+'Scénario référence'!$B$17*0+'Scénario référence'!$B$18*5</f>
        <v>2.8499999999999996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10.449999999999998</v>
      </c>
      <c r="H20" s="67">
        <f t="shared" si="1"/>
        <v>214.86666666666667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59.416915689103845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5.0894117647058819</v>
      </c>
      <c r="N20" s="13">
        <f>IF('Données projet'!$A$36&gt;35,N19+M20-V19,IF(A20&lt;'Données projet'!$A$36,$K$205^A20,IF(A20='Données projet'!$A$36,'Données projet'!$B$36,N19+M20-V19)))</f>
        <v>13.154466921924275</v>
      </c>
      <c r="O20" s="13">
        <f>N20*VLOOKUP('Données projet'!$B$9,Paramètres!$A$1:$I$89,3,0)*VLOOKUP('Données projet'!$B$9,Paramètres!$A$1:$I$89,5,0)</f>
        <v>11.902161670957083</v>
      </c>
      <c r="P20" s="13">
        <f t="shared" si="33"/>
        <v>4.1112611244651047</v>
      </c>
      <c r="Q20" s="20">
        <f t="shared" si="2"/>
        <v>27.890044702026973</v>
      </c>
      <c r="R20" s="59">
        <f t="shared" si="0"/>
        <v>266.52984667318555</v>
      </c>
      <c r="S20" s="59">
        <f ca="1">AVERAGE(OFFSET($R$3,0,0,'Données projet'!$E$9+1,1))-AVERAGE(OFFSET($H$3,0,0,'Données projet'!$E$9+1,1))</f>
        <v>719.20816951277925</v>
      </c>
      <c r="T20" s="59">
        <f t="shared" si="34"/>
        <v>237.1127421841087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59.416915689103845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4.9119354838709679</v>
      </c>
      <c r="AI20" s="13">
        <f>IF('Données projet'!$A$62&gt;35,AI19+AH20-AQ19,IF(A20&lt;'Données projet'!$A$62,$AF$205^A20,IF(A20='Données projet'!$A$62,'Données projet'!$B$62,AI19+AH20-AQ19)))</f>
        <v>15.736840589218154</v>
      </c>
      <c r="AJ20" s="13">
        <f>AI20*VLOOKUP('Données projet'!$B$10,Paramètres!$A$1:$I$89,3,0)*VLOOKUP('Données projet'!$B$10,Paramètres!$A$1:$I$89,5,0)</f>
        <v>13.256714512357373</v>
      </c>
      <c r="AK20" s="13">
        <f t="shared" si="35"/>
        <v>4.5220611349087303</v>
      </c>
      <c r="AL20" s="20">
        <f t="shared" si="4"/>
        <v>30.964700918988459</v>
      </c>
      <c r="AM20" s="59">
        <f t="shared" si="5"/>
        <v>269.60450289014705</v>
      </c>
      <c r="AN20" s="59">
        <f ca="1">AVERAGE(OFFSET($AM$3,0,0,'Données projet'!$E$10+1,1))-AVERAGE(OFFSET($H$3,0,0,'Données projet'!$E$10+1,1))</f>
        <v>442.79037205372367</v>
      </c>
      <c r="AO20" s="59">
        <f t="shared" si="36"/>
        <v>288.23553637727969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59.416915689103845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3.3603333333333336</v>
      </c>
      <c r="BD20" s="12">
        <f>IF('Données projet'!$A$88&gt;35,BD19+BC20-BL19,IF(A20&lt;'Données projet'!$A$88,$BA$205^A20,IF(A20='Données projet'!$A$88,'Données projet'!$B$88,BD19+BC20-BL19)))</f>
        <v>57.125666666666696</v>
      </c>
      <c r="BE20" s="13">
        <f>BD20*VLOOKUP('Données projet'!$B$11,Paramètres!$A$1:$I$89,3,0)*VLOOKUP('Données projet'!$B$11,Paramètres!$A$1:$I$89,5,0)</f>
        <v>57.925426000000037</v>
      </c>
      <c r="BF20" s="13">
        <f t="shared" si="37"/>
        <v>16.64268227480698</v>
      </c>
      <c r="BG20" s="20">
        <f t="shared" si="7"/>
        <v>129.87278857862222</v>
      </c>
      <c r="BH20" s="59">
        <f t="shared" si="8"/>
        <v>368.51259054978078</v>
      </c>
      <c r="BI20" s="59">
        <f ca="1">AVERAGE(OFFSET($BH$3,0,0,'Données projet'!$E$11+1,1))-AVERAGE(OFFSET($H$3,0,0,'Données projet'!$E$11+1,1))</f>
        <v>559.91818701710872</v>
      </c>
      <c r="BJ20" s="59">
        <f t="shared" si="38"/>
        <v>273.47272623465915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59.416915689103845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6.1538461538461533</v>
      </c>
      <c r="BY20" s="12">
        <f>IF('Données projet'!$A$114&gt;35,BY19+BX20-CG19,IF(A20&lt;'Données projet'!$A$114,$BV$205^A20,IF(A20='Données projet'!$A$114,'Données projet'!$B$114,BY19+BX20-CG19)))</f>
        <v>36.025641025641022</v>
      </c>
      <c r="BZ20" s="13">
        <f>BY20*VLOOKUP('Données projet'!$B$12,Paramètres!$A$1:$I$89,3,0)*VLOOKUP('Données projet'!$B$12,Paramètres!$A$1:$I$89,5,0)</f>
        <v>28.099999999999998</v>
      </c>
      <c r="CA20" s="13">
        <f t="shared" si="39"/>
        <v>8.7827186210663637</v>
      </c>
      <c r="CB20" s="20">
        <f t="shared" si="10"/>
        <v>64.237401598357238</v>
      </c>
      <c r="CC20" s="59">
        <f t="shared" si="11"/>
        <v>302.87720356951581</v>
      </c>
      <c r="CD20" s="59">
        <f ca="1">AVERAGE(OFFSET($CC$3,0,0,'Données projet'!$E$12+1,1))-AVERAGE(OFFSET($H$3,0,0,'Données projet'!$E$12+1,1))</f>
        <v>208.92677786250815</v>
      </c>
      <c r="CE20" s="59">
        <f t="shared" si="40"/>
        <v>207.54290142772214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0.167977485499234</v>
      </c>
      <c r="CM20" s="21">
        <f>EXP(-LN(2)/2)*CM19+(1-EXP(-LN(2)/2))/(LN(2)/2)*CG20*CJ20*VLOOKUP('Données projet'!$B$12,Paramètres!$A$1:$I$89,3,0)*0.475*44/12</f>
        <v>0.17691129648851028</v>
      </c>
      <c r="CN20" s="22">
        <f t="shared" si="12"/>
        <v>0.34488878198774431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59.416915689103845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4.016578947368421</v>
      </c>
      <c r="CT20" s="12">
        <f>IF('Données projet'!$A$140&gt;35,CT19+CS20-DB19,IF(A20&lt;'Données projet'!$A$140,$CQ$205^A20,IF(A20='Données projet'!$A$140,'Données projet'!$B$140,CT19+CS20-DB19)))</f>
        <v>68.281842105263166</v>
      </c>
      <c r="CU20" s="17">
        <f>CT20*VLOOKUP('Données projet'!$B$13,Paramètres!$A$1:$I$89,3,0)*VLOOKUP('Données projet'!$B$13,Paramètres!$A$1:$I$89,5,0)</f>
        <v>64.977000947368424</v>
      </c>
      <c r="CV20" s="13">
        <f t="shared" si="41"/>
        <v>18.420715814085391</v>
      </c>
      <c r="CW20" s="20">
        <f t="shared" si="13"/>
        <v>145.25102335953207</v>
      </c>
      <c r="CX20" s="59">
        <f t="shared" si="14"/>
        <v>383.89082533069063</v>
      </c>
      <c r="CY20" s="59">
        <f ca="1">AVERAGE(OFFSET($CX$3,0,0,'Données projet'!$E$13+1,1))-AVERAGE(OFFSET($H$3,0,0,'Données projet'!$E$13+1,1))</f>
        <v>470.42022791389275</v>
      </c>
      <c r="CZ20" s="59">
        <f t="shared" si="42"/>
        <v>300.26117330627346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59.416915689103845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3.3603333333333336</v>
      </c>
      <c r="DO20" s="12">
        <f>IF('Données projet'!$A$166&gt;35,DO19+DN20-DW19,IF(A20&lt;'Données projet'!$A$166,$DL$205^A20,IF(A20='Données projet'!$A$166,'Données projet'!$B$166,DO19+DN20-DW19)))</f>
        <v>57.125666666666696</v>
      </c>
      <c r="DP20" s="17">
        <f>DO20*VLOOKUP('Données projet'!$B$14,Paramètres!$A$1:$I$89,3,0)*VLOOKUP('Données projet'!$B$14,Paramètres!$A$1:$I$89,5,0)</f>
        <v>55.251944800000032</v>
      </c>
      <c r="DQ20" s="13">
        <f t="shared" si="43"/>
        <v>15.962112856437207</v>
      </c>
      <c r="DR20" s="20">
        <f t="shared" si="16"/>
        <v>124.03115041829483</v>
      </c>
      <c r="DS20" s="59">
        <f t="shared" si="17"/>
        <v>362.67095238945342</v>
      </c>
      <c r="DT20" s="59">
        <f ca="1">AVERAGE(OFFSET($DS$3,0,0,'Données projet'!$E$14+1,1))-AVERAGE(OFFSET($H$3,0,0,'Données projet'!$E$14+1,1))</f>
        <v>537.37164071064103</v>
      </c>
      <c r="DU20" s="59">
        <f t="shared" si="44"/>
        <v>263.29777321132235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59.416915689103845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59.416915689103845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59.416915689103845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59.416915689103845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45">
      <c r="A21" s="10">
        <f t="shared" si="31"/>
        <v>18</v>
      </c>
      <c r="B21" s="73">
        <f>'Scénario référence'!$B$16*5+'Scénario référence'!$B$17*0+'Scénario référence'!$B$18*5</f>
        <v>2.8499999999999996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10.449999999999998</v>
      </c>
      <c r="H21" s="67">
        <f t="shared" si="1"/>
        <v>214.86666666666667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59.600508541665931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5.0894117647058819</v>
      </c>
      <c r="N21" s="13">
        <f>IF('Données projet'!$A$36&gt;35,N20+M21-V20,IF(A21&lt;'Données projet'!$A$36,$K$205^A21,IF(A21='Données projet'!$A$36,'Données projet'!$B$36,N20+M21-V20)))</f>
        <v>15.307388040016111</v>
      </c>
      <c r="O21" s="13">
        <f>N21*VLOOKUP('Données projet'!$B$9,Paramètres!$A$1:$I$89,3,0)*VLOOKUP('Données projet'!$B$9,Paramètres!$A$1:$I$89,5,0)</f>
        <v>13.850124698606576</v>
      </c>
      <c r="P21" s="13">
        <f t="shared" si="33"/>
        <v>4.7004619307272835</v>
      </c>
      <c r="Q21" s="20">
        <f t="shared" si="2"/>
        <v>32.30893837942314</v>
      </c>
      <c r="R21" s="59">
        <f t="shared" si="0"/>
        <v>272.84413636553154</v>
      </c>
      <c r="S21" s="59">
        <f ca="1">AVERAGE(OFFSET($R$3,0,0,'Données projet'!$E$9+1,1))-AVERAGE(OFFSET($H$3,0,0,'Données projet'!$E$9+1,1))</f>
        <v>719.20816951277925</v>
      </c>
      <c r="T21" s="59">
        <f t="shared" si="34"/>
        <v>237.1127421841087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59.600508541665931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4.9119354838709679</v>
      </c>
      <c r="AI21" s="13">
        <f>IF('Données projet'!$A$62&gt;35,AI20+AH21-AQ20,IF(A21&lt;'Données projet'!$A$62,$AF$205^A21,IF(A21='Données projet'!$A$62,'Données projet'!$B$62,AI20+AH21-AQ20)))</f>
        <v>18.50650717684324</v>
      </c>
      <c r="AJ21" s="13">
        <f>AI21*VLOOKUP('Données projet'!$B$10,Paramètres!$A$1:$I$89,3,0)*VLOOKUP('Données projet'!$B$10,Paramètres!$A$1:$I$89,5,0)</f>
        <v>15.589881645772746</v>
      </c>
      <c r="AK21" s="13">
        <f t="shared" si="35"/>
        <v>5.2185275310632022</v>
      </c>
      <c r="AL21" s="20">
        <f t="shared" si="4"/>
        <v>36.241312649655946</v>
      </c>
      <c r="AM21" s="59">
        <f t="shared" si="5"/>
        <v>276.77651063576434</v>
      </c>
      <c r="AN21" s="59">
        <f ca="1">AVERAGE(OFFSET($AM$3,0,0,'Données projet'!$E$10+1,1))-AVERAGE(OFFSET($H$3,0,0,'Données projet'!$E$10+1,1))</f>
        <v>442.79037205372367</v>
      </c>
      <c r="AO21" s="59">
        <f t="shared" si="36"/>
        <v>288.23553637727969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59.600508541665931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3.3603333333333336</v>
      </c>
      <c r="BD21" s="12">
        <f>IF('Données projet'!$A$88&gt;35,BD20+BC21-BL20,IF(A21&lt;'Données projet'!$A$88,$BA$205^A21,IF(A21='Données projet'!$A$88,'Données projet'!$B$88,BD20+BC21-BL20)))</f>
        <v>60.486000000000033</v>
      </c>
      <c r="BE21" s="13">
        <f>BD21*VLOOKUP('Données projet'!$B$11,Paramètres!$A$1:$I$89,3,0)*VLOOKUP('Données projet'!$B$11,Paramètres!$A$1:$I$89,5,0)</f>
        <v>61.332804000000031</v>
      </c>
      <c r="BF21" s="13">
        <f t="shared" si="37"/>
        <v>17.504811592326099</v>
      </c>
      <c r="BG21" s="20">
        <f t="shared" si="7"/>
        <v>137.30884715663467</v>
      </c>
      <c r="BH21" s="59">
        <f t="shared" si="8"/>
        <v>377.84404514274308</v>
      </c>
      <c r="BI21" s="59">
        <f ca="1">AVERAGE(OFFSET($BH$3,0,0,'Données projet'!$E$11+1,1))-AVERAGE(OFFSET($H$3,0,0,'Données projet'!$E$11+1,1))</f>
        <v>559.91818701710872</v>
      </c>
      <c r="BJ21" s="59">
        <f t="shared" si="38"/>
        <v>273.47272623465915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59.600508541665931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6.1538461538461533</v>
      </c>
      <c r="BY21" s="12">
        <f>IF('Données projet'!$A$114&gt;35,BY20+BX21-CG20,IF(A21&lt;'Données projet'!$A$114,$BV$205^A21,IF(A21='Données projet'!$A$114,'Données projet'!$B$114,BY20+BX21-CG20)))</f>
        <v>42.179487179487175</v>
      </c>
      <c r="BZ21" s="13">
        <f>BY21*VLOOKUP('Données projet'!$B$12,Paramètres!$A$1:$I$89,3,0)*VLOOKUP('Données projet'!$B$12,Paramètres!$A$1:$I$89,5,0)</f>
        <v>32.9</v>
      </c>
      <c r="CA21" s="13">
        <f t="shared" si="39"/>
        <v>10.09593068723915</v>
      </c>
      <c r="CB21" s="20">
        <f t="shared" si="10"/>
        <v>74.884579280274849</v>
      </c>
      <c r="CC21" s="59">
        <f t="shared" si="11"/>
        <v>315.41977726638328</v>
      </c>
      <c r="CD21" s="59">
        <f ca="1">AVERAGE(OFFSET($CC$3,0,0,'Données projet'!$E$12+1,1))-AVERAGE(OFFSET($H$3,0,0,'Données projet'!$E$12+1,1))</f>
        <v>208.92677786250815</v>
      </c>
      <c r="CE21" s="59">
        <f t="shared" si="40"/>
        <v>207.54290142772214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0.16338413232470539</v>
      </c>
      <c r="CM21" s="21">
        <f>EXP(-LN(2)/2)*CM20+(1-EXP(-LN(2)/2))/(LN(2)/2)*CG21*CJ21*VLOOKUP('Données projet'!$B$12,Paramètres!$A$1:$I$89,3,0)*0.475*44/12</f>
        <v>0.12509517741552947</v>
      </c>
      <c r="CN21" s="22">
        <f t="shared" si="12"/>
        <v>0.28847930974023483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59.600508541665931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4.016578947368421</v>
      </c>
      <c r="CT21" s="12">
        <f>IF('Données projet'!$A$140&gt;35,CT20+CS21-DB20,IF(A21&lt;'Données projet'!$A$140,$CQ$205^A21,IF(A21='Données projet'!$A$140,'Données projet'!$B$140,CT20+CS21-DB20)))</f>
        <v>72.298421052631582</v>
      </c>
      <c r="CU21" s="17">
        <f>CT21*VLOOKUP('Données projet'!$B$13,Paramètres!$A$1:$I$89,3,0)*VLOOKUP('Données projet'!$B$13,Paramètres!$A$1:$I$89,5,0)</f>
        <v>68.79917747368421</v>
      </c>
      <c r="CV21" s="13">
        <f t="shared" si="41"/>
        <v>19.37495136883436</v>
      </c>
      <c r="CW21" s="20">
        <f t="shared" si="13"/>
        <v>153.56994106738651</v>
      </c>
      <c r="CX21" s="59">
        <f t="shared" si="14"/>
        <v>394.1051390534949</v>
      </c>
      <c r="CY21" s="59">
        <f ca="1">AVERAGE(OFFSET($CX$3,0,0,'Données projet'!$E$13+1,1))-AVERAGE(OFFSET($H$3,0,0,'Données projet'!$E$13+1,1))</f>
        <v>470.42022791389275</v>
      </c>
      <c r="CZ21" s="59">
        <f t="shared" si="42"/>
        <v>300.26117330627346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59.600508541665931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3.3603333333333336</v>
      </c>
      <c r="DO21" s="12">
        <f>IF('Données projet'!$A$166&gt;35,DO20+DN21-DW20,IF(A21&lt;'Données projet'!$A$166,$DL$205^A21,IF(A21='Données projet'!$A$166,'Données projet'!$B$166,DO20+DN21-DW20)))</f>
        <v>60.486000000000033</v>
      </c>
      <c r="DP21" s="17">
        <f>DO21*VLOOKUP('Données projet'!$B$14,Paramètres!$A$1:$I$89,3,0)*VLOOKUP('Données projet'!$B$14,Paramètres!$A$1:$I$89,5,0)</f>
        <v>58.502059200000033</v>
      </c>
      <c r="DQ21" s="13">
        <f t="shared" si="43"/>
        <v>16.788987108787442</v>
      </c>
      <c r="DR21" s="20">
        <f t="shared" si="16"/>
        <v>131.13190565447152</v>
      </c>
      <c r="DS21" s="59">
        <f t="shared" si="17"/>
        <v>371.66710364057997</v>
      </c>
      <c r="DT21" s="59">
        <f ca="1">AVERAGE(OFFSET($DS$3,0,0,'Données projet'!$E$14+1,1))-AVERAGE(OFFSET($H$3,0,0,'Données projet'!$E$14+1,1))</f>
        <v>537.37164071064103</v>
      </c>
      <c r="DU21" s="59">
        <f t="shared" si="44"/>
        <v>263.29777321132235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59.600508541665931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59.600508541665931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59.600508541665931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59.600508541665931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45">
      <c r="A22" s="10">
        <f t="shared" si="31"/>
        <v>19</v>
      </c>
      <c r="B22" s="73">
        <f>'Scénario référence'!$B$16*5+'Scénario référence'!$B$17*0+'Scénario référence'!$B$18*5</f>
        <v>2.8499999999999996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10.449999999999998</v>
      </c>
      <c r="H22" s="67">
        <f t="shared" si="1"/>
        <v>214.86666666666667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59.780916468688204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5.0894117647058819</v>
      </c>
      <c r="N22" s="13">
        <f>IF('Données projet'!$A$36&gt;35,N21+M22-V21,IF(A22&lt;'Données projet'!$A$36,$K$205^A22,IF(A22='Données projet'!$A$36,'Données projet'!$B$36,N21+M22-V21)))</f>
        <v>17.812666221927888</v>
      </c>
      <c r="O22" s="13">
        <f>N22*VLOOKUP('Données projet'!$B$9,Paramètres!$A$1:$I$89,3,0)*VLOOKUP('Données projet'!$B$9,Paramètres!$A$1:$I$89,5,0)</f>
        <v>16.11690039760035</v>
      </c>
      <c r="P22" s="13">
        <f t="shared" si="33"/>
        <v>5.374103393904722</v>
      </c>
      <c r="Q22" s="20">
        <f t="shared" si="2"/>
        <v>37.430164936871329</v>
      </c>
      <c r="R22" s="59">
        <f t="shared" si="0"/>
        <v>279.84908087761693</v>
      </c>
      <c r="S22" s="59">
        <f ca="1">AVERAGE(OFFSET($R$3,0,0,'Données projet'!$E$9+1,1))-AVERAGE(OFFSET($H$3,0,0,'Données projet'!$E$9+1,1))</f>
        <v>719.20816951277925</v>
      </c>
      <c r="T22" s="59">
        <f t="shared" si="34"/>
        <v>237.1127421841087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59.780916468688204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4.9119354838709679</v>
      </c>
      <c r="AI22" s="13">
        <f>IF('Données projet'!$A$62&gt;35,AI21+AH22-AQ21,IF(A22&lt;'Données projet'!$A$62,$AF$205^A22,IF(A22='Données projet'!$A$62,'Données projet'!$B$62,AI21+AH22-AQ21)))</f>
        <v>21.763632029239876</v>
      </c>
      <c r="AJ22" s="13">
        <f>AI22*VLOOKUP('Données projet'!$B$10,Paramètres!$A$1:$I$89,3,0)*VLOOKUP('Données projet'!$B$10,Paramètres!$A$1:$I$89,5,0)</f>
        <v>18.333683621431675</v>
      </c>
      <c r="AK22" s="13">
        <f t="shared" si="35"/>
        <v>6.0222603764100286</v>
      </c>
      <c r="AL22" s="20">
        <f t="shared" si="4"/>
        <v>42.419935796240964</v>
      </c>
      <c r="AM22" s="59">
        <f t="shared" si="5"/>
        <v>284.83885173698661</v>
      </c>
      <c r="AN22" s="59">
        <f ca="1">AVERAGE(OFFSET($AM$3,0,0,'Données projet'!$E$10+1,1))-AVERAGE(OFFSET($H$3,0,0,'Données projet'!$E$10+1,1))</f>
        <v>442.79037205372367</v>
      </c>
      <c r="AO22" s="59">
        <f t="shared" si="36"/>
        <v>288.23553637727969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59.780916468688204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3.3603333333333336</v>
      </c>
      <c r="BD22" s="12">
        <f>IF('Données projet'!$A$88&gt;35,BD21+BC22-BL21,IF(A22&lt;'Données projet'!$A$88,$BA$205^A22,IF(A22='Données projet'!$A$88,'Données projet'!$B$88,BD21+BC22-BL21)))</f>
        <v>63.846333333333369</v>
      </c>
      <c r="BE22" s="13">
        <f>BD22*VLOOKUP('Données projet'!$B$11,Paramètres!$A$1:$I$89,3,0)*VLOOKUP('Données projet'!$B$11,Paramètres!$A$1:$I$89,5,0)</f>
        <v>64.740182000000047</v>
      </c>
      <c r="BF22" s="13">
        <f t="shared" si="37"/>
        <v>18.361380775200633</v>
      </c>
      <c r="BG22" s="20">
        <f t="shared" si="7"/>
        <v>144.73522183347453</v>
      </c>
      <c r="BH22" s="59">
        <f t="shared" si="8"/>
        <v>387.15413777422015</v>
      </c>
      <c r="BI22" s="59">
        <f ca="1">AVERAGE(OFFSET($BH$3,0,0,'Données projet'!$E$11+1,1))-AVERAGE(OFFSET($H$3,0,0,'Données projet'!$E$11+1,1))</f>
        <v>559.91818701710872</v>
      </c>
      <c r="BJ22" s="59">
        <f t="shared" si="38"/>
        <v>273.47272623465915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59.780916468688204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6.1538461538461533</v>
      </c>
      <c r="BY22" s="12">
        <f>IF('Données projet'!$A$114&gt;35,BY21+BX22-CG21,IF(A22&lt;'Données projet'!$A$114,$BV$205^A22,IF(A22='Données projet'!$A$114,'Données projet'!$B$114,BY21+BX22-CG21)))</f>
        <v>48.333333333333329</v>
      </c>
      <c r="BZ22" s="13">
        <f>BY22*VLOOKUP('Données projet'!$B$12,Paramètres!$A$1:$I$89,3,0)*VLOOKUP('Données projet'!$B$12,Paramètres!$A$1:$I$89,5,0)</f>
        <v>37.699999999999996</v>
      </c>
      <c r="CA22" s="13">
        <f t="shared" si="39"/>
        <v>11.386946545346296</v>
      </c>
      <c r="CB22" s="20">
        <f t="shared" si="10"/>
        <v>85.493098566478125</v>
      </c>
      <c r="CC22" s="59">
        <f t="shared" si="11"/>
        <v>327.91201450722372</v>
      </c>
      <c r="CD22" s="59">
        <f ca="1">AVERAGE(OFFSET($CC$3,0,0,'Données projet'!$E$12+1,1))-AVERAGE(OFFSET($H$3,0,0,'Données projet'!$E$12+1,1))</f>
        <v>208.92677786250815</v>
      </c>
      <c r="CE22" s="59">
        <f t="shared" si="40"/>
        <v>207.54290142772214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0.15891638463428823</v>
      </c>
      <c r="CM22" s="21">
        <f>EXP(-LN(2)/2)*CM21+(1-EXP(-LN(2)/2))/(LN(2)/2)*CG22*CJ22*VLOOKUP('Données projet'!$B$12,Paramètres!$A$1:$I$89,3,0)*0.475*44/12</f>
        <v>8.8455648244255142E-2</v>
      </c>
      <c r="CN22" s="22">
        <f t="shared" si="12"/>
        <v>0.24737203287854337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59.780916468688204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4.016578947368421</v>
      </c>
      <c r="CT22" s="12">
        <f>IF('Données projet'!$A$140&gt;35,CT21+CS22-DB21,IF(A22&lt;'Données projet'!$A$140,$CQ$205^A22,IF(A22='Données projet'!$A$140,'Données projet'!$B$140,CT21+CS22-DB21)))</f>
        <v>76.314999999999998</v>
      </c>
      <c r="CU22" s="17">
        <f>CT22*VLOOKUP('Données projet'!$B$13,Paramètres!$A$1:$I$89,3,0)*VLOOKUP('Données projet'!$B$13,Paramètres!$A$1:$I$89,5,0)</f>
        <v>72.621353999999997</v>
      </c>
      <c r="CV22" s="13">
        <f t="shared" si="41"/>
        <v>20.323032767751659</v>
      </c>
      <c r="CW22" s="20">
        <f t="shared" si="13"/>
        <v>161.87814028716744</v>
      </c>
      <c r="CX22" s="59">
        <f t="shared" si="14"/>
        <v>404.29705622791306</v>
      </c>
      <c r="CY22" s="59">
        <f ca="1">AVERAGE(OFFSET($CX$3,0,0,'Données projet'!$E$13+1,1))-AVERAGE(OFFSET($H$3,0,0,'Données projet'!$E$13+1,1))</f>
        <v>470.42022791389275</v>
      </c>
      <c r="CZ22" s="59">
        <f t="shared" si="42"/>
        <v>300.26117330627346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59.780916468688204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3.3603333333333336</v>
      </c>
      <c r="DO22" s="12">
        <f>IF('Données projet'!$A$166&gt;35,DO21+DN22-DW21,IF(A22&lt;'Données projet'!$A$166,$DL$205^A22,IF(A22='Données projet'!$A$166,'Données projet'!$B$166,DO21+DN22-DW21)))</f>
        <v>63.846333333333369</v>
      </c>
      <c r="DP22" s="17">
        <f>DO22*VLOOKUP('Données projet'!$B$14,Paramètres!$A$1:$I$89,3,0)*VLOOKUP('Données projet'!$B$14,Paramètres!$A$1:$I$89,5,0)</f>
        <v>61.752173600000035</v>
      </c>
      <c r="DQ22" s="13">
        <f t="shared" si="43"/>
        <v>17.610528597149965</v>
      </c>
      <c r="DR22" s="20">
        <f t="shared" si="16"/>
        <v>138.22337299336959</v>
      </c>
      <c r="DS22" s="59">
        <f t="shared" si="17"/>
        <v>380.64228893411519</v>
      </c>
      <c r="DT22" s="59">
        <f ca="1">AVERAGE(OFFSET($DS$3,0,0,'Données projet'!$E$14+1,1))-AVERAGE(OFFSET($H$3,0,0,'Données projet'!$E$14+1,1))</f>
        <v>537.37164071064103</v>
      </c>
      <c r="DU22" s="59">
        <f t="shared" si="44"/>
        <v>263.29777321132235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59.780916468688204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59.780916468688204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59.780916468688204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59.780916468688204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45">
      <c r="A23" s="10">
        <f t="shared" si="31"/>
        <v>20</v>
      </c>
      <c r="B23" s="73">
        <f>'Scénario référence'!$B$16*5+'Scénario référence'!$B$17*0+'Scénario référence'!$B$18*5</f>
        <v>2.8499999999999996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10.449999999999998</v>
      </c>
      <c r="H23" s="67">
        <f t="shared" si="1"/>
        <v>214.86666666666667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59.958194721508335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5.0894117647058819</v>
      </c>
      <c r="N23" s="13">
        <f>IF('Données projet'!$A$36&gt;35,N22+M23-V22,IF(A23&lt;'Données projet'!$A$36,$K$205^A23,IF(A23='Données projet'!$A$36,'Données projet'!$B$36,N22+M23-V22)))</f>
        <v>20.727969860328756</v>
      </c>
      <c r="O23" s="13">
        <f>N23*VLOOKUP('Données projet'!$B$9,Paramètres!$A$1:$I$89,3,0)*VLOOKUP('Données projet'!$B$9,Paramètres!$A$1:$I$89,5,0)</f>
        <v>18.754667129625457</v>
      </c>
      <c r="P23" s="13">
        <f t="shared" si="33"/>
        <v>6.1442870326384318</v>
      </c>
      <c r="Q23" s="20">
        <f t="shared" si="2"/>
        <v>43.365678499276271</v>
      </c>
      <c r="R23" s="59">
        <f t="shared" si="0"/>
        <v>287.6568369225846</v>
      </c>
      <c r="S23" s="59">
        <f ca="1">AVERAGE(OFFSET($R$3,0,0,'Données projet'!$E$9+1,1))-AVERAGE(OFFSET($H$3,0,0,'Données projet'!$E$9+1,1))</f>
        <v>719.20816951277925</v>
      </c>
      <c r="T23" s="59">
        <f t="shared" si="34"/>
        <v>237.1127421841087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59.958194721508335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4.9119354838709679</v>
      </c>
      <c r="AI23" s="13">
        <f>IF('Données projet'!$A$62&gt;35,AI22+AH23-AQ22,IF(A23&lt;'Données projet'!$A$62,$AF$205^A23,IF(A23='Données projet'!$A$62,'Données projet'!$B$62,AI22+AH23-AQ22)))</f>
        <v>25.594007263392744</v>
      </c>
      <c r="AJ23" s="13">
        <f>AI23*VLOOKUP('Données projet'!$B$10,Paramètres!$A$1:$I$89,3,0)*VLOOKUP('Données projet'!$B$10,Paramètres!$A$1:$I$89,5,0)</f>
        <v>21.560391718682048</v>
      </c>
      <c r="AK23" s="13">
        <f t="shared" si="35"/>
        <v>6.949780340411313</v>
      </c>
      <c r="AL23" s="20">
        <f t="shared" si="4"/>
        <v>49.655216336254263</v>
      </c>
      <c r="AM23" s="59">
        <f t="shared" si="5"/>
        <v>293.94637475956262</v>
      </c>
      <c r="AN23" s="59">
        <f ca="1">AVERAGE(OFFSET($AM$3,0,0,'Données projet'!$E$10+1,1))-AVERAGE(OFFSET($H$3,0,0,'Données projet'!$E$10+1,1))</f>
        <v>442.79037205372367</v>
      </c>
      <c r="AO23" s="59">
        <f t="shared" si="36"/>
        <v>288.23553637727969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59.958194721508335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3.3603333333333336</v>
      </c>
      <c r="BD23" s="12">
        <f>IF('Données projet'!$A$88&gt;35,BD22+BC23-BL22,IF(A23&lt;'Données projet'!$A$88,$BA$205^A23,IF(A23='Données projet'!$A$88,'Données projet'!$B$88,BD22+BC23-BL22)))</f>
        <v>67.206666666666706</v>
      </c>
      <c r="BE23" s="13">
        <f>BD23*VLOOKUP('Données projet'!$B$11,Paramètres!$A$1:$I$89,3,0)*VLOOKUP('Données projet'!$B$11,Paramètres!$A$1:$I$89,5,0)</f>
        <v>68.147560000000055</v>
      </c>
      <c r="BF23" s="13">
        <f t="shared" si="37"/>
        <v>19.212715835236935</v>
      </c>
      <c r="BG23" s="20">
        <f t="shared" si="7"/>
        <v>152.15248041303775</v>
      </c>
      <c r="BH23" s="59">
        <f t="shared" si="8"/>
        <v>396.44363883634611</v>
      </c>
      <c r="BI23" s="59">
        <f ca="1">AVERAGE(OFFSET($BH$3,0,0,'Données projet'!$E$11+1,1))-AVERAGE(OFFSET($H$3,0,0,'Données projet'!$E$11+1,1))</f>
        <v>559.91818701710872</v>
      </c>
      <c r="BJ23" s="59">
        <f t="shared" si="38"/>
        <v>273.47272623465915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59.958194721508335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54.487179487179482</v>
      </c>
      <c r="BW23" s="12">
        <f>VLOOKUP(A23,'Données projet'!$A$113:$I$133,9,0)</f>
        <v>6.1538461538461533</v>
      </c>
      <c r="BX23" s="12">
        <f t="array" ref="BX23">INDEX(BW:BW,MIN(IF(ISNUMBER(BW23:BW219),ROW(BW23:BW219),"")))</f>
        <v>6.1538461538461533</v>
      </c>
      <c r="BY23" s="12">
        <f>IF('Données projet'!$A$114&gt;35,BY22+BX23-CG22,IF(A23&lt;'Données projet'!$A$114,$BV$205^A23,IF(A23='Données projet'!$A$114,'Données projet'!$B$114,BY22+BX23-CG22)))</f>
        <v>54.487179487179482</v>
      </c>
      <c r="BZ23" s="13">
        <f>BY23*VLOOKUP('Données projet'!$B$12,Paramètres!$A$1:$I$89,3,0)*VLOOKUP('Données projet'!$B$12,Paramètres!$A$1:$I$89,5,0)</f>
        <v>42.5</v>
      </c>
      <c r="CA23" s="13">
        <f t="shared" si="39"/>
        <v>12.658916157662103</v>
      </c>
      <c r="CB23" s="20">
        <f t="shared" si="10"/>
        <v>96.068445641261476</v>
      </c>
      <c r="CC23" s="59">
        <f t="shared" si="11"/>
        <v>340.35960406456985</v>
      </c>
      <c r="CD23" s="59">
        <f ca="1">AVERAGE(OFFSET($CC$3,0,0,'Données projet'!$E$12+1,1))-AVERAGE(OFFSET($H$3,0,0,'Données projet'!$E$12+1,1))</f>
        <v>208.92677786250815</v>
      </c>
      <c r="CE23" s="59">
        <f t="shared" si="40"/>
        <v>207.54290142772214</v>
      </c>
      <c r="CF23" s="15">
        <f>IF(ISNA(VLOOKUP(A23,'Données projet'!$A$113:$I$133,3,0)),0,VLOOKUP(A23,'Données projet'!$A$113:$I$133,3,0))</f>
        <v>2</v>
      </c>
      <c r="CG23" s="15">
        <f>IF(ISNA(VLOOKUP(A23,'Données projet'!$A$113:$I$133,4,0)),0,VLOOKUP(A23,'Données projet'!$A$113:$I$133,4,0))</f>
        <v>16.025641025641026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0.1075</v>
      </c>
      <c r="CJ23" s="16">
        <f>IF(ISNA(VLOOKUP(A23,'Données projet'!$A$113:$I$133,7,0)),0%,VLOOKUP(A23,'Données projet'!$A$113:$I$133,7,0))</f>
        <v>0.25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1.6341977459129808</v>
      </c>
      <c r="CM23" s="21">
        <f>EXP(-LN(2)/2)*CM22+(1-EXP(-LN(2)/2))/(LN(2)/2)*CG23*CJ23*VLOOKUP('Données projet'!$B$12,Paramètres!$A$1:$I$89,3,0)*0.475*44/12</f>
        <v>3.0110691968496028</v>
      </c>
      <c r="CN23" s="22">
        <f t="shared" si="12"/>
        <v>4.6452669427625839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59.958194721508335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4.016578947368421</v>
      </c>
      <c r="CT23" s="12">
        <f>IF('Données projet'!$A$140&gt;35,CT22+CS23-DB22,IF(A23&lt;'Données projet'!$A$140,$CQ$205^A23,IF(A23='Données projet'!$A$140,'Données projet'!$B$140,CT22+CS23-DB22)))</f>
        <v>80.331578947368413</v>
      </c>
      <c r="CU23" s="17">
        <f>CT23*VLOOKUP('Données projet'!$B$13,Paramètres!$A$1:$I$89,3,0)*VLOOKUP('Données projet'!$B$13,Paramètres!$A$1:$I$89,5,0)</f>
        <v>76.443530526315783</v>
      </c>
      <c r="CV23" s="13">
        <f t="shared" si="41"/>
        <v>21.265320852361398</v>
      </c>
      <c r="CW23" s="20">
        <f t="shared" si="13"/>
        <v>170.17624948452939</v>
      </c>
      <c r="CX23" s="59">
        <f t="shared" si="14"/>
        <v>414.46740790783775</v>
      </c>
      <c r="CY23" s="59">
        <f ca="1">AVERAGE(OFFSET($CX$3,0,0,'Données projet'!$E$13+1,1))-AVERAGE(OFFSET($H$3,0,0,'Données projet'!$E$13+1,1))</f>
        <v>470.42022791389275</v>
      </c>
      <c r="CZ23" s="59">
        <f t="shared" si="42"/>
        <v>300.26117330627346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59.958194721508335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3.3603333333333336</v>
      </c>
      <c r="DO23" s="12">
        <f>IF('Données projet'!$A$166&gt;35,DO22+DN23-DW22,IF(A23&lt;'Données projet'!$A$166,$DL$205^A23,IF(A23='Données projet'!$A$166,'Données projet'!$B$166,DO22+DN23-DW22)))</f>
        <v>67.206666666666706</v>
      </c>
      <c r="DP23" s="17">
        <f>DO23*VLOOKUP('Données projet'!$B$14,Paramètres!$A$1:$I$89,3,0)*VLOOKUP('Données projet'!$B$14,Paramètres!$A$1:$I$89,5,0)</f>
        <v>65.002288000000036</v>
      </c>
      <c r="DQ23" s="13">
        <f t="shared" si="43"/>
        <v>18.427050001726204</v>
      </c>
      <c r="DR23" s="20">
        <f t="shared" si="16"/>
        <v>145.30609701967319</v>
      </c>
      <c r="DS23" s="59">
        <f t="shared" si="17"/>
        <v>389.59725544298158</v>
      </c>
      <c r="DT23" s="59">
        <f ca="1">AVERAGE(OFFSET($DS$3,0,0,'Données projet'!$E$14+1,1))-AVERAGE(OFFSET($H$3,0,0,'Données projet'!$E$14+1,1))</f>
        <v>537.37164071064103</v>
      </c>
      <c r="DU23" s="59">
        <f t="shared" si="44"/>
        <v>263.29777321132235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59.958194721508335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59.958194721508335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59.958194721508335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59.958194721508335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45">
      <c r="A24" s="10">
        <f t="shared" si="31"/>
        <v>21</v>
      </c>
      <c r="B24" s="73">
        <f>'Scénario référence'!$B$16*5+'Scénario référence'!$B$17*0+'Scénario référence'!$B$18*5</f>
        <v>2.8499999999999996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10.449999999999998</v>
      </c>
      <c r="H24" s="67">
        <f t="shared" si="1"/>
        <v>214.86666666666667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60.13239759297683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5.0894117647058819</v>
      </c>
      <c r="N24" s="13">
        <f>IF('Données projet'!$A$36&gt;35,N23+M24-V23,IF(A24&lt;'Données projet'!$A$36,$K$205^A24,IF(A24='Données projet'!$A$36,'Données projet'!$B$36,N23+M24-V23)))</f>
        <v>24.120405624722682</v>
      </c>
      <c r="O24" s="13">
        <f>N24*VLOOKUP('Données projet'!$B$9,Paramètres!$A$1:$I$89,3,0)*VLOOKUP('Données projet'!$B$9,Paramètres!$A$1:$I$89,5,0)</f>
        <v>21.824143009249081</v>
      </c>
      <c r="P24" s="13">
        <f t="shared" si="33"/>
        <v>7.0248486812269384</v>
      </c>
      <c r="Q24" s="20">
        <f t="shared" si="2"/>
        <v>50.245327194245732</v>
      </c>
      <c r="R24" s="59">
        <f t="shared" si="0"/>
        <v>296.39745170182744</v>
      </c>
      <c r="S24" s="59">
        <f ca="1">AVERAGE(OFFSET($R$3,0,0,'Données projet'!$E$9+1,1))-AVERAGE(OFFSET($H$3,0,0,'Données projet'!$E$9+1,1))</f>
        <v>719.20816951277925</v>
      </c>
      <c r="T24" s="59">
        <f t="shared" si="34"/>
        <v>237.1127421841087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60.13239759297683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4.9119354838709679</v>
      </c>
      <c r="AI24" s="13">
        <f>IF('Données projet'!$A$62&gt;35,AI23+AH24-AQ23,IF(A24&lt;'Données projet'!$A$62,$AF$205^A24,IF(A24='Données projet'!$A$62,'Données projet'!$B$62,AI23+AH24-AQ23)))</f>
        <v>30.098524314256156</v>
      </c>
      <c r="AJ24" s="13">
        <f>AI24*VLOOKUP('Données projet'!$B$10,Paramètres!$A$1:$I$89,3,0)*VLOOKUP('Données projet'!$B$10,Paramètres!$A$1:$I$89,5,0)</f>
        <v>25.354996882329388</v>
      </c>
      <c r="AK24" s="13">
        <f t="shared" si="35"/>
        <v>8.0201525276394197</v>
      </c>
      <c r="AL24" s="20">
        <f t="shared" si="4"/>
        <v>58.12838522236234</v>
      </c>
      <c r="AM24" s="59">
        <f t="shared" si="5"/>
        <v>304.28050972994401</v>
      </c>
      <c r="AN24" s="59">
        <f ca="1">AVERAGE(OFFSET($AM$3,0,0,'Données projet'!$E$10+1,1))-AVERAGE(OFFSET($H$3,0,0,'Données projet'!$E$10+1,1))</f>
        <v>442.79037205372367</v>
      </c>
      <c r="AO24" s="59">
        <f t="shared" si="36"/>
        <v>288.23553637727969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60.13239759297683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3.3603333333333336</v>
      </c>
      <c r="BD24" s="12">
        <f>IF('Données projet'!$A$88&gt;35,BD23+BC24-BL23,IF(A24&lt;'Données projet'!$A$88,$BA$205^A24,IF(A24='Données projet'!$A$88,'Données projet'!$B$88,BD23+BC24-BL23)))</f>
        <v>70.567000000000036</v>
      </c>
      <c r="BE24" s="13">
        <f>BD24*VLOOKUP('Données projet'!$B$11,Paramètres!$A$1:$I$89,3,0)*VLOOKUP('Données projet'!$B$11,Paramètres!$A$1:$I$89,5,0)</f>
        <v>71.55493800000005</v>
      </c>
      <c r="BF24" s="13">
        <f t="shared" si="37"/>
        <v>20.059108341436531</v>
      </c>
      <c r="BG24" s="20">
        <f t="shared" si="7"/>
        <v>159.56113071133535</v>
      </c>
      <c r="BH24" s="59">
        <f t="shared" si="8"/>
        <v>405.71325521891708</v>
      </c>
      <c r="BI24" s="59">
        <f ca="1">AVERAGE(OFFSET($BH$3,0,0,'Données projet'!$E$11+1,1))-AVERAGE(OFFSET($H$3,0,0,'Données projet'!$E$11+1,1))</f>
        <v>559.91818701710872</v>
      </c>
      <c r="BJ24" s="59">
        <f t="shared" si="38"/>
        <v>273.47272623465915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60.13239759297683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6.7948717948717956</v>
      </c>
      <c r="BY24" s="12">
        <f>IF('Données projet'!$A$114&gt;35,BY23+BX24-CG23,IF(A24&lt;'Données projet'!$A$114,$BV$205^A24,IF(A24='Données projet'!$A$114,'Données projet'!$B$114,BY23+BX24-CG23)))</f>
        <v>45.256410256410248</v>
      </c>
      <c r="BZ24" s="13">
        <f>BY24*VLOOKUP('Données projet'!$B$12,Paramètres!$A$1:$I$89,3,0)*VLOOKUP('Données projet'!$B$12,Paramètres!$A$1:$I$89,5,0)</f>
        <v>35.299999999999997</v>
      </c>
      <c r="CA24" s="13">
        <f t="shared" si="39"/>
        <v>10.743994925779599</v>
      </c>
      <c r="CB24" s="20">
        <f t="shared" si="10"/>
        <v>80.193291162399461</v>
      </c>
      <c r="CC24" s="59">
        <f t="shared" si="11"/>
        <v>326.34541566998115</v>
      </c>
      <c r="CD24" s="59">
        <f ca="1">AVERAGE(OFFSET($CC$3,0,0,'Données projet'!$E$12+1,1))-AVERAGE(OFFSET($H$3,0,0,'Données projet'!$E$12+1,1))</f>
        <v>208.92677786250815</v>
      </c>
      <c r="CE24" s="59">
        <f t="shared" si="40"/>
        <v>207.54290142772214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1.5895105226122659</v>
      </c>
      <c r="CM24" s="21">
        <f>EXP(-LN(2)/2)*CM23+(1-EXP(-LN(2)/2))/(LN(2)/2)*CG24*CJ24*VLOOKUP('Données projet'!$B$12,Paramètres!$A$1:$I$89,3,0)*0.475*44/12</f>
        <v>2.1291474477142858</v>
      </c>
      <c r="CN24" s="22">
        <f t="shared" si="12"/>
        <v>3.7186579703265519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60.13239759297683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4.016578947368421</v>
      </c>
      <c r="CT24" s="12">
        <f>IF('Données projet'!$A$140&gt;35,CT23+CS24-DB23,IF(A24&lt;'Données projet'!$A$140,$CQ$205^A24,IF(A24='Données projet'!$A$140,'Données projet'!$B$140,CT23+CS24-DB23)))</f>
        <v>84.348157894736829</v>
      </c>
      <c r="CU24" s="17">
        <f>CT24*VLOOKUP('Données projet'!$B$13,Paramètres!$A$1:$I$89,3,0)*VLOOKUP('Données projet'!$B$13,Paramètres!$A$1:$I$89,5,0)</f>
        <v>80.265707052631569</v>
      </c>
      <c r="CV24" s="13">
        <f t="shared" si="41"/>
        <v>22.202138341659698</v>
      </c>
      <c r="CW24" s="20">
        <f t="shared" si="13"/>
        <v>178.46483072839058</v>
      </c>
      <c r="CX24" s="59">
        <f t="shared" si="14"/>
        <v>424.61695523597228</v>
      </c>
      <c r="CY24" s="59">
        <f ca="1">AVERAGE(OFFSET($CX$3,0,0,'Données projet'!$E$13+1,1))-AVERAGE(OFFSET($H$3,0,0,'Données projet'!$E$13+1,1))</f>
        <v>470.42022791389275</v>
      </c>
      <c r="CZ24" s="59">
        <f t="shared" si="42"/>
        <v>300.26117330627346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60.13239759297683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3.3603333333333336</v>
      </c>
      <c r="DO24" s="12">
        <f>IF('Données projet'!$A$166&gt;35,DO23+DN24-DW23,IF(A24&lt;'Données projet'!$A$166,$DL$205^A24,IF(A24='Données projet'!$A$166,'Données projet'!$B$166,DO23+DN24-DW23)))</f>
        <v>70.567000000000036</v>
      </c>
      <c r="DP24" s="17">
        <f>DO24*VLOOKUP('Données projet'!$B$14,Paramètres!$A$1:$I$89,3,0)*VLOOKUP('Données projet'!$B$14,Paramètres!$A$1:$I$89,5,0)</f>
        <v>68.252402400000037</v>
      </c>
      <c r="DQ24" s="13">
        <f t="shared" si="43"/>
        <v>19.238830968382739</v>
      </c>
      <c r="DR24" s="20">
        <f t="shared" si="16"/>
        <v>152.38056478326666</v>
      </c>
      <c r="DS24" s="59">
        <f t="shared" si="17"/>
        <v>398.53268929084834</v>
      </c>
      <c r="DT24" s="59">
        <f ca="1">AVERAGE(OFFSET($DS$3,0,0,'Données projet'!$E$14+1,1))-AVERAGE(OFFSET($H$3,0,0,'Données projet'!$E$14+1,1))</f>
        <v>537.37164071064103</v>
      </c>
      <c r="DU24" s="59">
        <f t="shared" si="44"/>
        <v>263.29777321132235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60.13239759297683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60.13239759297683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60.13239759297683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60.13239759297683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45">
      <c r="A25" s="10">
        <f t="shared" si="31"/>
        <v>22</v>
      </c>
      <c r="B25" s="73">
        <f>'Scénario référence'!$B$16*5+'Scénario référence'!$B$17*0+'Scénario référence'!$B$18*5</f>
        <v>2.8499999999999996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10.449999999999998</v>
      </c>
      <c r="H25" s="67">
        <f t="shared" si="1"/>
        <v>214.86666666666667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60.303578434084621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5.0894117647058819</v>
      </c>
      <c r="N25" s="13">
        <f>IF('Données projet'!$A$36&gt;35,N24+M25-V24,IF(A25&lt;'Données projet'!$A$36,$K$205^A25,IF(A25='Données projet'!$A$36,'Données projet'!$B$36,N24+M25-V24)))</f>
        <v>28.068063173646774</v>
      </c>
      <c r="O25" s="13">
        <f>N25*VLOOKUP('Données projet'!$B$9,Paramètres!$A$1:$I$89,3,0)*VLOOKUP('Données projet'!$B$9,Paramètres!$A$1:$I$89,5,0)</f>
        <v>25.395983559515599</v>
      </c>
      <c r="P25" s="13">
        <f t="shared" si="33"/>
        <v>8.0316070411419194</v>
      </c>
      <c r="Q25" s="20">
        <f t="shared" si="2"/>
        <v>58.219720296145177</v>
      </c>
      <c r="R25" s="59">
        <f t="shared" si="0"/>
        <v>306.22173011001104</v>
      </c>
      <c r="S25" s="59">
        <f ca="1">AVERAGE(OFFSET($R$3,0,0,'Données projet'!$E$9+1,1))-AVERAGE(OFFSET($H$3,0,0,'Données projet'!$E$9+1,1))</f>
        <v>719.20816951277925</v>
      </c>
      <c r="T25" s="59">
        <f t="shared" si="34"/>
        <v>237.1127421841087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60.303578434084621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4.9119354838709679</v>
      </c>
      <c r="AI25" s="13">
        <f>IF('Données projet'!$A$62&gt;35,AI24+AH25-AQ24,IF(A25&lt;'Données projet'!$A$62,$AF$205^A25,IF(A25='Données projet'!$A$62,'Données projet'!$B$62,AI24+AH25-AQ24)))</f>
        <v>35.395831398063777</v>
      </c>
      <c r="AJ25" s="13">
        <f>AI25*VLOOKUP('Données projet'!$B$10,Paramètres!$A$1:$I$89,3,0)*VLOOKUP('Données projet'!$B$10,Paramètres!$A$1:$I$89,5,0)</f>
        <v>29.817448369728929</v>
      </c>
      <c r="AK25" s="13">
        <f t="shared" si="35"/>
        <v>9.2553783595977794</v>
      </c>
      <c r="AL25" s="20">
        <f t="shared" si="4"/>
        <v>68.05183988691067</v>
      </c>
      <c r="AM25" s="59">
        <f t="shared" si="5"/>
        <v>316.05384970077648</v>
      </c>
      <c r="AN25" s="59">
        <f ca="1">AVERAGE(OFFSET($AM$3,0,0,'Données projet'!$E$10+1,1))-AVERAGE(OFFSET($H$3,0,0,'Données projet'!$E$10+1,1))</f>
        <v>442.79037205372367</v>
      </c>
      <c r="AO25" s="59">
        <f t="shared" si="36"/>
        <v>288.23553637727969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60.303578434084621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3.3603333333333336</v>
      </c>
      <c r="BD25" s="12">
        <f>IF('Données projet'!$A$88&gt;35,BD24+BC25-BL24,IF(A25&lt;'Données projet'!$A$88,$BA$205^A25,IF(A25='Données projet'!$A$88,'Données projet'!$B$88,BD24+BC25-BL24)))</f>
        <v>73.927333333333365</v>
      </c>
      <c r="BE25" s="13">
        <f>BD25*VLOOKUP('Données projet'!$B$11,Paramètres!$A$1:$I$89,3,0)*VLOOKUP('Données projet'!$B$11,Paramètres!$A$1:$I$89,5,0)</f>
        <v>74.962316000000044</v>
      </c>
      <c r="BF25" s="13">
        <f t="shared" si="37"/>
        <v>20.900820525249284</v>
      </c>
      <c r="BG25" s="20">
        <f t="shared" si="7"/>
        <v>166.96162944814259</v>
      </c>
      <c r="BH25" s="59">
        <f t="shared" si="8"/>
        <v>414.96363926200843</v>
      </c>
      <c r="BI25" s="59">
        <f ca="1">AVERAGE(OFFSET($BH$3,0,0,'Données projet'!$E$11+1,1))-AVERAGE(OFFSET($H$3,0,0,'Données projet'!$E$11+1,1))</f>
        <v>559.91818701710872</v>
      </c>
      <c r="BJ25" s="59">
        <f t="shared" si="38"/>
        <v>273.47272623465915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60.303578434084621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6.7948717948717956</v>
      </c>
      <c r="BY25" s="12">
        <f>IF('Données projet'!$A$114&gt;35,BY24+BX25-CG24,IF(A25&lt;'Données projet'!$A$114,$BV$205^A25,IF(A25='Données projet'!$A$114,'Données projet'!$B$114,BY24+BX25-CG24)))</f>
        <v>52.051282051282044</v>
      </c>
      <c r="BZ25" s="13">
        <f>BY25*VLOOKUP('Données projet'!$B$12,Paramètres!$A$1:$I$89,3,0)*VLOOKUP('Données projet'!$B$12,Paramètres!$A$1:$I$89,5,0)</f>
        <v>40.599999999999994</v>
      </c>
      <c r="CA25" s="13">
        <f t="shared" si="39"/>
        <v>12.15753890842374</v>
      </c>
      <c r="CB25" s="20">
        <f t="shared" si="10"/>
        <v>91.886046932171325</v>
      </c>
      <c r="CC25" s="59">
        <f t="shared" si="11"/>
        <v>339.88805674603714</v>
      </c>
      <c r="CD25" s="59">
        <f ca="1">AVERAGE(OFFSET($CC$3,0,0,'Données projet'!$E$12+1,1))-AVERAGE(OFFSET($H$3,0,0,'Données projet'!$E$12+1,1))</f>
        <v>208.92677786250815</v>
      </c>
      <c r="CE25" s="59">
        <f t="shared" si="40"/>
        <v>207.54290142772214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1.546045273782708</v>
      </c>
      <c r="CM25" s="21">
        <f>EXP(-LN(2)/2)*CM24+(1-EXP(-LN(2)/2))/(LN(2)/2)*CG25*CJ25*VLOOKUP('Données projet'!$B$12,Paramètres!$A$1:$I$89,3,0)*0.475*44/12</f>
        <v>1.5055345984248016</v>
      </c>
      <c r="CN25" s="22">
        <f t="shared" si="12"/>
        <v>3.0515798722075096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60.303578434084621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4.016578947368421</v>
      </c>
      <c r="CT25" s="12">
        <f>IF('Données projet'!$A$140&gt;35,CT24+CS25-DB24,IF(A25&lt;'Données projet'!$A$140,$CQ$205^A25,IF(A25='Données projet'!$A$140,'Données projet'!$B$140,CT24+CS25-DB24)))</f>
        <v>88.364736842105245</v>
      </c>
      <c r="CU25" s="17">
        <f>CT25*VLOOKUP('Données projet'!$B$13,Paramètres!$A$1:$I$89,3,0)*VLOOKUP('Données projet'!$B$13,Paramètres!$A$1:$I$89,5,0)</f>
        <v>84.087883578947356</v>
      </c>
      <c r="CV25" s="13">
        <f t="shared" si="41"/>
        <v>23.133775482791631</v>
      </c>
      <c r="CW25" s="20">
        <f t="shared" si="13"/>
        <v>186.74438953252874</v>
      </c>
      <c r="CX25" s="59">
        <f t="shared" si="14"/>
        <v>434.74639934639458</v>
      </c>
      <c r="CY25" s="59">
        <f ca="1">AVERAGE(OFFSET($CX$3,0,0,'Données projet'!$E$13+1,1))-AVERAGE(OFFSET($H$3,0,0,'Données projet'!$E$13+1,1))</f>
        <v>470.42022791389275</v>
      </c>
      <c r="CZ25" s="59">
        <f t="shared" si="42"/>
        <v>300.26117330627346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60.303578434084621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3.3603333333333336</v>
      </c>
      <c r="DO25" s="12">
        <f>IF('Données projet'!$A$166&gt;35,DO24+DN25-DW24,IF(A25&lt;'Données projet'!$A$166,$DL$205^A25,IF(A25='Données projet'!$A$166,'Données projet'!$B$166,DO24+DN25-DW24)))</f>
        <v>73.927333333333365</v>
      </c>
      <c r="DP25" s="17">
        <f>DO25*VLOOKUP('Données projet'!$B$14,Paramètres!$A$1:$I$89,3,0)*VLOOKUP('Données projet'!$B$14,Paramètres!$A$1:$I$89,5,0)</f>
        <v>71.502516800000038</v>
      </c>
      <c r="DQ25" s="13">
        <f t="shared" si="43"/>
        <v>20.046123005135481</v>
      </c>
      <c r="DR25" s="20">
        <f t="shared" si="16"/>
        <v>159.44721432727769</v>
      </c>
      <c r="DS25" s="59">
        <f t="shared" si="17"/>
        <v>407.44922414114353</v>
      </c>
      <c r="DT25" s="59">
        <f ca="1">AVERAGE(OFFSET($DS$3,0,0,'Données projet'!$E$14+1,1))-AVERAGE(OFFSET($H$3,0,0,'Données projet'!$E$14+1,1))</f>
        <v>537.37164071064103</v>
      </c>
      <c r="DU25" s="59">
        <f t="shared" si="44"/>
        <v>263.29777321132235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60.303578434084621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60.303578434084621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60.303578434084621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60.303578434084621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45">
      <c r="A26" s="10">
        <f t="shared" si="31"/>
        <v>23</v>
      </c>
      <c r="B26" s="73">
        <f>'Scénario référence'!$B$16*5+'Scénario référence'!$B$17*0+'Scénario référence'!$B$18*5</f>
        <v>2.8499999999999996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10.449999999999998</v>
      </c>
      <c r="H26" s="67">
        <f t="shared" si="1"/>
        <v>214.86666666666667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60.471789670302229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5.0894117647058819</v>
      </c>
      <c r="N26" s="13">
        <f>IF('Données projet'!$A$36&gt;35,N25+M26-V25,IF(A26&lt;'Données projet'!$A$36,$K$205^A26,IF(A26='Données projet'!$A$36,'Données projet'!$B$36,N25+M26-V25)))</f>
        <v>32.66181268163826</v>
      </c>
      <c r="O26" s="13">
        <f>N26*VLOOKUP('Données projet'!$B$9,Paramètres!$A$1:$I$89,3,0)*VLOOKUP('Données projet'!$B$9,Paramètres!$A$1:$I$89,5,0)</f>
        <v>29.552408114346299</v>
      </c>
      <c r="P26" s="13">
        <f t="shared" si="33"/>
        <v>9.1826478534273477</v>
      </c>
      <c r="Q26" s="20">
        <f t="shared" si="2"/>
        <v>67.463555810539106</v>
      </c>
      <c r="R26" s="59">
        <f t="shared" si="0"/>
        <v>317.30456237942508</v>
      </c>
      <c r="S26" s="59">
        <f ca="1">AVERAGE(OFFSET($R$3,0,0,'Données projet'!$E$9+1,1))-AVERAGE(OFFSET($H$3,0,0,'Données projet'!$E$9+1,1))</f>
        <v>719.20816951277925</v>
      </c>
      <c r="T26" s="59">
        <f t="shared" si="34"/>
        <v>237.1127421841087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60.471789670302229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4.9119354838709679</v>
      </c>
      <c r="AI26" s="13">
        <f>IF('Données projet'!$A$62&gt;35,AI25+AH26-AQ25,IF(A26&lt;'Données projet'!$A$62,$AF$205^A26,IF(A26='Données projet'!$A$62,'Données projet'!$B$62,AI25+AH26-AQ25)))</f>
        <v>41.625458686249885</v>
      </c>
      <c r="AJ26" s="13">
        <f>AI26*VLOOKUP('Données projet'!$B$10,Paramètres!$A$1:$I$89,3,0)*VLOOKUP('Données projet'!$B$10,Paramètres!$A$1:$I$89,5,0)</f>
        <v>35.065286397296909</v>
      </c>
      <c r="AK26" s="13">
        <f t="shared" si="35"/>
        <v>10.68084781232009</v>
      </c>
      <c r="AL26" s="20">
        <f t="shared" si="4"/>
        <v>79.674517081749613</v>
      </c>
      <c r="AM26" s="59">
        <f t="shared" si="5"/>
        <v>329.5155236506356</v>
      </c>
      <c r="AN26" s="59">
        <f ca="1">AVERAGE(OFFSET($AM$3,0,0,'Données projet'!$E$10+1,1))-AVERAGE(OFFSET($H$3,0,0,'Données projet'!$E$10+1,1))</f>
        <v>442.79037205372367</v>
      </c>
      <c r="AO26" s="59">
        <f t="shared" si="36"/>
        <v>288.23553637727969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60.471789670302229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3.3603333333333336</v>
      </c>
      <c r="BD26" s="12">
        <f>IF('Données projet'!$A$88&gt;35,BD25+BC26-BL25,IF(A26&lt;'Données projet'!$A$88,$BA$205^A26,IF(A26='Données projet'!$A$88,'Données projet'!$B$88,BD25+BC26-BL25)))</f>
        <v>77.287666666666695</v>
      </c>
      <c r="BE26" s="13">
        <f>BD26*VLOOKUP('Données projet'!$B$11,Paramètres!$A$1:$I$89,3,0)*VLOOKUP('Données projet'!$B$11,Paramètres!$A$1:$I$89,5,0)</f>
        <v>78.369694000000038</v>
      </c>
      <c r="BF26" s="13">
        <f t="shared" si="37"/>
        <v>21.738089431359974</v>
      </c>
      <c r="BG26" s="20">
        <f t="shared" si="7"/>
        <v>174.35438947628532</v>
      </c>
      <c r="BH26" s="59">
        <f t="shared" si="8"/>
        <v>424.19539604517126</v>
      </c>
      <c r="BI26" s="59">
        <f ca="1">AVERAGE(OFFSET($BH$3,0,0,'Données projet'!$E$11+1,1))-AVERAGE(OFFSET($H$3,0,0,'Données projet'!$E$11+1,1))</f>
        <v>559.91818701710872</v>
      </c>
      <c r="BJ26" s="59">
        <f t="shared" si="38"/>
        <v>273.47272623465915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60.471789670302229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6.7948717948717956</v>
      </c>
      <c r="BY26" s="12">
        <f>IF('Données projet'!$A$114&gt;35,BY25+BX26-CG25,IF(A26&lt;'Données projet'!$A$114,$BV$205^A26,IF(A26='Données projet'!$A$114,'Données projet'!$B$114,BY25+BX26-CG25)))</f>
        <v>58.84615384615384</v>
      </c>
      <c r="BZ26" s="13">
        <f>BY26*VLOOKUP('Données projet'!$B$12,Paramètres!$A$1:$I$89,3,0)*VLOOKUP('Données projet'!$B$12,Paramètres!$A$1:$I$89,5,0)</f>
        <v>45.9</v>
      </c>
      <c r="CA26" s="13">
        <f t="shared" si="39"/>
        <v>13.549702311318182</v>
      </c>
      <c r="CB26" s="20">
        <f t="shared" si="10"/>
        <v>103.54156485887916</v>
      </c>
      <c r="CC26" s="59">
        <f t="shared" si="11"/>
        <v>353.38257142776513</v>
      </c>
      <c r="CD26" s="59">
        <f ca="1">AVERAGE(OFFSET($CC$3,0,0,'Données projet'!$E$12+1,1))-AVERAGE(OFFSET($H$3,0,0,'Données projet'!$E$12+1,1))</f>
        <v>208.92677786250815</v>
      </c>
      <c r="CE26" s="59">
        <f t="shared" si="40"/>
        <v>207.54290142772214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1.5037685844681323</v>
      </c>
      <c r="CM26" s="21">
        <f>EXP(-LN(2)/2)*CM25+(1-EXP(-LN(2)/2))/(LN(2)/2)*CG26*CJ26*VLOOKUP('Données projet'!$B$12,Paramètres!$A$1:$I$89,3,0)*0.475*44/12</f>
        <v>1.0645737238571429</v>
      </c>
      <c r="CN26" s="22">
        <f t="shared" si="12"/>
        <v>2.568342308325275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60.471789670302229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4.016578947368421</v>
      </c>
      <c r="CT26" s="12">
        <f>IF('Données projet'!$A$140&gt;35,CT25+CS26-DB25,IF(A26&lt;'Données projet'!$A$140,$CQ$205^A26,IF(A26='Données projet'!$A$140,'Données projet'!$B$140,CT25+CS26-DB25)))</f>
        <v>92.381315789473661</v>
      </c>
      <c r="CU26" s="17">
        <f>CT26*VLOOKUP('Données projet'!$B$13,Paramètres!$A$1:$I$89,3,0)*VLOOKUP('Données projet'!$B$13,Paramètres!$A$1:$I$89,5,0)</f>
        <v>87.910060105263142</v>
      </c>
      <c r="CV26" s="13">
        <f t="shared" si="41"/>
        <v>24.060494645289975</v>
      </c>
      <c r="CW26" s="20">
        <f t="shared" si="13"/>
        <v>195.01538285721335</v>
      </c>
      <c r="CX26" s="59">
        <f t="shared" si="14"/>
        <v>444.85638942609933</v>
      </c>
      <c r="CY26" s="59">
        <f ca="1">AVERAGE(OFFSET($CX$3,0,0,'Données projet'!$E$13+1,1))-AVERAGE(OFFSET($H$3,0,0,'Données projet'!$E$13+1,1))</f>
        <v>470.42022791389275</v>
      </c>
      <c r="CZ26" s="59">
        <f t="shared" si="42"/>
        <v>300.26117330627346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60.471789670302229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3.3603333333333336</v>
      </c>
      <c r="DO26" s="12">
        <f>IF('Données projet'!$A$166&gt;35,DO25+DN26-DW25,IF(A26&lt;'Données projet'!$A$166,$DL$205^A26,IF(A26='Données projet'!$A$166,'Données projet'!$B$166,DO25+DN26-DW25)))</f>
        <v>77.287666666666695</v>
      </c>
      <c r="DP26" s="17">
        <f>DO26*VLOOKUP('Données projet'!$B$14,Paramètres!$A$1:$I$89,3,0)*VLOOKUP('Données projet'!$B$14,Paramètres!$A$1:$I$89,5,0)</f>
        <v>74.752631200000025</v>
      </c>
      <c r="DQ26" s="13">
        <f t="shared" si="43"/>
        <v>20.84915346319784</v>
      </c>
      <c r="DR26" s="20">
        <f t="shared" si="16"/>
        <v>166.50644162173626</v>
      </c>
      <c r="DS26" s="59">
        <f t="shared" si="17"/>
        <v>416.34744819062223</v>
      </c>
      <c r="DT26" s="59">
        <f ca="1">AVERAGE(OFFSET($DS$3,0,0,'Données projet'!$E$14+1,1))-AVERAGE(OFFSET($H$3,0,0,'Données projet'!$E$14+1,1))</f>
        <v>537.37164071064103</v>
      </c>
      <c r="DU26" s="59">
        <f t="shared" si="44"/>
        <v>263.29777321132235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60.471789670302229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60.471789670302229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60.471789670302229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60.471789670302229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45">
      <c r="A27" s="10">
        <f t="shared" si="31"/>
        <v>24</v>
      </c>
      <c r="B27" s="73">
        <f>'Scénario référence'!$B$16*5+'Scénario référence'!$B$17*0+'Scénario référence'!$B$18*5</f>
        <v>2.8499999999999996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10.449999999999998</v>
      </c>
      <c r="H27" s="67">
        <f t="shared" si="1"/>
        <v>214.86666666666667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60.637082817635438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5.0894117647058819</v>
      </c>
      <c r="N27" s="13">
        <f>IF('Données projet'!$A$36&gt;35,N26+M27-V26,IF(A27&lt;'Données projet'!$A$36,$K$205^A27,IF(A27='Données projet'!$A$36,'Données projet'!$B$36,N26+M27-V26)))</f>
        <v>38.007396557808917</v>
      </c>
      <c r="O27" s="13">
        <f>N27*VLOOKUP('Données projet'!$B$9,Paramètres!$A$1:$I$89,3,0)*VLOOKUP('Données projet'!$B$9,Paramètres!$A$1:$I$89,5,0)</f>
        <v>34.389092405505508</v>
      </c>
      <c r="P27" s="13">
        <f t="shared" si="33"/>
        <v>10.498648796949267</v>
      </c>
      <c r="Q27" s="20">
        <f t="shared" si="2"/>
        <v>78.179482594275399</v>
      </c>
      <c r="R27" s="59">
        <f t="shared" si="0"/>
        <v>329.84878625893867</v>
      </c>
      <c r="S27" s="59">
        <f ca="1">AVERAGE(OFFSET($R$3,0,0,'Données projet'!$E$9+1,1))-AVERAGE(OFFSET($H$3,0,0,'Données projet'!$E$9+1,1))</f>
        <v>719.20816951277925</v>
      </c>
      <c r="T27" s="59">
        <f t="shared" si="34"/>
        <v>237.1127421841087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60.637082817635438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4.9119354838709679</v>
      </c>
      <c r="AI27" s="13">
        <f>IF('Données projet'!$A$62&gt;35,AI26+AH27-AQ26,IF(A27&lt;'Données projet'!$A$62,$AF$205^A27,IF(A27='Données projet'!$A$62,'Données projet'!$B$62,AI26+AH27-AQ26)))</f>
        <v>48.951493506534135</v>
      </c>
      <c r="AJ27" s="13">
        <f>AI27*VLOOKUP('Données projet'!$B$10,Paramètres!$A$1:$I$89,3,0)*VLOOKUP('Données projet'!$B$10,Paramètres!$A$1:$I$89,5,0)</f>
        <v>41.23673812990436</v>
      </c>
      <c r="AK27" s="13">
        <f t="shared" si="35"/>
        <v>12.325861305458343</v>
      </c>
      <c r="AL27" s="20">
        <f t="shared" si="4"/>
        <v>93.288194016590026</v>
      </c>
      <c r="AM27" s="59">
        <f t="shared" si="5"/>
        <v>344.9574976812533</v>
      </c>
      <c r="AN27" s="59">
        <f ca="1">AVERAGE(OFFSET($AM$3,0,0,'Données projet'!$E$10+1,1))-AVERAGE(OFFSET($H$3,0,0,'Données projet'!$E$10+1,1))</f>
        <v>442.79037205372367</v>
      </c>
      <c r="AO27" s="59">
        <f t="shared" si="36"/>
        <v>288.23553637727969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60.637082817635438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3.3603333333333336</v>
      </c>
      <c r="BD27" s="12">
        <f>IF('Données projet'!$A$88&gt;35,BD26+BC27-BL26,IF(A27&lt;'Données projet'!$A$88,$BA$205^A27,IF(A27='Données projet'!$A$88,'Données projet'!$B$88,BD26+BC27-BL26)))</f>
        <v>80.648000000000025</v>
      </c>
      <c r="BE27" s="13">
        <f>BD27*VLOOKUP('Données projet'!$B$11,Paramètres!$A$1:$I$89,3,0)*VLOOKUP('Données projet'!$B$11,Paramètres!$A$1:$I$89,5,0)</f>
        <v>81.777072000000032</v>
      </c>
      <c r="BF27" s="13">
        <f t="shared" si="37"/>
        <v>22.571130326229738</v>
      </c>
      <c r="BG27" s="20">
        <f t="shared" si="7"/>
        <v>181.7397857181835</v>
      </c>
      <c r="BH27" s="59">
        <f t="shared" si="8"/>
        <v>433.40908938284679</v>
      </c>
      <c r="BI27" s="59">
        <f ca="1">AVERAGE(OFFSET($BH$3,0,0,'Données projet'!$E$11+1,1))-AVERAGE(OFFSET($H$3,0,0,'Données projet'!$E$11+1,1))</f>
        <v>559.91818701710872</v>
      </c>
      <c r="BJ27" s="59">
        <f t="shared" si="38"/>
        <v>273.47272623465915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60.637082817635438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6.7948717948717956</v>
      </c>
      <c r="BY27" s="12">
        <f>IF('Données projet'!$A$114&gt;35,BY26+BX27-CG26,IF(A27&lt;'Données projet'!$A$114,$BV$205^A27,IF(A27='Données projet'!$A$114,'Données projet'!$B$114,BY26+BX27-CG26)))</f>
        <v>65.641025641025635</v>
      </c>
      <c r="BZ27" s="13">
        <f>BY27*VLOOKUP('Données projet'!$B$12,Paramètres!$A$1:$I$89,3,0)*VLOOKUP('Données projet'!$B$12,Paramètres!$A$1:$I$89,5,0)</f>
        <v>51.199999999999996</v>
      </c>
      <c r="CA27" s="13">
        <f t="shared" si="39"/>
        <v>14.923235838479547</v>
      </c>
      <c r="CB27" s="20">
        <f t="shared" si="10"/>
        <v>115.16463575201853</v>
      </c>
      <c r="CC27" s="59">
        <f t="shared" si="11"/>
        <v>366.8339394166818</v>
      </c>
      <c r="CD27" s="59">
        <f ca="1">AVERAGE(OFFSET($CC$3,0,0,'Données projet'!$E$12+1,1))-AVERAGE(OFFSET($H$3,0,0,'Données projet'!$E$12+1,1))</f>
        <v>208.92677786250815</v>
      </c>
      <c r="CE27" s="59">
        <f t="shared" si="40"/>
        <v>207.54290142772214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1.4626479534460983</v>
      </c>
      <c r="CM27" s="21">
        <f>EXP(-LN(2)/2)*CM26+(1-EXP(-LN(2)/2))/(LN(2)/2)*CG27*CJ27*VLOOKUP('Données projet'!$B$12,Paramètres!$A$1:$I$89,3,0)*0.475*44/12</f>
        <v>0.75276729921240082</v>
      </c>
      <c r="CN27" s="22">
        <f t="shared" si="12"/>
        <v>2.2154152526584991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60.637082817635438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4.016578947368421</v>
      </c>
      <c r="CT27" s="12">
        <f>IF('Données projet'!$A$140&gt;35,CT26+CS27-DB26,IF(A27&lt;'Données projet'!$A$140,$CQ$205^A27,IF(A27='Données projet'!$A$140,'Données projet'!$B$140,CT26+CS27-DB26)))</f>
        <v>96.397894736842076</v>
      </c>
      <c r="CU27" s="17">
        <f>CT27*VLOOKUP('Données projet'!$B$13,Paramètres!$A$1:$I$89,3,0)*VLOOKUP('Données projet'!$B$13,Paramètres!$A$1:$I$89,5,0)</f>
        <v>91.732236631578928</v>
      </c>
      <c r="CV27" s="13">
        <f t="shared" si="41"/>
        <v>24.982534093770941</v>
      </c>
      <c r="CW27" s="20">
        <f t="shared" si="13"/>
        <v>203.27822567998433</v>
      </c>
      <c r="CX27" s="59">
        <f t="shared" si="14"/>
        <v>454.94752934464759</v>
      </c>
      <c r="CY27" s="59">
        <f ca="1">AVERAGE(OFFSET($CX$3,0,0,'Données projet'!$E$13+1,1))-AVERAGE(OFFSET($H$3,0,0,'Données projet'!$E$13+1,1))</f>
        <v>470.42022791389275</v>
      </c>
      <c r="CZ27" s="59">
        <f t="shared" si="42"/>
        <v>300.26117330627346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60.637082817635438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3.3603333333333336</v>
      </c>
      <c r="DO27" s="12">
        <f>IF('Données projet'!$A$166&gt;35,DO26+DN27-DW26,IF(A27&lt;'Données projet'!$A$166,$DL$205^A27,IF(A27='Données projet'!$A$166,'Données projet'!$B$166,DO26+DN27-DW26)))</f>
        <v>80.648000000000025</v>
      </c>
      <c r="DP27" s="17">
        <f>DO27*VLOOKUP('Données projet'!$B$14,Paramètres!$A$1:$I$89,3,0)*VLOOKUP('Données projet'!$B$14,Paramètres!$A$1:$I$89,5,0)</f>
        <v>78.002745600000026</v>
      </c>
      <c r="DQ27" s="13">
        <f t="shared" si="43"/>
        <v>21.648128806136818</v>
      </c>
      <c r="DR27" s="20">
        <f t="shared" si="16"/>
        <v>173.55860625735497</v>
      </c>
      <c r="DS27" s="59">
        <f t="shared" si="17"/>
        <v>425.22790992201828</v>
      </c>
      <c r="DT27" s="59">
        <f ca="1">AVERAGE(OFFSET($DS$3,0,0,'Données projet'!$E$14+1,1))-AVERAGE(OFFSET($H$3,0,0,'Données projet'!$E$14+1,1))</f>
        <v>537.37164071064103</v>
      </c>
      <c r="DU27" s="59">
        <f t="shared" si="44"/>
        <v>263.29777321132235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60.637082817635438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60.637082817635438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60.637082817635438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60.637082817635438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45">
      <c r="A28" s="10">
        <f t="shared" si="31"/>
        <v>25</v>
      </c>
      <c r="B28" s="73">
        <f>'Scénario référence'!$B$16*5+'Scénario référence'!$B$17*0+'Scénario référence'!$B$18*5</f>
        <v>2.8499999999999996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10.449999999999998</v>
      </c>
      <c r="H28" s="67">
        <f t="shared" si="1"/>
        <v>214.86666666666667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60.799508498402531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5.0894117647058819</v>
      </c>
      <c r="N28" s="13">
        <f>IF('Données projet'!$A$36&gt;35,N27+M28-V27,IF(A28&lt;'Données projet'!$A$36,$K$205^A28,IF(A28='Données projet'!$A$36,'Données projet'!$B$36,N27+M28-V27)))</f>
        <v>44.227863504790903</v>
      </c>
      <c r="O28" s="13">
        <f>N28*VLOOKUP('Données projet'!$B$9,Paramètres!$A$1:$I$89,3,0)*VLOOKUP('Données projet'!$B$9,Paramètres!$A$1:$I$89,5,0)</f>
        <v>40.017370899134811</v>
      </c>
      <c r="P28" s="13">
        <f t="shared" si="33"/>
        <v>12.003250949076193</v>
      </c>
      <c r="Q28" s="20">
        <f t="shared" si="2"/>
        <v>90.60258305230083</v>
      </c>
      <c r="R28" s="59">
        <f t="shared" si="0"/>
        <v>344.08966976866566</v>
      </c>
      <c r="S28" s="59">
        <f ca="1">AVERAGE(OFFSET($R$3,0,0,'Données projet'!$E$9+1,1))-AVERAGE(OFFSET($H$3,0,0,'Données projet'!$E$9+1,1))</f>
        <v>719.20816951277925</v>
      </c>
      <c r="T28" s="59">
        <f t="shared" si="34"/>
        <v>237.1127421841087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60.799508498402531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4.9119354838709679</v>
      </c>
      <c r="AI28" s="13">
        <f>IF('Données projet'!$A$62&gt;35,AI27+AH28-AQ27,IF(A28&lt;'Données projet'!$A$62,$AF$205^A28,IF(A28='Données projet'!$A$62,'Données projet'!$B$62,AI27+AH28-AQ27)))</f>
        <v>57.566902375343794</v>
      </c>
      <c r="AJ28" s="13">
        <f>AI28*VLOOKUP('Données projet'!$B$10,Paramètres!$A$1:$I$89,3,0)*VLOOKUP('Données projet'!$B$10,Paramètres!$A$1:$I$89,5,0)</f>
        <v>48.494358560989618</v>
      </c>
      <c r="AK28" s="13">
        <f t="shared" si="35"/>
        <v>14.224231970251598</v>
      </c>
      <c r="AL28" s="20">
        <f t="shared" si="4"/>
        <v>109.23487850857845</v>
      </c>
      <c r="AM28" s="59">
        <f t="shared" si="5"/>
        <v>362.72196522494323</v>
      </c>
      <c r="AN28" s="59">
        <f ca="1">AVERAGE(OFFSET($AM$3,0,0,'Données projet'!$E$10+1,1))-AVERAGE(OFFSET($H$3,0,0,'Données projet'!$E$10+1,1))</f>
        <v>442.79037205372367</v>
      </c>
      <c r="AO28" s="59">
        <f t="shared" si="36"/>
        <v>288.23553637727969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60.799508498402531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3.3603333333333336</v>
      </c>
      <c r="BD28" s="12">
        <f>IF('Données projet'!$A$88&gt;35,BD27+BC28-BL27,IF(A28&lt;'Données projet'!$A$88,$BA$205^A28,IF(A28='Données projet'!$A$88,'Données projet'!$B$88,BD27+BC28-BL27)))</f>
        <v>84.008333333333354</v>
      </c>
      <c r="BE28" s="13">
        <f>BD28*VLOOKUP('Données projet'!$B$11,Paramètres!$A$1:$I$89,3,0)*VLOOKUP('Données projet'!$B$11,Paramètres!$A$1:$I$89,5,0)</f>
        <v>85.184450000000027</v>
      </c>
      <c r="BF28" s="13">
        <f t="shared" si="37"/>
        <v>23.400139522539501</v>
      </c>
      <c r="BG28" s="20">
        <f t="shared" si="7"/>
        <v>189.1181600850897</v>
      </c>
      <c r="BH28" s="59">
        <f t="shared" si="8"/>
        <v>442.60524680145454</v>
      </c>
      <c r="BI28" s="59">
        <f ca="1">AVERAGE(OFFSET($BH$3,0,0,'Données projet'!$E$11+1,1))-AVERAGE(OFFSET($H$3,0,0,'Données projet'!$E$11+1,1))</f>
        <v>559.91818701710872</v>
      </c>
      <c r="BJ28" s="59">
        <f t="shared" si="38"/>
        <v>273.47272623465915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60.799508498402531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72.435897435897431</v>
      </c>
      <c r="BW28" s="12">
        <f>VLOOKUP(A28,'Données projet'!$A$113:$I$133,9,0)</f>
        <v>6.7948717948717956</v>
      </c>
      <c r="BX28" s="12">
        <f t="array" ref="BX28">INDEX(BW:BW,MIN(IF(ISNUMBER(BW28:BW224),ROW(BW28:BW224),"")))</f>
        <v>6.7948717948717956</v>
      </c>
      <c r="BY28" s="12">
        <f>IF('Données projet'!$A$114&gt;35,BY27+BX28-CG27,IF(A28&lt;'Données projet'!$A$114,$BV$205^A28,IF(A28='Données projet'!$A$114,'Données projet'!$B$114,BY27+BX28-CG27)))</f>
        <v>72.435897435897431</v>
      </c>
      <c r="BZ28" s="13">
        <f>BY28*VLOOKUP('Données projet'!$B$12,Paramètres!$A$1:$I$89,3,0)*VLOOKUP('Données projet'!$B$12,Paramètres!$A$1:$I$89,5,0)</f>
        <v>56.5</v>
      </c>
      <c r="CA28" s="13">
        <f t="shared" si="39"/>
        <v>16.280287626136957</v>
      </c>
      <c r="CB28" s="20">
        <f t="shared" si="10"/>
        <v>126.75900094885519</v>
      </c>
      <c r="CC28" s="59">
        <f t="shared" si="11"/>
        <v>380.24608766521999</v>
      </c>
      <c r="CD28" s="59">
        <f ca="1">AVERAGE(OFFSET($CC$3,0,0,'Données projet'!$E$12+1,1))-AVERAGE(OFFSET($H$3,0,0,'Données projet'!$E$12+1,1))</f>
        <v>208.92677786250815</v>
      </c>
      <c r="CE28" s="59">
        <f t="shared" si="40"/>
        <v>207.54290142772214</v>
      </c>
      <c r="CF28" s="15">
        <f>IF(ISNA(VLOOKUP(A28,'Données projet'!$A$113:$I$133,3,0)),0,VLOOKUP(A28,'Données projet'!$A$113:$I$133,3,0))</f>
        <v>3</v>
      </c>
      <c r="CG28" s="15">
        <f>IF(ISNA(VLOOKUP(A28,'Données projet'!$A$113:$I$133,4,0)),0,VLOOKUP(A28,'Données projet'!$A$113:$I$133,4,0))</f>
        <v>17.307692307692307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0.1075</v>
      </c>
      <c r="CJ28" s="16">
        <f>IF(ISNA(VLOOKUP(A28,'Données projet'!$A$113:$I$133,7,0)),0%,VLOOKUP(A28,'Données projet'!$A$113:$I$133,7,0))</f>
        <v>0.25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3.0206488614692537</v>
      </c>
      <c r="CM28" s="21">
        <f>EXP(-LN(2)/2)*CM27+(1-EXP(-LN(2)/2))/(LN(2)/2)*CG28*CJ28*VLOOKUP('Données projet'!$B$12,Paramètres!$A$1:$I$89,3,0)*0.475*44/12</f>
        <v>3.7166901987217562</v>
      </c>
      <c r="CN28" s="22">
        <f t="shared" si="12"/>
        <v>6.7373390601910099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60.799508498402531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4.016578947368421</v>
      </c>
      <c r="CT28" s="12">
        <f>IF('Données projet'!$A$140&gt;35,CT27+CS28-DB27,IF(A28&lt;'Données projet'!$A$140,$CQ$205^A28,IF(A28='Données projet'!$A$140,'Données projet'!$B$140,CT27+CS28-DB27)))</f>
        <v>100.41447368421049</v>
      </c>
      <c r="CU28" s="17">
        <f>CT28*VLOOKUP('Données projet'!$B$13,Paramètres!$A$1:$I$89,3,0)*VLOOKUP('Données projet'!$B$13,Paramètres!$A$1:$I$89,5,0)</f>
        <v>95.5544131578947</v>
      </c>
      <c r="CV28" s="13">
        <f t="shared" si="41"/>
        <v>25.900111114129121</v>
      </c>
      <c r="CW28" s="20">
        <f t="shared" si="13"/>
        <v>211.53329644044149</v>
      </c>
      <c r="CX28" s="59">
        <f t="shared" si="14"/>
        <v>465.0203831568063</v>
      </c>
      <c r="CY28" s="59">
        <f ca="1">AVERAGE(OFFSET($CX$3,0,0,'Données projet'!$E$13+1,1))-AVERAGE(OFFSET($H$3,0,0,'Données projet'!$E$13+1,1))</f>
        <v>470.42022791389275</v>
      </c>
      <c r="CZ28" s="59">
        <f t="shared" si="42"/>
        <v>300.26117330627346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60.799508498402531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3.3603333333333336</v>
      </c>
      <c r="DO28" s="12">
        <f>IF('Données projet'!$A$166&gt;35,DO27+DN28-DW27,IF(A28&lt;'Données projet'!$A$166,$DL$205^A28,IF(A28='Données projet'!$A$166,'Données projet'!$B$166,DO27+DN28-DW27)))</f>
        <v>84.008333333333354</v>
      </c>
      <c r="DP28" s="17">
        <f>DO28*VLOOKUP('Données projet'!$B$14,Paramètres!$A$1:$I$89,3,0)*VLOOKUP('Données projet'!$B$14,Paramètres!$A$1:$I$89,5,0)</f>
        <v>81.252860000000027</v>
      </c>
      <c r="DQ28" s="13">
        <f t="shared" si="43"/>
        <v>22.443237318816408</v>
      </c>
      <c r="DR28" s="20">
        <f t="shared" si="16"/>
        <v>180.60403616360529</v>
      </c>
      <c r="DS28" s="59">
        <f t="shared" si="17"/>
        <v>434.0911228799701</v>
      </c>
      <c r="DT28" s="59">
        <f ca="1">AVERAGE(OFFSET($DS$3,0,0,'Données projet'!$E$14+1,1))-AVERAGE(OFFSET($H$3,0,0,'Données projet'!$E$14+1,1))</f>
        <v>537.37164071064103</v>
      </c>
      <c r="DU28" s="59">
        <f t="shared" si="44"/>
        <v>263.29777321132235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60.799508498402531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60.799508498402531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60.799508498402531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60.799508498402531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45">
      <c r="A29" s="10">
        <f t="shared" si="31"/>
        <v>26</v>
      </c>
      <c r="B29" s="73">
        <f>'Scénario référence'!$B$16*5+'Scénario référence'!$B$17*0+'Scénario référence'!$B$18*5</f>
        <v>2.8499999999999996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10.449999999999998</v>
      </c>
      <c r="H29" s="67">
        <f t="shared" si="1"/>
        <v>214.86666666666667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60.959116456737746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5.0894117647058819</v>
      </c>
      <c r="N29" s="13">
        <f>IF('Données projet'!$A$36&gt;35,N28+M29-V28,IF(A29&lt;'Données projet'!$A$36,$K$205^A29,IF(A29='Données projet'!$A$36,'Données projet'!$B$36,N28+M29-V28)))</f>
        <v>51.466400947068237</v>
      </c>
      <c r="O29" s="13">
        <f>N29*VLOOKUP('Données projet'!$B$9,Paramètres!$A$1:$I$89,3,0)*VLOOKUP('Données projet'!$B$9,Paramètres!$A$1:$I$89,5,0)</f>
        <v>46.566799576907343</v>
      </c>
      <c r="P29" s="13">
        <f t="shared" si="33"/>
        <v>13.723483481832947</v>
      </c>
      <c r="Q29" s="20">
        <f t="shared" si="2"/>
        <v>105.005576327306</v>
      </c>
      <c r="R29" s="59">
        <f t="shared" si="0"/>
        <v>360.3001144464555</v>
      </c>
      <c r="S29" s="59">
        <f ca="1">AVERAGE(OFFSET($R$3,0,0,'Données projet'!$E$9+1,1))-AVERAGE(OFFSET($H$3,0,0,'Données projet'!$E$9+1,1))</f>
        <v>719.20816951277925</v>
      </c>
      <c r="T29" s="59">
        <f t="shared" si="34"/>
        <v>237.1127421841087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60.959116456737746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4.9119354838709679</v>
      </c>
      <c r="AI29" s="13">
        <f>IF('Données projet'!$A$62&gt;35,AI28+AH29-AQ28,IF(A29&lt;'Données projet'!$A$62,$AF$205^A29,IF(A29='Données projet'!$A$62,'Données projet'!$B$62,AI28+AH29-AQ28)))</f>
        <v>67.698613703175596</v>
      </c>
      <c r="AJ29" s="13">
        <f>AI29*VLOOKUP('Données projet'!$B$10,Paramètres!$A$1:$I$89,3,0)*VLOOKUP('Données projet'!$B$10,Paramètres!$A$1:$I$89,5,0)</f>
        <v>57.029312183555128</v>
      </c>
      <c r="AK29" s="13">
        <f t="shared" si="35"/>
        <v>16.414980675949117</v>
      </c>
      <c r="AL29" s="20">
        <f t="shared" si="4"/>
        <v>127.91547673030321</v>
      </c>
      <c r="AM29" s="59">
        <f t="shared" si="5"/>
        <v>383.2100148494527</v>
      </c>
      <c r="AN29" s="59">
        <f ca="1">AVERAGE(OFFSET($AM$3,0,0,'Données projet'!$E$10+1,1))-AVERAGE(OFFSET($H$3,0,0,'Données projet'!$E$10+1,1))</f>
        <v>442.79037205372367</v>
      </c>
      <c r="AO29" s="59">
        <f t="shared" si="36"/>
        <v>288.23553637727969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60.959116456737746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3.3603333333333336</v>
      </c>
      <c r="BD29" s="12">
        <f>IF('Données projet'!$A$88&gt;35,BD28+BC29-BL28,IF(A29&lt;'Données projet'!$A$88,$BA$205^A29,IF(A29='Données projet'!$A$88,'Données projet'!$B$88,BD28+BC29-BL28)))</f>
        <v>87.368666666666684</v>
      </c>
      <c r="BE29" s="13">
        <f>BD29*VLOOKUP('Données projet'!$B$11,Paramètres!$A$1:$I$89,3,0)*VLOOKUP('Données projet'!$B$11,Paramètres!$A$1:$I$89,5,0)</f>
        <v>88.591828000000021</v>
      </c>
      <c r="BF29" s="13">
        <f t="shared" si="37"/>
        <v>24.225296739001799</v>
      </c>
      <c r="BG29" s="20">
        <f t="shared" si="7"/>
        <v>196.48982558709483</v>
      </c>
      <c r="BH29" s="59">
        <f t="shared" si="8"/>
        <v>451.78436370624433</v>
      </c>
      <c r="BI29" s="59">
        <f ca="1">AVERAGE(OFFSET($BH$3,0,0,'Données projet'!$E$11+1,1))-AVERAGE(OFFSET($H$3,0,0,'Données projet'!$E$11+1,1))</f>
        <v>559.91818701710872</v>
      </c>
      <c r="BJ29" s="59">
        <f t="shared" si="38"/>
        <v>273.47272623465915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60.959116456737746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7.3717948717948714</v>
      </c>
      <c r="BY29" s="12">
        <f>IF('Données projet'!$A$114&gt;35,BY28+BX29-CG28,IF(A29&lt;'Données projet'!$A$114,$BV$205^A29,IF(A29='Données projet'!$A$114,'Données projet'!$B$114,BY28+BX29-CG28)))</f>
        <v>62.5</v>
      </c>
      <c r="BZ29" s="13">
        <f>BY29*VLOOKUP('Données projet'!$B$12,Paramètres!$A$1:$I$89,3,0)*VLOOKUP('Données projet'!$B$12,Paramètres!$A$1:$I$89,5,0)</f>
        <v>48.75</v>
      </c>
      <c r="CA29" s="13">
        <f t="shared" si="39"/>
        <v>14.290467583875053</v>
      </c>
      <c r="CB29" s="20">
        <f t="shared" si="10"/>
        <v>109.79548104191571</v>
      </c>
      <c r="CC29" s="59">
        <f t="shared" si="11"/>
        <v>365.09001916106524</v>
      </c>
      <c r="CD29" s="59">
        <f ca="1">AVERAGE(OFFSET($CC$3,0,0,'Données projet'!$E$12+1,1))-AVERAGE(OFFSET($H$3,0,0,'Données projet'!$E$12+1,1))</f>
        <v>208.92677786250815</v>
      </c>
      <c r="CE29" s="59">
        <f t="shared" si="40"/>
        <v>207.54290142772214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2.9380490595033573</v>
      </c>
      <c r="CM29" s="21">
        <f>EXP(-LN(2)/2)*CM28+(1-EXP(-LN(2)/2))/(LN(2)/2)*CG29*CJ29*VLOOKUP('Données projet'!$B$12,Paramètres!$A$1:$I$89,3,0)*0.475*44/12</f>
        <v>2.6280968430857308</v>
      </c>
      <c r="CN29" s="22">
        <f t="shared" si="12"/>
        <v>5.5661459025890885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60.959116456737746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4.016578947368421</v>
      </c>
      <c r="CT29" s="12">
        <f>IF('Données projet'!$A$140&gt;35,CT28+CS29-DB28,IF(A29&lt;'Données projet'!$A$140,$CQ$205^A29,IF(A29='Données projet'!$A$140,'Données projet'!$B$140,CT28+CS29-DB28)))</f>
        <v>104.43105263157891</v>
      </c>
      <c r="CU29" s="17">
        <f>CT29*VLOOKUP('Données projet'!$B$13,Paramètres!$A$1:$I$89,3,0)*VLOOKUP('Données projet'!$B$13,Paramètres!$A$1:$I$89,5,0)</f>
        <v>99.376589684210487</v>
      </c>
      <c r="CV29" s="13">
        <f t="shared" si="41"/>
        <v>26.813424625461547</v>
      </c>
      <c r="CW29" s="20">
        <f t="shared" si="13"/>
        <v>219.78094158934547</v>
      </c>
      <c r="CX29" s="59">
        <f t="shared" si="14"/>
        <v>475.07547970849498</v>
      </c>
      <c r="CY29" s="59">
        <f ca="1">AVERAGE(OFFSET($CX$3,0,0,'Données projet'!$E$13+1,1))-AVERAGE(OFFSET($H$3,0,0,'Données projet'!$E$13+1,1))</f>
        <v>470.42022791389275</v>
      </c>
      <c r="CZ29" s="59">
        <f t="shared" si="42"/>
        <v>300.26117330627346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60.959116456737746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3.3603333333333336</v>
      </c>
      <c r="DO29" s="12">
        <f>IF('Données projet'!$A$166&gt;35,DO28+DN29-DW28,IF(A29&lt;'Données projet'!$A$166,$DL$205^A29,IF(A29='Données projet'!$A$166,'Données projet'!$B$166,DO28+DN29-DW28)))</f>
        <v>87.368666666666684</v>
      </c>
      <c r="DP29" s="17">
        <f>DO29*VLOOKUP('Données projet'!$B$14,Paramètres!$A$1:$I$89,3,0)*VLOOKUP('Données projet'!$B$14,Paramètres!$A$1:$I$89,5,0)</f>
        <v>84.502974400000014</v>
      </c>
      <c r="DQ29" s="13">
        <f t="shared" si="43"/>
        <v>23.234651370709514</v>
      </c>
      <c r="DR29" s="20">
        <f t="shared" si="16"/>
        <v>187.64303155065241</v>
      </c>
      <c r="DS29" s="59">
        <f t="shared" si="17"/>
        <v>442.93756966980192</v>
      </c>
      <c r="DT29" s="59">
        <f ca="1">AVERAGE(OFFSET($DS$3,0,0,'Données projet'!$E$14+1,1))-AVERAGE(OFFSET($H$3,0,0,'Données projet'!$E$14+1,1))</f>
        <v>537.37164071064103</v>
      </c>
      <c r="DU29" s="59">
        <f t="shared" si="44"/>
        <v>263.29777321132235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60.959116456737746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60.959116456737746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60.959116456737746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60.959116456737746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45">
      <c r="A30" s="10">
        <f t="shared" si="31"/>
        <v>27</v>
      </c>
      <c r="B30" s="73">
        <f>'Scénario référence'!$B$16*5+'Scénario référence'!$B$17*0+'Scénario référence'!$B$18*5</f>
        <v>2.8499999999999996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10.449999999999998</v>
      </c>
      <c r="H30" s="67">
        <f t="shared" si="1"/>
        <v>214.86666666666667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61.115955573825772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5.0894117647058819</v>
      </c>
      <c r="N30" s="13">
        <f>IF('Données projet'!$A$36&gt;35,N29+M30-V29,IF(A30&lt;'Données projet'!$A$36,$K$205^A30,IF(A30='Données projet'!$A$36,'Données projet'!$B$36,N29+M30-V29)))</f>
        <v>59.889631027676955</v>
      </c>
      <c r="O30" s="13">
        <f>N30*VLOOKUP('Données projet'!$B$9,Paramètres!$A$1:$I$89,3,0)*VLOOKUP('Données projet'!$B$9,Paramètres!$A$1:$I$89,5,0)</f>
        <v>54.188138153842111</v>
      </c>
      <c r="P30" s="13">
        <f t="shared" si="33"/>
        <v>15.690249222910433</v>
      </c>
      <c r="Q30" s="20">
        <f t="shared" si="2"/>
        <v>121.70485801451069</v>
      </c>
      <c r="R30" s="59">
        <f t="shared" si="0"/>
        <v>378.79669511853854</v>
      </c>
      <c r="S30" s="59">
        <f ca="1">AVERAGE(OFFSET($R$3,0,0,'Données projet'!$E$9+1,1))-AVERAGE(OFFSET($H$3,0,0,'Données projet'!$E$9+1,1))</f>
        <v>719.20816951277925</v>
      </c>
      <c r="T30" s="59">
        <f t="shared" si="34"/>
        <v>237.1127421841087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61.115955573825772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4.9119354838709679</v>
      </c>
      <c r="AI30" s="13">
        <f>IF('Données projet'!$A$62&gt;35,AI29+AH30-AQ29,IF(A30&lt;'Données projet'!$A$62,$AF$205^A30,IF(A30='Données projet'!$A$62,'Données projet'!$B$62,AI29+AH30-AQ29)))</f>
        <v>79.613495050495573</v>
      </c>
      <c r="AJ30" s="13">
        <f>AI30*VLOOKUP('Données projet'!$B$10,Paramètres!$A$1:$I$89,3,0)*VLOOKUP('Données projet'!$B$10,Paramètres!$A$1:$I$89,5,0)</f>
        <v>67.066408230537476</v>
      </c>
      <c r="AK30" s="13">
        <f t="shared" si="35"/>
        <v>18.943138100904928</v>
      </c>
      <c r="AL30" s="20">
        <f t="shared" si="4"/>
        <v>149.79995986059552</v>
      </c>
      <c r="AM30" s="59">
        <f t="shared" si="5"/>
        <v>406.89179696462338</v>
      </c>
      <c r="AN30" s="59">
        <f ca="1">AVERAGE(OFFSET($AM$3,0,0,'Données projet'!$E$10+1,1))-AVERAGE(OFFSET($H$3,0,0,'Données projet'!$E$10+1,1))</f>
        <v>442.79037205372367</v>
      </c>
      <c r="AO30" s="59">
        <f t="shared" si="36"/>
        <v>288.23553637727969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61.115955573825772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3.3603333333333336</v>
      </c>
      <c r="BD30" s="12">
        <f>IF('Données projet'!$A$88&gt;35,BD29+BC30-BL29,IF(A30&lt;'Données projet'!$A$88,$BA$205^A30,IF(A30='Données projet'!$A$88,'Données projet'!$B$88,BD29+BC30-BL29)))</f>
        <v>90.729000000000013</v>
      </c>
      <c r="BE30" s="13">
        <f>BD30*VLOOKUP('Données projet'!$B$11,Paramètres!$A$1:$I$89,3,0)*VLOOKUP('Données projet'!$B$11,Paramètres!$A$1:$I$89,5,0)</f>
        <v>91.999206000000029</v>
      </c>
      <c r="BF30" s="13">
        <f t="shared" si="37"/>
        <v>25.046767086912915</v>
      </c>
      <c r="BG30" s="20">
        <f t="shared" si="7"/>
        <v>203.85506979304003</v>
      </c>
      <c r="BH30" s="59">
        <f t="shared" si="8"/>
        <v>460.94690689706783</v>
      </c>
      <c r="BI30" s="59">
        <f ca="1">AVERAGE(OFFSET($BH$3,0,0,'Données projet'!$E$11+1,1))-AVERAGE(OFFSET($H$3,0,0,'Données projet'!$E$11+1,1))</f>
        <v>559.91818701710872</v>
      </c>
      <c r="BJ30" s="59">
        <f t="shared" si="38"/>
        <v>273.47272623465915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61.115955573825772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7.3717948717948714</v>
      </c>
      <c r="BY30" s="12">
        <f>IF('Données projet'!$A$114&gt;35,BY29+BX30-CG29,IF(A30&lt;'Données projet'!$A$114,$BV$205^A30,IF(A30='Données projet'!$A$114,'Données projet'!$B$114,BY29+BX30-CG29)))</f>
        <v>69.871794871794876</v>
      </c>
      <c r="BZ30" s="13">
        <f>BY30*VLOOKUP('Données projet'!$B$12,Paramètres!$A$1:$I$89,3,0)*VLOOKUP('Données projet'!$B$12,Paramètres!$A$1:$I$89,5,0)</f>
        <v>54.500000000000007</v>
      </c>
      <c r="CA30" s="13">
        <f t="shared" si="39"/>
        <v>15.770011654349027</v>
      </c>
      <c r="CB30" s="20">
        <f t="shared" si="10"/>
        <v>122.38693696465789</v>
      </c>
      <c r="CC30" s="59">
        <f t="shared" si="11"/>
        <v>379.47877406868571</v>
      </c>
      <c r="CD30" s="59">
        <f ca="1">AVERAGE(OFFSET($CC$3,0,0,'Données projet'!$E$12+1,1))-AVERAGE(OFFSET($H$3,0,0,'Données projet'!$E$12+1,1))</f>
        <v>208.92677786250815</v>
      </c>
      <c r="CE30" s="59">
        <f t="shared" si="40"/>
        <v>207.54290142772214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2.8577079534659529</v>
      </c>
      <c r="CM30" s="21">
        <f>EXP(-LN(2)/2)*CM29+(1-EXP(-LN(2)/2))/(LN(2)/2)*CG30*CJ30*VLOOKUP('Données projet'!$B$12,Paramètres!$A$1:$I$89,3,0)*0.475*44/12</f>
        <v>1.8583450993608783</v>
      </c>
      <c r="CN30" s="22">
        <f t="shared" si="12"/>
        <v>4.7160530528268314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61.115955573825772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4.016578947368421</v>
      </c>
      <c r="CT30" s="12">
        <f>IF('Données projet'!$A$140&gt;35,CT29+CS30-DB29,IF(A30&lt;'Données projet'!$A$140,$CQ$205^A30,IF(A30='Données projet'!$A$140,'Données projet'!$B$140,CT29+CS30-DB29)))</f>
        <v>108.44763157894732</v>
      </c>
      <c r="CU30" s="17">
        <f>CT30*VLOOKUP('Données projet'!$B$13,Paramètres!$A$1:$I$89,3,0)*VLOOKUP('Données projet'!$B$13,Paramètres!$A$1:$I$89,5,0)</f>
        <v>103.19876621052627</v>
      </c>
      <c r="CV30" s="13">
        <f t="shared" si="41"/>
        <v>27.722657378854588</v>
      </c>
      <c r="CW30" s="20">
        <f t="shared" si="13"/>
        <v>228.02147941817165</v>
      </c>
      <c r="CX30" s="59">
        <f t="shared" si="14"/>
        <v>485.11331652219951</v>
      </c>
      <c r="CY30" s="59">
        <f ca="1">AVERAGE(OFFSET($CX$3,0,0,'Données projet'!$E$13+1,1))-AVERAGE(OFFSET($H$3,0,0,'Données projet'!$E$13+1,1))</f>
        <v>470.42022791389275</v>
      </c>
      <c r="CZ30" s="59">
        <f t="shared" si="42"/>
        <v>300.26117330627346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61.115955573825772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3.3603333333333336</v>
      </c>
      <c r="DO30" s="12">
        <f>IF('Données projet'!$A$166&gt;35,DO29+DN30-DW29,IF(A30&lt;'Données projet'!$A$166,$DL$205^A30,IF(A30='Données projet'!$A$166,'Données projet'!$B$166,DO29+DN30-DW29)))</f>
        <v>90.729000000000013</v>
      </c>
      <c r="DP30" s="17">
        <f>DO30*VLOOKUP('Données projet'!$B$14,Paramètres!$A$1:$I$89,3,0)*VLOOKUP('Données projet'!$B$14,Paramètres!$A$1:$I$89,5,0)</f>
        <v>87.753088800000015</v>
      </c>
      <c r="DQ30" s="13">
        <f t="shared" si="43"/>
        <v>24.022529321214137</v>
      </c>
      <c r="DR30" s="20">
        <f t="shared" si="16"/>
        <v>194.67586822778131</v>
      </c>
      <c r="DS30" s="59">
        <f t="shared" si="17"/>
        <v>451.76770533180911</v>
      </c>
      <c r="DT30" s="59">
        <f ca="1">AVERAGE(OFFSET($DS$3,0,0,'Données projet'!$E$14+1,1))-AVERAGE(OFFSET($H$3,0,0,'Données projet'!$E$14+1,1))</f>
        <v>537.37164071064103</v>
      </c>
      <c r="DU30" s="59">
        <f t="shared" si="44"/>
        <v>263.29777321132235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61.115955573825772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61.115955573825772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61.115955573825772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61.115955573825772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45">
      <c r="A31" s="10">
        <f t="shared" si="31"/>
        <v>28</v>
      </c>
      <c r="B31" s="73">
        <f>'Scénario référence'!$B$16*5+'Scénario référence'!$B$17*0+'Scénario référence'!$B$18*5</f>
        <v>2.8499999999999996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10.449999999999998</v>
      </c>
      <c r="H31" s="67">
        <f t="shared" si="1"/>
        <v>214.86666666666667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61.270073882872069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5.0894117647058819</v>
      </c>
      <c r="N31" s="13">
        <f>IF('Données projet'!$A$36&gt;35,N30+M31-V30,IF(A31&lt;'Données projet'!$A$36,$K$205^A31,IF(A31='Données projet'!$A$36,'Données projet'!$B$36,N30+M31-V30)))</f>
        <v>69.691446043024783</v>
      </c>
      <c r="O31" s="13">
        <f>N31*VLOOKUP('Données projet'!$B$9,Paramètres!$A$1:$I$89,3,0)*VLOOKUP('Données projet'!$B$9,Paramètres!$A$1:$I$89,5,0)</f>
        <v>63.056820379728819</v>
      </c>
      <c r="P31" s="13">
        <f t="shared" si="33"/>
        <v>17.938879804310467</v>
      </c>
      <c r="Q31" s="20">
        <f t="shared" si="2"/>
        <v>141.06751115386842</v>
      </c>
      <c r="R31" s="59">
        <f t="shared" si="0"/>
        <v>399.94667094662157</v>
      </c>
      <c r="S31" s="59">
        <f ca="1">AVERAGE(OFFSET($R$3,0,0,'Données projet'!$E$9+1,1))-AVERAGE(OFFSET($H$3,0,0,'Données projet'!$E$9+1,1))</f>
        <v>719.20816951277925</v>
      </c>
      <c r="T31" s="59">
        <f t="shared" si="34"/>
        <v>237.1127421841087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61.270073882872069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4.9119354838709679</v>
      </c>
      <c r="AI31" s="13">
        <f>IF('Données projet'!$A$62&gt;35,AI30+AH31-AQ30,IF(A31&lt;'Données projet'!$A$62,$AF$205^A31,IF(A31='Données projet'!$A$62,'Données projet'!$B$62,AI30+AH31-AQ30)))</f>
        <v>93.625382374084964</v>
      </c>
      <c r="AJ31" s="13">
        <f>AI31*VLOOKUP('Données projet'!$B$10,Paramètres!$A$1:$I$89,3,0)*VLOOKUP('Données projet'!$B$10,Paramètres!$A$1:$I$89,5,0)</f>
        <v>78.870022111929188</v>
      </c>
      <c r="AK31" s="13">
        <f t="shared" si="35"/>
        <v>21.860670334856028</v>
      </c>
      <c r="AL31" s="20">
        <f t="shared" si="4"/>
        <v>175.43928934481758</v>
      </c>
      <c r="AM31" s="59">
        <f t="shared" si="5"/>
        <v>434.31844913757072</v>
      </c>
      <c r="AN31" s="59">
        <f ca="1">AVERAGE(OFFSET($AM$3,0,0,'Données projet'!$E$10+1,1))-AVERAGE(OFFSET($H$3,0,0,'Données projet'!$E$10+1,1))</f>
        <v>442.79037205372367</v>
      </c>
      <c r="AO31" s="59">
        <f t="shared" si="36"/>
        <v>288.23553637727969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61.270073882872069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3.3603333333333336</v>
      </c>
      <c r="BD31" s="12">
        <f>IF('Données projet'!$A$88&gt;35,BD30+BC31-BL30,IF(A31&lt;'Données projet'!$A$88,$BA$205^A31,IF(A31='Données projet'!$A$88,'Données projet'!$B$88,BD30+BC31-BL30)))</f>
        <v>94.089333333333343</v>
      </c>
      <c r="BE31" s="13">
        <f>BD31*VLOOKUP('Données projet'!$B$11,Paramètres!$A$1:$I$89,3,0)*VLOOKUP('Données projet'!$B$11,Paramètres!$A$1:$I$89,5,0)</f>
        <v>95.406584000000024</v>
      </c>
      <c r="BF31" s="13">
        <f t="shared" si="37"/>
        <v>25.864702754127851</v>
      </c>
      <c r="BG31" s="20">
        <f t="shared" si="7"/>
        <v>211.21415776343937</v>
      </c>
      <c r="BH31" s="59">
        <f t="shared" si="8"/>
        <v>470.09331755619246</v>
      </c>
      <c r="BI31" s="59">
        <f ca="1">AVERAGE(OFFSET($BH$3,0,0,'Données projet'!$E$11+1,1))-AVERAGE(OFFSET($H$3,0,0,'Données projet'!$E$11+1,1))</f>
        <v>559.91818701710872</v>
      </c>
      <c r="BJ31" s="59">
        <f t="shared" si="38"/>
        <v>273.47272623465915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61.270073882872069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7.3717948717948714</v>
      </c>
      <c r="BY31" s="12">
        <f>IF('Données projet'!$A$114&gt;35,BY30+BX31-CG30,IF(A31&lt;'Données projet'!$A$114,$BV$205^A31,IF(A31='Données projet'!$A$114,'Données projet'!$B$114,BY30+BX31-CG30)))</f>
        <v>77.243589743589752</v>
      </c>
      <c r="BZ31" s="13">
        <f>BY31*VLOOKUP('Données projet'!$B$12,Paramètres!$A$1:$I$89,3,0)*VLOOKUP('Données projet'!$B$12,Paramètres!$A$1:$I$89,5,0)</f>
        <v>60.250000000000007</v>
      </c>
      <c r="CA31" s="13">
        <f t="shared" si="39"/>
        <v>17.231461552057397</v>
      </c>
      <c r="CB31" s="20">
        <f t="shared" si="10"/>
        <v>134.94687886983328</v>
      </c>
      <c r="CC31" s="59">
        <f t="shared" si="11"/>
        <v>393.82603866258637</v>
      </c>
      <c r="CD31" s="59">
        <f ca="1">AVERAGE(OFFSET($CC$3,0,0,'Données projet'!$E$12+1,1))-AVERAGE(OFFSET($H$3,0,0,'Données projet'!$E$12+1,1))</f>
        <v>208.92677786250815</v>
      </c>
      <c r="CE31" s="59">
        <f t="shared" si="40"/>
        <v>207.54290142772214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2.7795637791980963</v>
      </c>
      <c r="CM31" s="21">
        <f>EXP(-LN(2)/2)*CM30+(1-EXP(-LN(2)/2))/(LN(2)/2)*CG31*CJ31*VLOOKUP('Données projet'!$B$12,Paramètres!$A$1:$I$89,3,0)*0.475*44/12</f>
        <v>1.3140484215428656</v>
      </c>
      <c r="CN31" s="22">
        <f t="shared" si="12"/>
        <v>4.0936122007409619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61.270073882872069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4.016578947368421</v>
      </c>
      <c r="CT31" s="12">
        <f>IF('Données projet'!$A$140&gt;35,CT30+CS31-DB30,IF(A31&lt;'Données projet'!$A$140,$CQ$205^A31,IF(A31='Données projet'!$A$140,'Données projet'!$B$140,CT30+CS31-DB30)))</f>
        <v>112.46421052631574</v>
      </c>
      <c r="CU31" s="17">
        <f>CT31*VLOOKUP('Données projet'!$B$13,Paramètres!$A$1:$I$89,3,0)*VLOOKUP('Données projet'!$B$13,Paramètres!$A$1:$I$89,5,0)</f>
        <v>107.02094273684206</v>
      </c>
      <c r="CV31" s="13">
        <f t="shared" si="41"/>
        <v>28.627977821267809</v>
      </c>
      <c r="CW31" s="20">
        <f t="shared" si="13"/>
        <v>236.25520330537464</v>
      </c>
      <c r="CX31" s="59">
        <f t="shared" si="14"/>
        <v>495.13436309812778</v>
      </c>
      <c r="CY31" s="59">
        <f ca="1">AVERAGE(OFFSET($CX$3,0,0,'Données projet'!$E$13+1,1))-AVERAGE(OFFSET($H$3,0,0,'Données projet'!$E$13+1,1))</f>
        <v>470.42022791389275</v>
      </c>
      <c r="CZ31" s="59">
        <f t="shared" si="42"/>
        <v>300.26117330627346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61.270073882872069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3.3603333333333336</v>
      </c>
      <c r="DO31" s="12">
        <f>IF('Données projet'!$A$166&gt;35,DO30+DN31-DW30,IF(A31&lt;'Données projet'!$A$166,$DL$205^A31,IF(A31='Données projet'!$A$166,'Données projet'!$B$166,DO30+DN31-DW30)))</f>
        <v>94.089333333333343</v>
      </c>
      <c r="DP31" s="17">
        <f>DO31*VLOOKUP('Données projet'!$B$14,Paramètres!$A$1:$I$89,3,0)*VLOOKUP('Données projet'!$B$14,Paramètres!$A$1:$I$89,5,0)</f>
        <v>91.003203200000016</v>
      </c>
      <c r="DQ31" s="13">
        <f t="shared" si="43"/>
        <v>24.807017134765282</v>
      </c>
      <c r="DR31" s="20">
        <f t="shared" si="16"/>
        <v>201.70280041638287</v>
      </c>
      <c r="DS31" s="59">
        <f t="shared" si="17"/>
        <v>460.58196020913601</v>
      </c>
      <c r="DT31" s="59">
        <f ca="1">AVERAGE(OFFSET($DS$3,0,0,'Données projet'!$E$14+1,1))-AVERAGE(OFFSET($H$3,0,0,'Données projet'!$E$14+1,1))</f>
        <v>537.37164071064103</v>
      </c>
      <c r="DU31" s="59">
        <f t="shared" si="44"/>
        <v>263.29777321132235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61.270073882872069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61.270073882872069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61.270073882872069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61.270073882872069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45">
      <c r="A32" s="10">
        <f t="shared" si="31"/>
        <v>29</v>
      </c>
      <c r="B32" s="73">
        <f>'Scénario référence'!$B$16*5+'Scénario référence'!$B$17*0+'Scénario référence'!$B$18*5</f>
        <v>2.8499999999999996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10.449999999999998</v>
      </c>
      <c r="H32" s="67">
        <f t="shared" si="1"/>
        <v>214.86666666666667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61.421518583813324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5.0894117647058819</v>
      </c>
      <c r="N32" s="13">
        <f>IF('Données projet'!$A$36&gt;35,N31+M32-V31,IF(A32&lt;'Données projet'!$A$36,$K$205^A32,IF(A32='Données projet'!$A$36,'Données projet'!$B$36,N31+M32-V31)))</f>
        <v>81.097471602777176</v>
      </c>
      <c r="O32" s="13">
        <f>N32*VLOOKUP('Données projet'!$B$9,Paramètres!$A$1:$I$89,3,0)*VLOOKUP('Données projet'!$B$9,Paramètres!$A$1:$I$89,5,0)</f>
        <v>73.37699230619279</v>
      </c>
      <c r="P32" s="13">
        <f t="shared" si="33"/>
        <v>20.509770371499922</v>
      </c>
      <c r="Q32" s="20">
        <f t="shared" si="2"/>
        <v>163.51944499698146</v>
      </c>
      <c r="R32" s="59">
        <f t="shared" si="0"/>
        <v>424.17612424874142</v>
      </c>
      <c r="S32" s="59">
        <f ca="1">AVERAGE(OFFSET($R$3,0,0,'Données projet'!$E$9+1,1))-AVERAGE(OFFSET($H$3,0,0,'Données projet'!$E$9+1,1))</f>
        <v>719.20816951277925</v>
      </c>
      <c r="T32" s="59">
        <f t="shared" si="34"/>
        <v>237.1127421841087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61.421518583813324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4.9119354838709679</v>
      </c>
      <c r="AI32" s="13">
        <f>IF('Données projet'!$A$62&gt;35,AI31+AH32-AQ31,IF(A32&lt;'Données projet'!$A$62,$AF$205^A32,IF(A32='Données projet'!$A$62,'Données projet'!$B$62,AI31+AH32-AQ31)))</f>
        <v>110.1033464129905</v>
      </c>
      <c r="AJ32" s="13">
        <f>AI32*VLOOKUP('Données projet'!$B$10,Paramètres!$A$1:$I$89,3,0)*VLOOKUP('Données projet'!$B$10,Paramètres!$A$1:$I$89,5,0)</f>
        <v>92.751059018303209</v>
      </c>
      <c r="AK32" s="13">
        <f t="shared" si="35"/>
        <v>25.22754703807103</v>
      </c>
      <c r="AL32" s="20">
        <f t="shared" si="4"/>
        <v>205.47940554818516</v>
      </c>
      <c r="AM32" s="59">
        <f t="shared" si="5"/>
        <v>466.13608479994514</v>
      </c>
      <c r="AN32" s="59">
        <f ca="1">AVERAGE(OFFSET($AM$3,0,0,'Données projet'!$E$10+1,1))-AVERAGE(OFFSET($H$3,0,0,'Données projet'!$E$10+1,1))</f>
        <v>442.79037205372367</v>
      </c>
      <c r="AO32" s="59">
        <f t="shared" si="36"/>
        <v>288.23553637727969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61.421518583813324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3.3603333333333336</v>
      </c>
      <c r="BD32" s="12">
        <f>IF('Données projet'!$A$88&gt;35,BD31+BC32-BL31,IF(A32&lt;'Données projet'!$A$88,$BA$205^A32,IF(A32='Données projet'!$A$88,'Données projet'!$B$88,BD31+BC32-BL31)))</f>
        <v>97.449666666666673</v>
      </c>
      <c r="BE32" s="13">
        <f>BD32*VLOOKUP('Données projet'!$B$11,Paramètres!$A$1:$I$89,3,0)*VLOOKUP('Données projet'!$B$11,Paramètres!$A$1:$I$89,5,0)</f>
        <v>98.813962000000018</v>
      </c>
      <c r="BF32" s="13">
        <f t="shared" si="37"/>
        <v>26.679244441706949</v>
      </c>
      <c r="BG32" s="20">
        <f t="shared" si="7"/>
        <v>218.56733455263964</v>
      </c>
      <c r="BH32" s="59">
        <f t="shared" si="8"/>
        <v>479.22401380439959</v>
      </c>
      <c r="BI32" s="59">
        <f ca="1">AVERAGE(OFFSET($BH$3,0,0,'Données projet'!$E$11+1,1))-AVERAGE(OFFSET($H$3,0,0,'Données projet'!$E$11+1,1))</f>
        <v>559.91818701710872</v>
      </c>
      <c r="BJ32" s="59">
        <f t="shared" si="38"/>
        <v>273.47272623465915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61.421518583813324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7.3717948717948714</v>
      </c>
      <c r="BY32" s="12">
        <f>IF('Données projet'!$A$114&gt;35,BY31+BX32-CG31,IF(A32&lt;'Données projet'!$A$114,$BV$205^A32,IF(A32='Données projet'!$A$114,'Données projet'!$B$114,BY31+BX32-CG31)))</f>
        <v>84.615384615384627</v>
      </c>
      <c r="BZ32" s="13">
        <f>BY32*VLOOKUP('Données projet'!$B$12,Paramètres!$A$1:$I$89,3,0)*VLOOKUP('Données projet'!$B$12,Paramètres!$A$1:$I$89,5,0)</f>
        <v>66.000000000000014</v>
      </c>
      <c r="CA32" s="13">
        <f t="shared" si="39"/>
        <v>18.676740573099728</v>
      </c>
      <c r="CB32" s="20">
        <f t="shared" si="10"/>
        <v>147.47865649814872</v>
      </c>
      <c r="CC32" s="59">
        <f t="shared" si="11"/>
        <v>408.13533574990868</v>
      </c>
      <c r="CD32" s="59">
        <f ca="1">AVERAGE(OFFSET($CC$3,0,0,'Données projet'!$E$12+1,1))-AVERAGE(OFFSET($H$3,0,0,'Données projet'!$E$12+1,1))</f>
        <v>208.92677786250815</v>
      </c>
      <c r="CE32" s="59">
        <f t="shared" si="40"/>
        <v>207.54290142772214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2.703556461485018</v>
      </c>
      <c r="CM32" s="21">
        <f>EXP(-LN(2)/2)*CM31+(1-EXP(-LN(2)/2))/(LN(2)/2)*CG32*CJ32*VLOOKUP('Données projet'!$B$12,Paramètres!$A$1:$I$89,3,0)*0.475*44/12</f>
        <v>0.92917254968043927</v>
      </c>
      <c r="CN32" s="22">
        <f t="shared" si="12"/>
        <v>3.6327290111654573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61.421518583813324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4.016578947368421</v>
      </c>
      <c r="CT32" s="12">
        <f>IF('Données projet'!$A$140&gt;35,CT31+CS32-DB31,IF(A32&lt;'Données projet'!$A$140,$CQ$205^A32,IF(A32='Données projet'!$A$140,'Données projet'!$B$140,CT31+CS32-DB31)))</f>
        <v>116.48078947368415</v>
      </c>
      <c r="CU32" s="17">
        <f>CT32*VLOOKUP('Données projet'!$B$13,Paramètres!$A$1:$I$89,3,0)*VLOOKUP('Données projet'!$B$13,Paramètres!$A$1:$I$89,5,0)</f>
        <v>110.84311926315785</v>
      </c>
      <c r="CV32" s="13">
        <f t="shared" si="41"/>
        <v>29.529541685665656</v>
      </c>
      <c r="CW32" s="20">
        <f t="shared" si="13"/>
        <v>244.48238448586758</v>
      </c>
      <c r="CX32" s="59">
        <f t="shared" si="14"/>
        <v>505.13906373762757</v>
      </c>
      <c r="CY32" s="59">
        <f ca="1">AVERAGE(OFFSET($CX$3,0,0,'Données projet'!$E$13+1,1))-AVERAGE(OFFSET($H$3,0,0,'Données projet'!$E$13+1,1))</f>
        <v>470.42022791389275</v>
      </c>
      <c r="CZ32" s="59">
        <f t="shared" si="42"/>
        <v>300.26117330627346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61.421518583813324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3.3603333333333336</v>
      </c>
      <c r="DO32" s="12">
        <f>IF('Données projet'!$A$166&gt;35,DO31+DN32-DW31,IF(A32&lt;'Données projet'!$A$166,$DL$205^A32,IF(A32='Données projet'!$A$166,'Données projet'!$B$166,DO31+DN32-DW31)))</f>
        <v>97.449666666666673</v>
      </c>
      <c r="DP32" s="17">
        <f>DO32*VLOOKUP('Données projet'!$B$14,Paramètres!$A$1:$I$89,3,0)*VLOOKUP('Données projet'!$B$14,Paramètres!$A$1:$I$89,5,0)</f>
        <v>94.253317600000003</v>
      </c>
      <c r="DQ32" s="13">
        <f t="shared" si="43"/>
        <v>25.588249758733145</v>
      </c>
      <c r="DR32" s="20">
        <f t="shared" si="16"/>
        <v>208.72406314979355</v>
      </c>
      <c r="DS32" s="59">
        <f t="shared" si="17"/>
        <v>469.3807424015535</v>
      </c>
      <c r="DT32" s="59">
        <f ca="1">AVERAGE(OFFSET($DS$3,0,0,'Données projet'!$E$14+1,1))-AVERAGE(OFFSET($H$3,0,0,'Données projet'!$E$14+1,1))</f>
        <v>537.37164071064103</v>
      </c>
      <c r="DU32" s="59">
        <f t="shared" si="44"/>
        <v>263.29777321132235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61.421518583813324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61.421518583813324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61.421518583813324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61.421518583813324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45">
      <c r="A33" s="10">
        <f t="shared" si="31"/>
        <v>30</v>
      </c>
      <c r="B33" s="73">
        <f>'Scénario référence'!$B$16*5+'Scénario référence'!$B$17*0+'Scénario référence'!$B$18*5</f>
        <v>2.8499999999999996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10.449999999999998</v>
      </c>
      <c r="H33" s="67">
        <f t="shared" si="1"/>
        <v>214.86666666666667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61.570336057772877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5.0894117647058819</v>
      </c>
      <c r="N33" s="13">
        <f>IF('Données projet'!$A$36&gt;35,N32+M33-V32,IF(A33&lt;'Données projet'!$A$36,$K$205^A33,IF(A33='Données projet'!$A$36,'Données projet'!$B$36,N32+M33-V32)))</f>
        <v>94.370260251207753</v>
      </c>
      <c r="O33" s="13">
        <f>N33*VLOOKUP('Données projet'!$B$9,Paramètres!$A$1:$I$89,3,0)*VLOOKUP('Données projet'!$B$9,Paramètres!$A$1:$I$89,5,0)</f>
        <v>85.386211475292768</v>
      </c>
      <c r="P33" s="13">
        <f t="shared" si="33"/>
        <v>23.449105255199921</v>
      </c>
      <c r="Q33" s="20">
        <f t="shared" si="2"/>
        <v>189.5548433056081</v>
      </c>
      <c r="R33" s="59">
        <f t="shared" si="0"/>
        <v>451.97940885077537</v>
      </c>
      <c r="S33" s="59">
        <f ca="1">AVERAGE(OFFSET($R$3,0,0,'Données projet'!$E$9+1,1))-AVERAGE(OFFSET($H$3,0,0,'Données projet'!$E$9+1,1))</f>
        <v>719.20816951277925</v>
      </c>
      <c r="T33" s="59">
        <f t="shared" si="34"/>
        <v>237.1127421841087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61.570336057772877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4.9119354838709679</v>
      </c>
      <c r="AI33" s="13">
        <f>IF('Données projet'!$A$62&gt;35,AI32+AH33-AQ32,IF(A33&lt;'Données projet'!$A$62,$AF$205^A33,IF(A33='Données projet'!$A$62,'Données projet'!$B$62,AI32+AH33-AQ32)))</f>
        <v>129.48141394928501</v>
      </c>
      <c r="AJ33" s="13">
        <f>AI33*VLOOKUP('Données projet'!$B$10,Paramètres!$A$1:$I$89,3,0)*VLOOKUP('Données projet'!$B$10,Paramètres!$A$1:$I$89,5,0)</f>
        <v>109.0751431108777</v>
      </c>
      <c r="AK33" s="13">
        <f t="shared" si="35"/>
        <v>29.112974113301696</v>
      </c>
      <c r="AL33" s="20">
        <f t="shared" si="4"/>
        <v>240.67763749877909</v>
      </c>
      <c r="AM33" s="59">
        <f t="shared" si="5"/>
        <v>503.10220304394636</v>
      </c>
      <c r="AN33" s="59">
        <f ca="1">AVERAGE(OFFSET($AM$3,0,0,'Données projet'!$E$10+1,1))-AVERAGE(OFFSET($H$3,0,0,'Données projet'!$E$10+1,1))</f>
        <v>442.79037205372367</v>
      </c>
      <c r="AO33" s="59">
        <f t="shared" si="36"/>
        <v>288.23553637727969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61.570336057772877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3.3603333333333336</v>
      </c>
      <c r="BD33" s="12">
        <f>IF('Données projet'!$A$88&gt;35,BD32+BC33-BL32,IF(A33&lt;'Données projet'!$A$88,$BA$205^A33,IF(A33='Données projet'!$A$88,'Données projet'!$B$88,BD32+BC33-BL32)))</f>
        <v>100.81</v>
      </c>
      <c r="BE33" s="13">
        <f>BD33*VLOOKUP('Données projet'!$B$11,Paramètres!$A$1:$I$89,3,0)*VLOOKUP('Données projet'!$B$11,Paramètres!$A$1:$I$89,5,0)</f>
        <v>102.22134</v>
      </c>
      <c r="BF33" s="13">
        <f t="shared" si="37"/>
        <v>27.490522596837476</v>
      </c>
      <c r="BG33" s="20">
        <f t="shared" si="7"/>
        <v>225.91482735615861</v>
      </c>
      <c r="BH33" s="59">
        <f t="shared" si="8"/>
        <v>488.33939290132582</v>
      </c>
      <c r="BI33" s="59">
        <f ca="1">AVERAGE(OFFSET($BH$3,0,0,'Données projet'!$E$11+1,1))-AVERAGE(OFFSET($H$3,0,0,'Données projet'!$E$11+1,1))</f>
        <v>559.91818701710872</v>
      </c>
      <c r="BJ33" s="59">
        <f t="shared" si="38"/>
        <v>273.47272623465915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61.570336057772877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7.3717948717948714</v>
      </c>
      <c r="BY33" s="12">
        <f>IF('Données projet'!$A$114&gt;35,BY32+BX33-CG32,IF(A33&lt;'Données projet'!$A$114,$BV$205^A33,IF(A33='Données projet'!$A$114,'Données projet'!$B$114,BY32+BX33-CG32)))</f>
        <v>91.987179487179503</v>
      </c>
      <c r="BZ33" s="13">
        <f>BY33*VLOOKUP('Données projet'!$B$12,Paramètres!$A$1:$I$89,3,0)*VLOOKUP('Données projet'!$B$12,Paramètres!$A$1:$I$89,5,0)</f>
        <v>71.750000000000014</v>
      </c>
      <c r="CA33" s="13">
        <f t="shared" si="39"/>
        <v>20.107417731610468</v>
      </c>
      <c r="CB33" s="20">
        <f t="shared" si="10"/>
        <v>159.98500254922158</v>
      </c>
      <c r="CC33" s="59">
        <f t="shared" si="11"/>
        <v>422.40956809438882</v>
      </c>
      <c r="CD33" s="59">
        <f ca="1">AVERAGE(OFFSET($CC$3,0,0,'Données projet'!$E$12+1,1))-AVERAGE(OFFSET($H$3,0,0,'Données projet'!$E$12+1,1))</f>
        <v>208.92677786250815</v>
      </c>
      <c r="CE33" s="59">
        <f t="shared" si="40"/>
        <v>207.54290142772214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2.629627567871855</v>
      </c>
      <c r="CM33" s="21">
        <f>EXP(-LN(2)/2)*CM32+(1-EXP(-LN(2)/2))/(LN(2)/2)*CG33*CJ33*VLOOKUP('Données projet'!$B$12,Paramètres!$A$1:$I$89,3,0)*0.475*44/12</f>
        <v>0.65702421077143291</v>
      </c>
      <c r="CN33" s="22">
        <f t="shared" si="12"/>
        <v>3.2866517786432881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61.570336057772877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4.016578947368421</v>
      </c>
      <c r="CT33" s="12">
        <f>IF('Données projet'!$A$140&gt;35,CT32+CS33-DB32,IF(A33&lt;'Données projet'!$A$140,$CQ$205^A33,IF(A33='Données projet'!$A$140,'Données projet'!$B$140,CT32+CS33-DB32)))</f>
        <v>120.49736842105257</v>
      </c>
      <c r="CU33" s="17">
        <f>CT33*VLOOKUP('Données projet'!$B$13,Paramètres!$A$1:$I$89,3,0)*VLOOKUP('Données projet'!$B$13,Paramètres!$A$1:$I$89,5,0)</f>
        <v>114.66529578947363</v>
      </c>
      <c r="CV33" s="13">
        <f t="shared" si="41"/>
        <v>30.427493355659173</v>
      </c>
      <c r="CW33" s="20">
        <f t="shared" si="13"/>
        <v>252.70327442777295</v>
      </c>
      <c r="CX33" s="59">
        <f t="shared" si="14"/>
        <v>515.12783997294014</v>
      </c>
      <c r="CY33" s="59">
        <f ca="1">AVERAGE(OFFSET($CX$3,0,0,'Données projet'!$E$13+1,1))-AVERAGE(OFFSET($H$3,0,0,'Données projet'!$E$13+1,1))</f>
        <v>470.42022791389275</v>
      </c>
      <c r="CZ33" s="59">
        <f t="shared" si="42"/>
        <v>300.26117330627346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61.570336057772877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3.3603333333333336</v>
      </c>
      <c r="DO33" s="12">
        <f>IF('Données projet'!$A$166&gt;35,DO32+DN33-DW32,IF(A33&lt;'Données projet'!$A$166,$DL$205^A33,IF(A33='Données projet'!$A$166,'Données projet'!$B$166,DO32+DN33-DW32)))</f>
        <v>100.81</v>
      </c>
      <c r="DP33" s="17">
        <f>DO33*VLOOKUP('Données projet'!$B$14,Paramètres!$A$1:$I$89,3,0)*VLOOKUP('Données projet'!$B$14,Paramètres!$A$1:$I$89,5,0)</f>
        <v>97.503432000000004</v>
      </c>
      <c r="DQ33" s="13">
        <f t="shared" si="43"/>
        <v>26.366352305926398</v>
      </c>
      <c r="DR33" s="20">
        <f t="shared" si="16"/>
        <v>215.73987433282181</v>
      </c>
      <c r="DS33" s="59">
        <f t="shared" si="17"/>
        <v>478.16443987798903</v>
      </c>
      <c r="DT33" s="59">
        <f ca="1">AVERAGE(OFFSET($DS$3,0,0,'Données projet'!$E$14+1,1))-AVERAGE(OFFSET($H$3,0,0,'Données projet'!$E$14+1,1))</f>
        <v>537.37164071064103</v>
      </c>
      <c r="DU33" s="59">
        <f t="shared" si="44"/>
        <v>263.29777321132235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61.570336057772877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61.570336057772877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61.570336057772877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61.570336057772877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45">
      <c r="A34" s="10">
        <f t="shared" si="31"/>
        <v>31</v>
      </c>
      <c r="B34" s="73">
        <f>'Scénario référence'!$B$16*5+'Scénario référence'!$B$17*0+'Scénario référence'!$B$18*5</f>
        <v>2.8499999999999996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10.449999999999998</v>
      </c>
      <c r="H34" s="67">
        <f t="shared" si="1"/>
        <v>214.86666666666667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61.716571881265267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5.0894117647058819</v>
      </c>
      <c r="N34" s="13">
        <f>IF('Données projet'!$A$36&gt;35,N33+M34-V33,IF(A34&lt;'Données projet'!$A$36,$K$205^A34,IF(A34='Données projet'!$A$36,'Données projet'!$B$36,N33+M34-V33)))</f>
        <v>109.81533510072718</v>
      </c>
      <c r="O34" s="13">
        <f>N34*VLOOKUP('Données projet'!$B$9,Paramètres!$A$1:$I$89,3,0)*VLOOKUP('Données projet'!$B$9,Paramètres!$A$1:$I$89,5,0)</f>
        <v>99.360915199137949</v>
      </c>
      <c r="P34" s="13">
        <f t="shared" si="33"/>
        <v>26.809687642018758</v>
      </c>
      <c r="Q34" s="20">
        <f t="shared" si="2"/>
        <v>219.74713328168124</v>
      </c>
      <c r="R34" s="59">
        <f t="shared" si="0"/>
        <v>482.70789684632052</v>
      </c>
      <c r="S34" s="59">
        <f ca="1">AVERAGE(OFFSET($R$3,0,0,'Données projet'!$E$9+1,1))-AVERAGE(OFFSET($H$3,0,0,'Données projet'!$E$9+1,1))</f>
        <v>719.20816951277925</v>
      </c>
      <c r="T34" s="59">
        <f t="shared" si="34"/>
        <v>237.1127421841087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61.716571881265267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>
        <f>VLOOKUP(A34,'Données projet'!$A$61:$I$81,2,0)</f>
        <v>152.27000000000001</v>
      </c>
      <c r="AG34" s="12">
        <f>VLOOKUP(A34,'Données projet'!$A$61:$I$81,9,0)</f>
        <v>4.9119354838709679</v>
      </c>
      <c r="AH34" s="12">
        <f t="array" ref="AH34">INDEX(AG:AG,MIN(IF(ISNUMBER(AG34:AG230),ROW(AG34:AG230),"")))</f>
        <v>4.9119354838709679</v>
      </c>
      <c r="AI34" s="13">
        <f>IF('Données projet'!$A$62&gt;35,AI33+AH34-AQ33,IF(A34&lt;'Données projet'!$A$62,$AF$205^A34,IF(A34='Données projet'!$A$62,'Données projet'!$B$62,AI33+AH34-AQ33)))</f>
        <v>152.27000000000001</v>
      </c>
      <c r="AJ34" s="13">
        <f>AI34*VLOOKUP('Données projet'!$B$10,Paramètres!$A$1:$I$89,3,0)*VLOOKUP('Données projet'!$B$10,Paramètres!$A$1:$I$89,5,0)</f>
        <v>128.27224800000002</v>
      </c>
      <c r="AK34" s="13">
        <f t="shared" si="35"/>
        <v>33.596816228018859</v>
      </c>
      <c r="AL34" s="20">
        <f t="shared" si="4"/>
        <v>281.92195353046623</v>
      </c>
      <c r="AM34" s="59">
        <f t="shared" si="5"/>
        <v>544.88271709510559</v>
      </c>
      <c r="AN34" s="59">
        <f ca="1">AVERAGE(OFFSET($AM$3,0,0,'Données projet'!$E$10+1,1))-AVERAGE(OFFSET($H$3,0,0,'Données projet'!$E$10+1,1))</f>
        <v>442.79037205372367</v>
      </c>
      <c r="AO34" s="59">
        <f t="shared" si="36"/>
        <v>288.23553637727969</v>
      </c>
      <c r="AP34" s="15">
        <f>IF(ISNA(VLOOKUP(A34,'Données projet'!$A$61:$I$81,3,0)),0,VLOOKUP(A34,'Données projet'!$A$61:$I$81,3,0))</f>
        <v>1</v>
      </c>
      <c r="AQ34" s="15">
        <f>IF(ISNA(VLOOKUP(A34,'Données projet'!$A$61:$I$81,4,0)),0,VLOOKUP(A34,'Données projet'!$A$61:$I$81,4,0))</f>
        <v>65.77000000000001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0.34400000000000003</v>
      </c>
      <c r="AT34" s="16">
        <f>IF(ISNA(VLOOKUP(A34,'Données projet'!$A$61:$I$81,7,0)),0%,VLOOKUP(A34,'Données projet'!$A$61:$I$81,7,0))</f>
        <v>0.2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20.986421678291009</v>
      </c>
      <c r="AW34" s="21">
        <f>EXP(-LN(2)/2)*AW33+(1-EXP(-LN(2)/2))/(LN(2)/2)*AQ34*AT34*VLOOKUP('Données projet'!$B$10,Paramètres!$A$1:$I$89,3,0)*0.475*44/12</f>
        <v>10.45515531644752</v>
      </c>
      <c r="AX34" s="21">
        <f t="shared" si="6"/>
        <v>31.441576994738529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61.716571881265267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3.3603333333333336</v>
      </c>
      <c r="BD34" s="12">
        <f>IF('Données projet'!$A$88&gt;35,BD33+BC34-BL33,IF(A34&lt;'Données projet'!$A$88,$BA$205^A34,IF(A34='Données projet'!$A$88,'Données projet'!$B$88,BD33+BC34-BL33)))</f>
        <v>104.17033333333333</v>
      </c>
      <c r="BE34" s="13">
        <f>BD34*VLOOKUP('Données projet'!$B$11,Paramètres!$A$1:$I$89,3,0)*VLOOKUP('Données projet'!$B$11,Paramètres!$A$1:$I$89,5,0)</f>
        <v>105.62871800000001</v>
      </c>
      <c r="BF34" s="13">
        <f t="shared" si="37"/>
        <v>28.298658476747377</v>
      </c>
      <c r="BG34" s="20">
        <f t="shared" si="7"/>
        <v>233.25684736366836</v>
      </c>
      <c r="BH34" s="59">
        <f t="shared" si="8"/>
        <v>496.21761092830764</v>
      </c>
      <c r="BI34" s="59">
        <f ca="1">AVERAGE(OFFSET($BH$3,0,0,'Données projet'!$E$11+1,1))-AVERAGE(OFFSET($H$3,0,0,'Données projet'!$E$11+1,1))</f>
        <v>559.91818701710872</v>
      </c>
      <c r="BJ34" s="59">
        <f t="shared" si="38"/>
        <v>273.47272623465915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61.716571881265267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>
        <f>VLOOKUP(A34,'Données projet'!$A$113:$I$133,2,0)</f>
        <v>99.358974358974351</v>
      </c>
      <c r="BW34" s="12">
        <f>VLOOKUP(A34,'Données projet'!$A$113:$I$133,9,0)</f>
        <v>7.3717948717948714</v>
      </c>
      <c r="BX34" s="12">
        <f t="array" ref="BX34">INDEX(BW:BW,MIN(IF(ISNUMBER(BW34:BW230),ROW(BW34:BW230),"")))</f>
        <v>7.3717948717948714</v>
      </c>
      <c r="BY34" s="12">
        <f>IF('Données projet'!$A$114&gt;35,BY33+BX34-CG33,IF(A34&lt;'Données projet'!$A$114,$BV$205^A34,IF(A34='Données projet'!$A$114,'Données projet'!$B$114,BY33+BX34-CG33)))</f>
        <v>99.358974358974379</v>
      </c>
      <c r="BZ34" s="13">
        <f>BY34*VLOOKUP('Données projet'!$B$12,Paramètres!$A$1:$I$89,3,0)*VLOOKUP('Données projet'!$B$12,Paramètres!$A$1:$I$89,5,0)</f>
        <v>77.500000000000014</v>
      </c>
      <c r="CA34" s="13">
        <f t="shared" si="39"/>
        <v>21.524796250766268</v>
      </c>
      <c r="CB34" s="20">
        <f t="shared" si="10"/>
        <v>172.46818680341792</v>
      </c>
      <c r="CC34" s="59">
        <f t="shared" si="11"/>
        <v>435.42895036805726</v>
      </c>
      <c r="CD34" s="59">
        <f ca="1">AVERAGE(OFFSET($CC$3,0,0,'Données projet'!$E$12+1,1))-AVERAGE(OFFSET($H$3,0,0,'Données projet'!$E$12+1,1))</f>
        <v>208.92677786250815</v>
      </c>
      <c r="CE34" s="59">
        <f t="shared" si="40"/>
        <v>207.54290142772214</v>
      </c>
      <c r="CF34" s="15">
        <f>IF(ISNA(VLOOKUP(A34,'Données projet'!$A$113:$I$133,3,0)),0,VLOOKUP(A34,'Données projet'!$A$113:$I$133,3,0))</f>
        <v>4</v>
      </c>
      <c r="CG34" s="15">
        <f>IF(ISNA(VLOOKUP(A34,'Données projet'!$A$113:$I$133,4,0)),0,VLOOKUP(A34,'Données projet'!$A$113:$I$133,4,0))</f>
        <v>23.076923076923077</v>
      </c>
      <c r="CH34" s="16">
        <f>IF(ISNA(VLOOKUP(A34,'Données projet'!$A$113:$I$133,5,0)),0%,VLOOKUP(A34,'Données projet'!$A$113:$I$133,5,0)*VLOOKUP('Données projet'!$B$12,Paramètres!$A$1:$I$89,7,0))</f>
        <v>0.1075</v>
      </c>
      <c r="CI34" s="16">
        <f>IF(ISNA(VLOOKUP(A34,'Données projet'!$A$113:$I$133,6,0)),0%,VLOOKUP(A34,'Données projet'!$A$113:$I$133,6,0)*VLOOKUP('Données projet'!$B$12,Paramètres!$A$1:$I$89,7,0))</f>
        <v>0.1075</v>
      </c>
      <c r="CJ34" s="16">
        <f>IF(ISNA(VLOOKUP(A34,'Données projet'!$A$113:$I$133,7,0)),0%,VLOOKUP(A34,'Données projet'!$A$113:$I$133,7,0))</f>
        <v>0.25</v>
      </c>
      <c r="CK34" s="21">
        <f>EXP(-LN(2)/35)*CK33+(1-EXP(-LN(2)/35))/(LN(2)/35)*CG34*CH34*VLOOKUP('Données projet'!$B$12,Paramètres!$A$1:$I$89,3,0)*0.475*44/12</f>
        <v>2.1390851843962584</v>
      </c>
      <c r="CL34" s="21">
        <f>EXP(-LN(2)/25)*CL33+(1-EXP(-LN(2)/25))/(LN(2)/25)*Calculateur!CG34*Calculateur!CI34*VLOOKUP('Données projet'!$B$12,Paramètres!$A$1:$I$89,3,0)*0.475*44/12</f>
        <v>4.6883830547122312</v>
      </c>
      <c r="CM34" s="21">
        <f>EXP(-LN(2)/2)*CM33+(1-EXP(-LN(2)/2))/(LN(2)/2)*CG34*CJ34*VLOOKUP('Données projet'!$B$12,Paramètres!$A$1:$I$89,3,0)*0.475*44/12</f>
        <v>4.710457390564466</v>
      </c>
      <c r="CN34" s="22">
        <f t="shared" si="12"/>
        <v>11.537925629672955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61.716571881265267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4.016578947368421</v>
      </c>
      <c r="CT34" s="12">
        <f>IF('Données projet'!$A$140&gt;35,CT33+CS34-DB33,IF(A34&lt;'Données projet'!$A$140,$CQ$205^A34,IF(A34='Données projet'!$A$140,'Données projet'!$B$140,CT33+CS34-DB33)))</f>
        <v>124.51394736842099</v>
      </c>
      <c r="CU34" s="17">
        <f>CT34*VLOOKUP('Données projet'!$B$13,Paramètres!$A$1:$I$89,3,0)*VLOOKUP('Données projet'!$B$13,Paramètres!$A$1:$I$89,5,0)</f>
        <v>118.48747231578942</v>
      </c>
      <c r="CV34" s="13">
        <f t="shared" si="41"/>
        <v>31.321967043083987</v>
      </c>
      <c r="CW34" s="20">
        <f t="shared" si="13"/>
        <v>260.91810688337119</v>
      </c>
      <c r="CX34" s="59">
        <f t="shared" si="14"/>
        <v>523.8788704480105</v>
      </c>
      <c r="CY34" s="59">
        <f ca="1">AVERAGE(OFFSET($CX$3,0,0,'Données projet'!$E$13+1,1))-AVERAGE(OFFSET($H$3,0,0,'Données projet'!$E$13+1,1))</f>
        <v>470.42022791389275</v>
      </c>
      <c r="CZ34" s="59">
        <f t="shared" si="42"/>
        <v>300.26117330627346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61.716571881265267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3.3603333333333336</v>
      </c>
      <c r="DO34" s="12">
        <f>IF('Données projet'!$A$166&gt;35,DO33+DN34-DW33,IF(A34&lt;'Données projet'!$A$166,$DL$205^A34,IF(A34='Données projet'!$A$166,'Données projet'!$B$166,DO33+DN34-DW33)))</f>
        <v>104.17033333333333</v>
      </c>
      <c r="DP34" s="17">
        <f>DO34*VLOOKUP('Données projet'!$B$14,Paramètres!$A$1:$I$89,3,0)*VLOOKUP('Données projet'!$B$14,Paramètres!$A$1:$I$89,5,0)</f>
        <v>100.7535464</v>
      </c>
      <c r="DQ34" s="13">
        <f t="shared" si="43"/>
        <v>27.141441074999669</v>
      </c>
      <c r="DR34" s="20">
        <f t="shared" si="16"/>
        <v>222.7504365189578</v>
      </c>
      <c r="DS34" s="59">
        <f t="shared" si="17"/>
        <v>485.71120008359708</v>
      </c>
      <c r="DT34" s="59">
        <f ca="1">AVERAGE(OFFSET($DS$3,0,0,'Données projet'!$E$14+1,1))-AVERAGE(OFFSET($H$3,0,0,'Données projet'!$E$14+1,1))</f>
        <v>537.37164071064103</v>
      </c>
      <c r="DU34" s="59">
        <f t="shared" si="44"/>
        <v>263.29777321132235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61.716571881265267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61.716571881265267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61.716571881265267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61.716571881265267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45">
      <c r="A35" s="10">
        <f t="shared" si="31"/>
        <v>32</v>
      </c>
      <c r="B35" s="73">
        <f>'Scénario référence'!$B$16*5+'Scénario référence'!$B$17*0+'Scénario référence'!$B$18*5</f>
        <v>2.8499999999999996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10.449999999999998</v>
      </c>
      <c r="H35" s="67">
        <f t="shared" si="1"/>
        <v>214.86666666666667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61.860270840154385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5.0894117647058819</v>
      </c>
      <c r="N35" s="13">
        <f>IF('Données projet'!$A$36&gt;35,N34+M35-V34,IF(A35&lt;'Données projet'!$A$36,$K$205^A35,IF(A35='Données projet'!$A$36,'Données projet'!$B$36,N34+M35-V34)))</f>
        <v>127.78822259452934</v>
      </c>
      <c r="O35" s="13">
        <f>N35*VLOOKUP('Données projet'!$B$9,Paramètres!$A$1:$I$89,3,0)*VLOOKUP('Données projet'!$B$9,Paramètres!$A$1:$I$89,5,0)</f>
        <v>115.62278380353014</v>
      </c>
      <c r="P35" s="13">
        <f t="shared" si="33"/>
        <v>30.651888148407128</v>
      </c>
      <c r="Q35" s="20">
        <f t="shared" ref="Q35:Q66" si="53">(O35+P35)*0.475*44/12</f>
        <v>254.76172031629076</v>
      </c>
      <c r="R35" s="59">
        <f t="shared" si="0"/>
        <v>518.24938006352352</v>
      </c>
      <c r="S35" s="59">
        <f ca="1">AVERAGE(OFFSET($R$3,0,0,'Données projet'!$E$9+1,1))-AVERAGE(OFFSET($H$3,0,0,'Données projet'!$E$9+1,1))</f>
        <v>719.20816951277925</v>
      </c>
      <c r="T35" s="59">
        <f t="shared" si="34"/>
        <v>237.1127421841087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61.860270840154385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12.998333333333335</v>
      </c>
      <c r="AI35" s="13">
        <f>IF('Données projet'!$A$62&gt;35,AI34+AH35-AQ34,IF(A35&lt;'Données projet'!$A$62,$AF$205^A35,IF(A35='Données projet'!$A$62,'Données projet'!$B$62,AI34+AH35-AQ34)))</f>
        <v>99.498333333333335</v>
      </c>
      <c r="AJ35" s="13">
        <f>AI35*VLOOKUP('Données projet'!$B$10,Paramètres!$A$1:$I$89,3,0)*VLOOKUP('Données projet'!$B$10,Paramètres!$A$1:$I$89,5,0)</f>
        <v>83.817396000000002</v>
      </c>
      <c r="AK35" s="13">
        <f t="shared" si="35"/>
        <v>23.068010073991108</v>
      </c>
      <c r="AL35" s="20">
        <f t="shared" si="4"/>
        <v>186.15874891220116</v>
      </c>
      <c r="AM35" s="59">
        <f t="shared" si="5"/>
        <v>449.64640865943386</v>
      </c>
      <c r="AN35" s="59">
        <f ca="1">AVERAGE(OFFSET($AM$3,0,0,'Données projet'!$E$10+1,1))-AVERAGE(OFFSET($H$3,0,0,'Données projet'!$E$10+1,1))</f>
        <v>442.79037205372367</v>
      </c>
      <c r="AO35" s="59">
        <f t="shared" si="36"/>
        <v>288.23553637727969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20.412546873870191</v>
      </c>
      <c r="AW35" s="21">
        <f>EXP(-LN(2)/2)*AW34+(1-EXP(-LN(2)/2))/(LN(2)/2)*AQ35*AT35*VLOOKUP('Données projet'!$B$10,Paramètres!$A$1:$I$89,3,0)*0.475*44/12</f>
        <v>7.3929112226186264</v>
      </c>
      <c r="AX35" s="21">
        <f t="shared" si="6"/>
        <v>27.805458096488817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61.860270840154385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3.3603333333333336</v>
      </c>
      <c r="BD35" s="12">
        <f>IF('Données projet'!$A$88&gt;35,BD34+BC35-BL34,IF(A35&lt;'Données projet'!$A$88,$BA$205^A35,IF(A35='Données projet'!$A$88,'Données projet'!$B$88,BD34+BC35-BL34)))</f>
        <v>107.53066666666666</v>
      </c>
      <c r="BE35" s="13">
        <f>BD35*VLOOKUP('Données projet'!$B$11,Paramètres!$A$1:$I$89,3,0)*VLOOKUP('Données projet'!$B$11,Paramètres!$A$1:$I$89,5,0)</f>
        <v>109.036096</v>
      </c>
      <c r="BF35" s="13">
        <f t="shared" si="37"/>
        <v>29.103765071483942</v>
      </c>
      <c r="BG35" s="20">
        <f t="shared" si="7"/>
        <v>240.59359136616786</v>
      </c>
      <c r="BH35" s="59">
        <f t="shared" si="8"/>
        <v>504.08125111340058</v>
      </c>
      <c r="BI35" s="59">
        <f ca="1">AVERAGE(OFFSET($BH$3,0,0,'Données projet'!$E$11+1,1))-AVERAGE(OFFSET($H$3,0,0,'Données projet'!$E$11+1,1))</f>
        <v>559.91818701710872</v>
      </c>
      <c r="BJ35" s="59">
        <f t="shared" si="38"/>
        <v>273.47272623465915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61.860270840154385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7.3717948717948731</v>
      </c>
      <c r="BY35" s="12">
        <f>IF('Données projet'!$A$114&gt;35,BY34+BX35-CG34,IF(A35&lt;'Données projet'!$A$114,$BV$205^A35,IF(A35='Données projet'!$A$114,'Données projet'!$B$114,BY34+BX35-CG34)))</f>
        <v>83.653846153846175</v>
      </c>
      <c r="BZ35" s="13">
        <f>BY35*VLOOKUP('Données projet'!$B$12,Paramètres!$A$1:$I$89,3,0)*VLOOKUP('Données projet'!$B$12,Paramètres!$A$1:$I$89,5,0)</f>
        <v>65.250000000000014</v>
      </c>
      <c r="CA35" s="13">
        <f t="shared" si="39"/>
        <v>18.489084564748591</v>
      </c>
      <c r="CB35" s="20">
        <f t="shared" si="10"/>
        <v>145.84557228360381</v>
      </c>
      <c r="CC35" s="59">
        <f t="shared" si="11"/>
        <v>409.33323203083654</v>
      </c>
      <c r="CD35" s="59">
        <f ca="1">AVERAGE(OFFSET($CC$3,0,0,'Données projet'!$E$12+1,1))-AVERAGE(OFFSET($H$3,0,0,'Données projet'!$E$12+1,1))</f>
        <v>208.92677786250815</v>
      </c>
      <c r="CE35" s="59">
        <f t="shared" si="40"/>
        <v>207.54290142772214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2.0971390286433804</v>
      </c>
      <c r="CL35" s="21">
        <f>EXP(-LN(2)/25)*CL34+(1-EXP(-LN(2)/25))/(LN(2)/25)*Calculateur!CG35*Calculateur!CI35*VLOOKUP('Données projet'!$B$12,Paramètres!$A$1:$I$89,3,0)*0.475*44/12</f>
        <v>4.5601789735297755</v>
      </c>
      <c r="CM35" s="21">
        <f>EXP(-LN(2)/2)*CM34+(1-EXP(-LN(2)/2))/(LN(2)/2)*CG35*CJ35*VLOOKUP('Données projet'!$B$12,Paramètres!$A$1:$I$89,3,0)*0.475*44/12</f>
        <v>3.3307963633584237</v>
      </c>
      <c r="CN35" s="22">
        <f t="shared" si="12"/>
        <v>9.9881143655315796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61.860270840154385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4.016578947368421</v>
      </c>
      <c r="CT35" s="12">
        <f>IF('Données projet'!$A$140&gt;35,CT34+CS35-DB34,IF(A35&lt;'Données projet'!$A$140,$CQ$205^A35,IF(A35='Données projet'!$A$140,'Données projet'!$B$140,CT34+CS35-DB34)))</f>
        <v>128.53052631578942</v>
      </c>
      <c r="CU35" s="17">
        <f>CT35*VLOOKUP('Données projet'!$B$13,Paramètres!$A$1:$I$89,3,0)*VLOOKUP('Données projet'!$B$13,Paramètres!$A$1:$I$89,5,0)</f>
        <v>122.3096488421052</v>
      </c>
      <c r="CV35" s="13">
        <f t="shared" si="41"/>
        <v>32.213087809364474</v>
      </c>
      <c r="CW35" s="20">
        <f t="shared" si="13"/>
        <v>269.12709966797632</v>
      </c>
      <c r="CX35" s="59">
        <f t="shared" si="14"/>
        <v>532.61475941520905</v>
      </c>
      <c r="CY35" s="59">
        <f ca="1">AVERAGE(OFFSET($CX$3,0,0,'Données projet'!$E$13+1,1))-AVERAGE(OFFSET($H$3,0,0,'Données projet'!$E$13+1,1))</f>
        <v>470.42022791389275</v>
      </c>
      <c r="CZ35" s="59">
        <f t="shared" si="42"/>
        <v>300.26117330627346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61.860270840154385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3.3603333333333336</v>
      </c>
      <c r="DO35" s="12">
        <f>IF('Données projet'!$A$166&gt;35,DO34+DN35-DW34,IF(A35&lt;'Données projet'!$A$166,$DL$205^A35,IF(A35='Données projet'!$A$166,'Données projet'!$B$166,DO34+DN35-DW34)))</f>
        <v>107.53066666666666</v>
      </c>
      <c r="DP35" s="17">
        <f>DO35*VLOOKUP('Données projet'!$B$14,Paramètres!$A$1:$I$89,3,0)*VLOOKUP('Données projet'!$B$14,Paramètres!$A$1:$I$89,5,0)</f>
        <v>104.00366079999999</v>
      </c>
      <c r="DQ35" s="13">
        <f t="shared" si="43"/>
        <v>27.913624435496846</v>
      </c>
      <c r="DR35" s="20">
        <f t="shared" si="16"/>
        <v>229.75593845182368</v>
      </c>
      <c r="DS35" s="59">
        <f t="shared" si="17"/>
        <v>493.24359819905641</v>
      </c>
      <c r="DT35" s="59">
        <f ca="1">AVERAGE(OFFSET($DS$3,0,0,'Données projet'!$E$14+1,1))-AVERAGE(OFFSET($H$3,0,0,'Données projet'!$E$14+1,1))</f>
        <v>537.37164071064103</v>
      </c>
      <c r="DU35" s="59">
        <f t="shared" si="44"/>
        <v>263.29777321132235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61.860270840154385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61.860270840154385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61.860270840154385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61.860270840154385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45">
      <c r="A36" s="10">
        <f t="shared" si="31"/>
        <v>33</v>
      </c>
      <c r="B36" s="73">
        <f>'Scénario référence'!$B$16*5+'Scénario référence'!$B$17*0+'Scénario référence'!$B$18*5</f>
        <v>2.8499999999999996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10.449999999999998</v>
      </c>
      <c r="H36" s="67">
        <f t="shared" si="1"/>
        <v>214.86666666666667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62.001476943369511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5.0894117647058819</v>
      </c>
      <c r="N36" s="13">
        <f>IF('Données projet'!$A$36&gt;35,N35+M36-V35,IF(A36&lt;'Données projet'!$A$36,$K$205^A36,IF(A36='Données projet'!$A$36,'Données projet'!$B$36,N35+M36-V35)))</f>
        <v>148.70263628381758</v>
      </c>
      <c r="O36" s="13">
        <f>N36*VLOOKUP('Données projet'!$B$9,Paramètres!$A$1:$I$89,3,0)*VLOOKUP('Données projet'!$B$9,Paramètres!$A$1:$I$89,5,0)</f>
        <v>134.54614530959816</v>
      </c>
      <c r="P36" s="13">
        <f t="shared" si="33"/>
        <v>35.044729338432354</v>
      </c>
      <c r="Q36" s="20">
        <f t="shared" si="53"/>
        <v>295.37077334531978</v>
      </c>
      <c r="R36" s="59">
        <f t="shared" si="0"/>
        <v>559.37618880434138</v>
      </c>
      <c r="S36" s="59">
        <f ca="1">AVERAGE(OFFSET($R$3,0,0,'Données projet'!$E$9+1,1))-AVERAGE(OFFSET($H$3,0,0,'Données projet'!$E$9+1,1))</f>
        <v>719.20816951277925</v>
      </c>
      <c r="T36" s="59">
        <f t="shared" si="34"/>
        <v>237.1127421841087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62.001476943369511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12.998333333333335</v>
      </c>
      <c r="AI36" s="13">
        <f>IF('Données projet'!$A$62&gt;35,AI35+AH36-AQ35,IF(A36&lt;'Données projet'!$A$62,$AF$205^A36,IF(A36='Données projet'!$A$62,'Données projet'!$B$62,AI35+AH36-AQ35)))</f>
        <v>112.49666666666667</v>
      </c>
      <c r="AJ36" s="13">
        <f>AI36*VLOOKUP('Données projet'!$B$10,Paramètres!$A$1:$I$89,3,0)*VLOOKUP('Données projet'!$B$10,Paramètres!$A$1:$I$89,5,0)</f>
        <v>94.767192000000009</v>
      </c>
      <c r="AK36" s="13">
        <f t="shared" si="35"/>
        <v>25.711480504393407</v>
      </c>
      <c r="AL36" s="20">
        <f t="shared" si="4"/>
        <v>209.83368794515187</v>
      </c>
      <c r="AM36" s="59">
        <f t="shared" si="5"/>
        <v>473.83910340417344</v>
      </c>
      <c r="AN36" s="59">
        <f ca="1">AVERAGE(OFFSET($AM$3,0,0,'Données projet'!$E$10+1,1))-AVERAGE(OFFSET($H$3,0,0,'Données projet'!$E$10+1,1))</f>
        <v>442.79037205372367</v>
      </c>
      <c r="AO36" s="59">
        <f t="shared" si="36"/>
        <v>288.23553637727969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19.854364706155025</v>
      </c>
      <c r="AW36" s="21">
        <f>EXP(-LN(2)/2)*AW35+(1-EXP(-LN(2)/2))/(LN(2)/2)*AQ36*AT36*VLOOKUP('Données projet'!$B$10,Paramètres!$A$1:$I$89,3,0)*0.475*44/12</f>
        <v>5.227577658223761</v>
      </c>
      <c r="AX36" s="21">
        <f t="shared" si="6"/>
        <v>25.081942364378786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62.001476943369511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3.3603333333333336</v>
      </c>
      <c r="BD36" s="12">
        <f>IF('Données projet'!$A$88&gt;35,BD35+BC36-BL35,IF(A36&lt;'Données projet'!$A$88,$BA$205^A36,IF(A36='Données projet'!$A$88,'Données projet'!$B$88,BD35+BC36-BL35)))</f>
        <v>110.89099999999999</v>
      </c>
      <c r="BE36" s="13">
        <f>BD36*VLOOKUP('Données projet'!$B$11,Paramètres!$A$1:$I$89,3,0)*VLOOKUP('Données projet'!$B$11,Paramètres!$A$1:$I$89,5,0)</f>
        <v>112.44347399999999</v>
      </c>
      <c r="BF36" s="13">
        <f t="shared" si="37"/>
        <v>29.905947908104487</v>
      </c>
      <c r="BG36" s="20">
        <f t="shared" si="7"/>
        <v>247.92524315661532</v>
      </c>
      <c r="BH36" s="59">
        <f t="shared" si="8"/>
        <v>511.93065861563684</v>
      </c>
      <c r="BI36" s="59">
        <f ca="1">AVERAGE(OFFSET($BH$3,0,0,'Données projet'!$E$11+1,1))-AVERAGE(OFFSET($H$3,0,0,'Données projet'!$E$11+1,1))</f>
        <v>559.91818701710872</v>
      </c>
      <c r="BJ36" s="59">
        <f t="shared" si="38"/>
        <v>273.47272623465915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62.001476943369511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7.3717948717948731</v>
      </c>
      <c r="BY36" s="12">
        <f>IF('Données projet'!$A$114&gt;35,BY35+BX36-CG35,IF(A36&lt;'Données projet'!$A$114,$BV$205^A36,IF(A36='Données projet'!$A$114,'Données projet'!$B$114,BY35+BX36-CG35)))</f>
        <v>91.02564102564105</v>
      </c>
      <c r="BZ36" s="13">
        <f>BY36*VLOOKUP('Données projet'!$B$12,Paramètres!$A$1:$I$89,3,0)*VLOOKUP('Données projet'!$B$12,Paramètres!$A$1:$I$89,5,0)</f>
        <v>71.000000000000028</v>
      </c>
      <c r="CA36" s="13">
        <f t="shared" si="39"/>
        <v>19.921587432217475</v>
      </c>
      <c r="CB36" s="20">
        <f t="shared" si="10"/>
        <v>158.35509811111217</v>
      </c>
      <c r="CC36" s="59">
        <f t="shared" si="11"/>
        <v>422.36051357013372</v>
      </c>
      <c r="CD36" s="59">
        <f ca="1">AVERAGE(OFFSET($CC$3,0,0,'Données projet'!$E$12+1,1))-AVERAGE(OFFSET($H$3,0,0,'Données projet'!$E$12+1,1))</f>
        <v>208.92677786250815</v>
      </c>
      <c r="CE36" s="59">
        <f t="shared" si="40"/>
        <v>207.54290142772214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2.0560154114201876</v>
      </c>
      <c r="CL36" s="21">
        <f>EXP(-LN(2)/25)*CL35+(1-EXP(-LN(2)/25))/(LN(2)/25)*Calculateur!CG36*Calculateur!CI36*VLOOKUP('Données projet'!$B$12,Paramètres!$A$1:$I$89,3,0)*0.475*44/12</f>
        <v>4.4354806396892137</v>
      </c>
      <c r="CM36" s="21">
        <f>EXP(-LN(2)/2)*CM35+(1-EXP(-LN(2)/2))/(LN(2)/2)*CG36*CJ36*VLOOKUP('Données projet'!$B$12,Paramètres!$A$1:$I$89,3,0)*0.475*44/12</f>
        <v>2.3552286952822334</v>
      </c>
      <c r="CN36" s="22">
        <f t="shared" si="12"/>
        <v>8.8467247463916348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62.001476943369511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4.016578947368421</v>
      </c>
      <c r="CT36" s="12">
        <f>IF('Données projet'!$A$140&gt;35,CT35+CS36-DB35,IF(A36&lt;'Données projet'!$A$140,$CQ$205^A36,IF(A36='Données projet'!$A$140,'Données projet'!$B$140,CT35+CS36-DB35)))</f>
        <v>132.54710526315785</v>
      </c>
      <c r="CU36" s="17">
        <f>CT36*VLOOKUP('Données projet'!$B$13,Paramètres!$A$1:$I$89,3,0)*VLOOKUP('Données projet'!$B$13,Paramètres!$A$1:$I$89,5,0)</f>
        <v>126.131825368421</v>
      </c>
      <c r="CV36" s="13">
        <f t="shared" si="41"/>
        <v>33.100972455620806</v>
      </c>
      <c r="CW36" s="20">
        <f t="shared" si="13"/>
        <v>277.33045621020614</v>
      </c>
      <c r="CX36" s="59">
        <f t="shared" si="14"/>
        <v>541.33587166922769</v>
      </c>
      <c r="CY36" s="59">
        <f ca="1">AVERAGE(OFFSET($CX$3,0,0,'Données projet'!$E$13+1,1))-AVERAGE(OFFSET($H$3,0,0,'Données projet'!$E$13+1,1))</f>
        <v>470.42022791389275</v>
      </c>
      <c r="CZ36" s="59">
        <f t="shared" si="42"/>
        <v>300.26117330627346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62.001476943369511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3.3603333333333336</v>
      </c>
      <c r="DO36" s="12">
        <f>IF('Données projet'!$A$166&gt;35,DO35+DN36-DW35,IF(A36&lt;'Données projet'!$A$166,$DL$205^A36,IF(A36='Données projet'!$A$166,'Données projet'!$B$166,DO35+DN36-DW35)))</f>
        <v>110.89099999999999</v>
      </c>
      <c r="DP36" s="17">
        <f>DO36*VLOOKUP('Données projet'!$B$14,Paramètres!$A$1:$I$89,3,0)*VLOOKUP('Données projet'!$B$14,Paramètres!$A$1:$I$89,5,0)</f>
        <v>107.25377520000001</v>
      </c>
      <c r="DQ36" s="13">
        <f t="shared" si="43"/>
        <v>28.683003599155882</v>
      </c>
      <c r="DR36" s="20">
        <f t="shared" si="16"/>
        <v>236.75655640852983</v>
      </c>
      <c r="DS36" s="59">
        <f t="shared" si="17"/>
        <v>500.76197186755138</v>
      </c>
      <c r="DT36" s="59">
        <f ca="1">AVERAGE(OFFSET($DS$3,0,0,'Données projet'!$E$14+1,1))-AVERAGE(OFFSET($H$3,0,0,'Données projet'!$E$14+1,1))</f>
        <v>537.37164071064103</v>
      </c>
      <c r="DU36" s="59">
        <f t="shared" si="44"/>
        <v>263.29777321132235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62.001476943369511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62.001476943369511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62.001476943369511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62.001476943369511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45">
      <c r="A37" s="10">
        <f t="shared" si="31"/>
        <v>34</v>
      </c>
      <c r="B37" s="73">
        <f>'Scénario référence'!$B$16*5+'Scénario référence'!$B$17*0+'Scénario référence'!$B$18*5</f>
        <v>2.8499999999999996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10.449999999999998</v>
      </c>
      <c r="H37" s="67">
        <f t="shared" si="1"/>
        <v>214.86666666666667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62.140233436383426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>
        <f>VLOOKUP(A37,'Données projet'!$A$35:$I$55,2,0)</f>
        <v>173.04</v>
      </c>
      <c r="L37" s="12">
        <f>VLOOKUP(A37,'Données projet'!$A$35:$I$55,9,0)</f>
        <v>5.0894117647058819</v>
      </c>
      <c r="M37" s="12">
        <f t="array" ref="M37">INDEX(L:L,MIN(IF(ISNUMBER(L37:L233),ROW(L37:L233),"")))</f>
        <v>5.0894117647058819</v>
      </c>
      <c r="N37" s="13">
        <f>IF('Données projet'!$A$36&gt;35,N36+M37-V36,IF(A37&lt;'Données projet'!$A$36,$K$205^A37,IF(A37='Données projet'!$A$36,'Données projet'!$B$36,N36+M37-V36)))</f>
        <v>173.04</v>
      </c>
      <c r="O37" s="13">
        <f>N37*VLOOKUP('Données projet'!$B$9,Paramètres!$A$1:$I$89,3,0)*VLOOKUP('Données projet'!$B$9,Paramètres!$A$1:$I$89,5,0)</f>
        <v>156.56659199999999</v>
      </c>
      <c r="P37" s="13">
        <f t="shared" si="33"/>
        <v>40.067125668008877</v>
      </c>
      <c r="Q37" s="20">
        <f t="shared" si="53"/>
        <v>342.47039160511548</v>
      </c>
      <c r="R37" s="59">
        <f t="shared" si="0"/>
        <v>606.98458087185475</v>
      </c>
      <c r="S37" s="59">
        <f ca="1">AVERAGE(OFFSET($R$3,0,0,'Données projet'!$E$9+1,1))-AVERAGE(OFFSET($H$3,0,0,'Données projet'!$E$9+1,1))</f>
        <v>719.20816951277925</v>
      </c>
      <c r="T37" s="59">
        <f t="shared" si="34"/>
        <v>237.1127421841087</v>
      </c>
      <c r="U37" s="15">
        <f>IF(ISNA(VLOOKUP(A37,'Données projet'!$A$35:$I$55,3,0)),0,VLOOKUP(A37,'Données projet'!$A$35:$I$55,3,0))</f>
        <v>1</v>
      </c>
      <c r="V37" s="15">
        <f>IF(ISNA(VLOOKUP(A37,'Données projet'!$A$35:$I$55,4,0)),0,VLOOKUP(A37,'Données projet'!$A$35:$I$55,4,0))</f>
        <v>36.679999999999978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0.34400000000000003</v>
      </c>
      <c r="Y37" s="16">
        <f>IF(ISNA(VLOOKUP(A37,'Données projet'!$A$35:$I$55,7,0)),0%,VLOOKUP(A37,'Données projet'!$A$35:$I$55,7,0))</f>
        <v>0.2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12.571124101178455</v>
      </c>
      <c r="AB37" s="21">
        <f>EXP(-LN(2)/2)*AB36+(1-EXP(-LN(2)/2))/(LN(2)/2)*V37*Y37*VLOOKUP('Données projet'!$B$9,Paramètres!$A$1:$I$89,3,0)*0.475*44/12</f>
        <v>6.2627663255292276</v>
      </c>
      <c r="AC37" s="22">
        <f t="shared" si="3"/>
        <v>18.833890426707683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62.140233436383426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12.998333333333335</v>
      </c>
      <c r="AI37" s="13">
        <f>IF('Données projet'!$A$62&gt;35,AI36+AH37-AQ36,IF(A37&lt;'Données projet'!$A$62,$AF$205^A37,IF(A37='Données projet'!$A$62,'Données projet'!$B$62,AI36+AH37-AQ36)))</f>
        <v>125.495</v>
      </c>
      <c r="AJ37" s="13">
        <f>AI37*VLOOKUP('Données projet'!$B$10,Paramètres!$A$1:$I$89,3,0)*VLOOKUP('Données projet'!$B$10,Paramètres!$A$1:$I$89,5,0)</f>
        <v>105.71698800000001</v>
      </c>
      <c r="AK37" s="13">
        <f t="shared" si="35"/>
        <v>28.319552956235832</v>
      </c>
      <c r="AL37" s="20">
        <f t="shared" si="4"/>
        <v>233.44697549877742</v>
      </c>
      <c r="AM37" s="59">
        <f t="shared" si="5"/>
        <v>497.96116476551668</v>
      </c>
      <c r="AN37" s="59">
        <f ca="1">AVERAGE(OFFSET($AM$3,0,0,'Données projet'!$E$10+1,1))-AVERAGE(OFFSET($H$3,0,0,'Données projet'!$E$10+1,1))</f>
        <v>442.79037205372367</v>
      </c>
      <c r="AO37" s="59">
        <f t="shared" si="36"/>
        <v>288.23553637727969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19.311446059169555</v>
      </c>
      <c r="AW37" s="21">
        <f>EXP(-LN(2)/2)*AW36+(1-EXP(-LN(2)/2))/(LN(2)/2)*AQ37*AT37*VLOOKUP('Données projet'!$B$10,Paramètres!$A$1:$I$89,3,0)*0.475*44/12</f>
        <v>3.6964556113093137</v>
      </c>
      <c r="AX37" s="21">
        <f t="shared" si="6"/>
        <v>23.007901670478869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62.140233436383426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3.3603333333333336</v>
      </c>
      <c r="BD37" s="12">
        <f>IF('Données projet'!$A$88&gt;35,BD36+BC37-BL36,IF(A37&lt;'Données projet'!$A$88,$BA$205^A37,IF(A37='Données projet'!$A$88,'Données projet'!$B$88,BD36+BC37-BL36)))</f>
        <v>114.25133333333332</v>
      </c>
      <c r="BE37" s="13">
        <f>BD37*VLOOKUP('Données projet'!$B$11,Paramètres!$A$1:$I$89,3,0)*VLOOKUP('Données projet'!$B$11,Paramètres!$A$1:$I$89,5,0)</f>
        <v>115.85085199999999</v>
      </c>
      <c r="BF37" s="13">
        <f t="shared" si="37"/>
        <v>30.705305754650677</v>
      </c>
      <c r="BG37" s="20">
        <f t="shared" si="7"/>
        <v>255.25197475601655</v>
      </c>
      <c r="BH37" s="59">
        <f t="shared" si="8"/>
        <v>519.76616402275579</v>
      </c>
      <c r="BI37" s="59">
        <f ca="1">AVERAGE(OFFSET($BH$3,0,0,'Données projet'!$E$11+1,1))-AVERAGE(OFFSET($H$3,0,0,'Données projet'!$E$11+1,1))</f>
        <v>559.91818701710872</v>
      </c>
      <c r="BJ37" s="59">
        <f t="shared" si="38"/>
        <v>273.47272623465915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62.140233436383426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7.3717948717948731</v>
      </c>
      <c r="BY37" s="12">
        <f>IF('Données projet'!$A$114&gt;35,BY36+BX37-CG36,IF(A37&lt;'Données projet'!$A$114,$BV$205^A37,IF(A37='Données projet'!$A$114,'Données projet'!$B$114,BY36+BX37-CG36)))</f>
        <v>98.397435897435926</v>
      </c>
      <c r="BZ37" s="13">
        <f>BY37*VLOOKUP('Données projet'!$B$12,Paramètres!$A$1:$I$89,3,0)*VLOOKUP('Données projet'!$B$12,Paramètres!$A$1:$I$89,5,0)</f>
        <v>76.750000000000028</v>
      </c>
      <c r="CA37" s="13">
        <f t="shared" si="39"/>
        <v>21.340634370994778</v>
      </c>
      <c r="CB37" s="20">
        <f t="shared" si="10"/>
        <v>170.84118819614926</v>
      </c>
      <c r="CC37" s="59">
        <f t="shared" si="11"/>
        <v>435.35537746288855</v>
      </c>
      <c r="CD37" s="59">
        <f ca="1">AVERAGE(OFFSET($CC$3,0,0,'Données projet'!$E$12+1,1))-AVERAGE(OFFSET($H$3,0,0,'Données projet'!$E$12+1,1))</f>
        <v>208.92677786250815</v>
      </c>
      <c r="CE37" s="59">
        <f t="shared" si="40"/>
        <v>207.54290142772214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2.0156982032478119</v>
      </c>
      <c r="CL37" s="21">
        <f>EXP(-LN(2)/25)*CL36+(1-EXP(-LN(2)/25))/(LN(2)/25)*Calculateur!CG37*Calculateur!CI37*VLOOKUP('Données projet'!$B$12,Paramètres!$A$1:$I$89,3,0)*0.475*44/12</f>
        <v>4.3141921883451229</v>
      </c>
      <c r="CM37" s="21">
        <f>EXP(-LN(2)/2)*CM36+(1-EXP(-LN(2)/2))/(LN(2)/2)*CG37*CJ37*VLOOKUP('Données projet'!$B$12,Paramètres!$A$1:$I$89,3,0)*0.475*44/12</f>
        <v>1.6653981816792123</v>
      </c>
      <c r="CN37" s="22">
        <f t="shared" si="12"/>
        <v>7.9952885732721466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62.140233436383426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4.016578947368421</v>
      </c>
      <c r="CT37" s="12">
        <f>IF('Données projet'!$A$140&gt;35,CT36+CS37-DB36,IF(A37&lt;'Données projet'!$A$140,$CQ$205^A37,IF(A37='Données projet'!$A$140,'Données projet'!$B$140,CT36+CS37-DB36)))</f>
        <v>136.56368421052628</v>
      </c>
      <c r="CU37" s="17">
        <f>CT37*VLOOKUP('Données projet'!$B$13,Paramètres!$A$1:$I$89,3,0)*VLOOKUP('Données projet'!$B$13,Paramètres!$A$1:$I$89,5,0)</f>
        <v>129.95400189473682</v>
      </c>
      <c r="CV37" s="13">
        <f t="shared" si="41"/>
        <v>33.985730301853138</v>
      </c>
      <c r="CW37" s="20">
        <f t="shared" si="13"/>
        <v>285.52836690906082</v>
      </c>
      <c r="CX37" s="59">
        <f t="shared" si="14"/>
        <v>550.04255617580009</v>
      </c>
      <c r="CY37" s="59">
        <f ca="1">AVERAGE(OFFSET($CX$3,0,0,'Données projet'!$E$13+1,1))-AVERAGE(OFFSET($H$3,0,0,'Données projet'!$E$13+1,1))</f>
        <v>470.42022791389275</v>
      </c>
      <c r="CZ37" s="59">
        <f t="shared" si="42"/>
        <v>300.26117330627346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62.140233436383426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3.3603333333333336</v>
      </c>
      <c r="DO37" s="12">
        <f>IF('Données projet'!$A$166&gt;35,DO36+DN37-DW36,IF(A37&lt;'Données projet'!$A$166,$DL$205^A37,IF(A37='Données projet'!$A$166,'Données projet'!$B$166,DO36+DN37-DW36)))</f>
        <v>114.25133333333332</v>
      </c>
      <c r="DP37" s="17">
        <f>DO37*VLOOKUP('Données projet'!$B$14,Paramètres!$A$1:$I$89,3,0)*VLOOKUP('Données projet'!$B$14,Paramètres!$A$1:$I$89,5,0)</f>
        <v>110.50388959999999</v>
      </c>
      <c r="DQ37" s="13">
        <f t="shared" si="43"/>
        <v>29.449673295095682</v>
      </c>
      <c r="DR37" s="20">
        <f t="shared" si="16"/>
        <v>243.75245537562498</v>
      </c>
      <c r="DS37" s="59">
        <f t="shared" si="17"/>
        <v>508.26664464236421</v>
      </c>
      <c r="DT37" s="59">
        <f ca="1">AVERAGE(OFFSET($DS$3,0,0,'Données projet'!$E$14+1,1))-AVERAGE(OFFSET($H$3,0,0,'Données projet'!$E$14+1,1))</f>
        <v>537.37164071064103</v>
      </c>
      <c r="DU37" s="59">
        <f t="shared" si="44"/>
        <v>263.29777321132235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0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62.140233436383426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62.140233436383426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62.140233436383426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62.140233436383426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45">
      <c r="A38" s="10">
        <f t="shared" si="31"/>
        <v>35</v>
      </c>
      <c r="B38" s="73">
        <f>'Scénario référence'!$B$16*5+'Scénario référence'!$B$17*0+'Scénario référence'!$B$18*5</f>
        <v>2.8499999999999996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10.449999999999998</v>
      </c>
      <c r="H38" s="67">
        <f t="shared" si="1"/>
        <v>214.86666666666667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62.276582814456575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13.956249999999997</v>
      </c>
      <c r="N38" s="13">
        <f>IF('Données projet'!$A$36&gt;35,N37+M38-V37,IF(A38&lt;'Données projet'!$A$36,$K$205^A38,IF(A38='Données projet'!$A$36,'Données projet'!$B$36,N37+M38-V37)))</f>
        <v>150.31625</v>
      </c>
      <c r="O38" s="13">
        <f>N38*VLOOKUP('Données projet'!$B$9,Paramètres!$A$1:$I$89,3,0)*VLOOKUP('Données projet'!$B$9,Paramètres!$A$1:$I$89,5,0)</f>
        <v>136.00614299999998</v>
      </c>
      <c r="P38" s="13">
        <f t="shared" si="33"/>
        <v>35.380533493230494</v>
      </c>
      <c r="Q38" s="20">
        <f t="shared" si="53"/>
        <v>298.49846155904305</v>
      </c>
      <c r="R38" s="59">
        <f t="shared" si="0"/>
        <v>563.51259854538375</v>
      </c>
      <c r="S38" s="59">
        <f ca="1">AVERAGE(OFFSET($R$3,0,0,'Données projet'!$E$9+1,1))-AVERAGE(OFFSET($H$3,0,0,'Données projet'!$E$9+1,1))</f>
        <v>719.20816951277925</v>
      </c>
      <c r="T38" s="59">
        <f t="shared" si="34"/>
        <v>237.1127421841087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12.227366051545046</v>
      </c>
      <c r="AB38" s="21">
        <f>EXP(-LN(2)/2)*AB37+(1-EXP(-LN(2)/2))/(LN(2)/2)*V38*Y38*VLOOKUP('Données projet'!$B$9,Paramètres!$A$1:$I$89,3,0)*0.475*44/12</f>
        <v>4.428444537768474</v>
      </c>
      <c r="AC38" s="22">
        <f t="shared" si="3"/>
        <v>16.655810589313518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62.276582814456575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12.998333333333335</v>
      </c>
      <c r="AI38" s="13">
        <f>IF('Données projet'!$A$62&gt;35,AI37+AH38-AQ37,IF(A38&lt;'Données projet'!$A$62,$AF$205^A38,IF(A38='Données projet'!$A$62,'Données projet'!$B$62,AI37+AH38-AQ37)))</f>
        <v>138.49333333333334</v>
      </c>
      <c r="AJ38" s="13">
        <f>AI38*VLOOKUP('Données projet'!$B$10,Paramètres!$A$1:$I$89,3,0)*VLOOKUP('Données projet'!$B$10,Paramètres!$A$1:$I$89,5,0)</f>
        <v>116.66678400000002</v>
      </c>
      <c r="AK38" s="13">
        <f t="shared" si="35"/>
        <v>30.896311433156317</v>
      </c>
      <c r="AL38" s="20">
        <f t="shared" si="4"/>
        <v>257.00572454608067</v>
      </c>
      <c r="AM38" s="59">
        <f t="shared" si="5"/>
        <v>522.01986153242137</v>
      </c>
      <c r="AN38" s="59">
        <f ca="1">AVERAGE(OFFSET($AM$3,0,0,'Données projet'!$E$10+1,1))-AVERAGE(OFFSET($H$3,0,0,'Données projet'!$E$10+1,1))</f>
        <v>442.79037205372367</v>
      </c>
      <c r="AO38" s="59">
        <f t="shared" si="36"/>
        <v>288.23553637727969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18.783373551136751</v>
      </c>
      <c r="AW38" s="21">
        <f>EXP(-LN(2)/2)*AW37+(1-EXP(-LN(2)/2))/(LN(2)/2)*AQ38*AT38*VLOOKUP('Données projet'!$B$10,Paramètres!$A$1:$I$89,3,0)*0.475*44/12</f>
        <v>2.6137888291118809</v>
      </c>
      <c r="AX38" s="21">
        <f t="shared" si="6"/>
        <v>21.397162380248631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62.276582814456575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3.3603333333333336</v>
      </c>
      <c r="BD38" s="12">
        <f>IF('Données projet'!$A$88&gt;35,BD37+BC38-BL37,IF(A38&lt;'Données projet'!$A$88,$BA$205^A38,IF(A38='Données projet'!$A$88,'Données projet'!$B$88,BD37+BC38-BL37)))</f>
        <v>117.61166666666665</v>
      </c>
      <c r="BE38" s="13">
        <f>BD38*VLOOKUP('Données projet'!$B$11,Paramètres!$A$1:$I$89,3,0)*VLOOKUP('Données projet'!$B$11,Paramètres!$A$1:$I$89,5,0)</f>
        <v>119.25823</v>
      </c>
      <c r="BF38" s="13">
        <f t="shared" si="37"/>
        <v>31.501931238975171</v>
      </c>
      <c r="BG38" s="20">
        <f t="shared" si="7"/>
        <v>262.57394749121505</v>
      </c>
      <c r="BH38" s="59">
        <f t="shared" si="8"/>
        <v>527.58808447755587</v>
      </c>
      <c r="BI38" s="59">
        <f ca="1">AVERAGE(OFFSET($BH$3,0,0,'Données projet'!$E$11+1,1))-AVERAGE(OFFSET($H$3,0,0,'Données projet'!$E$11+1,1))</f>
        <v>559.91818701710872</v>
      </c>
      <c r="BJ38" s="59">
        <f t="shared" si="38"/>
        <v>273.47272623465915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62.276582814456575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7.3717948717948731</v>
      </c>
      <c r="BY38" s="12">
        <f>IF('Données projet'!$A$114&gt;35,BY37+BX38-CG37,IF(A38&lt;'Données projet'!$A$114,$BV$205^A38,IF(A38='Données projet'!$A$114,'Données projet'!$B$114,BY37+BX38-CG37)))</f>
        <v>105.7692307692308</v>
      </c>
      <c r="BZ38" s="13">
        <f>BY38*VLOOKUP('Données projet'!$B$12,Paramètres!$A$1:$I$89,3,0)*VLOOKUP('Données projet'!$B$12,Paramètres!$A$1:$I$89,5,0)</f>
        <v>82.500000000000028</v>
      </c>
      <c r="CA38" s="13">
        <f t="shared" si="39"/>
        <v>22.747348109696244</v>
      </c>
      <c r="CB38" s="20">
        <f t="shared" si="10"/>
        <v>183.30579795772098</v>
      </c>
      <c r="CC38" s="59">
        <f t="shared" si="11"/>
        <v>448.31993494406174</v>
      </c>
      <c r="CD38" s="59">
        <f ca="1">AVERAGE(OFFSET($CC$3,0,0,'Données projet'!$E$12+1,1))-AVERAGE(OFFSET($H$3,0,0,'Données projet'!$E$12+1,1))</f>
        <v>208.92677786250815</v>
      </c>
      <c r="CE38" s="59">
        <f t="shared" si="40"/>
        <v>207.54290142772214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1.9761715909366278</v>
      </c>
      <c r="CL38" s="21">
        <f>EXP(-LN(2)/25)*CL37+(1-EXP(-LN(2)/25))/(LN(2)/25)*Calculateur!CG38*Calculateur!CI38*VLOOKUP('Données projet'!$B$12,Paramètres!$A$1:$I$89,3,0)*0.475*44/12</f>
        <v>4.1962203760813184</v>
      </c>
      <c r="CM38" s="21">
        <f>EXP(-LN(2)/2)*CM37+(1-EXP(-LN(2)/2))/(LN(2)/2)*CG38*CJ38*VLOOKUP('Données projet'!$B$12,Paramètres!$A$1:$I$89,3,0)*0.475*44/12</f>
        <v>1.1776143476411169</v>
      </c>
      <c r="CN38" s="22">
        <f t="shared" si="12"/>
        <v>7.3500063146590628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62.276582814456575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4.016578947368421</v>
      </c>
      <c r="CT38" s="12">
        <f>IF('Données projet'!$A$140&gt;35,CT37+CS38-DB37,IF(A38&lt;'Données projet'!$A$140,$CQ$205^A38,IF(A38='Données projet'!$A$140,'Données projet'!$B$140,CT37+CS38-DB37)))</f>
        <v>140.58026315789471</v>
      </c>
      <c r="CU38" s="17">
        <f>CT38*VLOOKUP('Données projet'!$B$13,Paramètres!$A$1:$I$89,3,0)*VLOOKUP('Données projet'!$B$13,Paramètres!$A$1:$I$89,5,0)</f>
        <v>133.77617842105261</v>
      </c>
      <c r="CV38" s="13">
        <f t="shared" si="41"/>
        <v>34.867463871880652</v>
      </c>
      <c r="CW38" s="20">
        <f t="shared" si="13"/>
        <v>293.72101032685873</v>
      </c>
      <c r="CX38" s="59">
        <f t="shared" si="14"/>
        <v>558.73514731319949</v>
      </c>
      <c r="CY38" s="59">
        <f ca="1">AVERAGE(OFFSET($CX$3,0,0,'Données projet'!$E$13+1,1))-AVERAGE(OFFSET($H$3,0,0,'Données projet'!$E$13+1,1))</f>
        <v>470.42022791389275</v>
      </c>
      <c r="CZ38" s="59">
        <f t="shared" si="42"/>
        <v>300.26117330627346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0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62.276582814456575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3.3603333333333336</v>
      </c>
      <c r="DO38" s="12">
        <f>IF('Données projet'!$A$166&gt;35,DO37+DN38-DW37,IF(A38&lt;'Données projet'!$A$166,$DL$205^A38,IF(A38='Données projet'!$A$166,'Données projet'!$B$166,DO37+DN38-DW37)))</f>
        <v>117.61166666666665</v>
      </c>
      <c r="DP38" s="17">
        <f>DO38*VLOOKUP('Données projet'!$B$14,Paramètres!$A$1:$I$89,3,0)*VLOOKUP('Données projet'!$B$14,Paramètres!$A$1:$I$89,5,0)</f>
        <v>113.75400399999999</v>
      </c>
      <c r="DQ38" s="13">
        <f t="shared" si="43"/>
        <v>30.213722363336938</v>
      </c>
      <c r="DR38" s="20">
        <f t="shared" si="16"/>
        <v>250.74379008281184</v>
      </c>
      <c r="DS38" s="59">
        <f t="shared" si="17"/>
        <v>515.75792706915263</v>
      </c>
      <c r="DT38" s="59">
        <f ca="1">AVERAGE(OFFSET($DS$3,0,0,'Données projet'!$E$14+1,1))-AVERAGE(OFFSET($H$3,0,0,'Données projet'!$E$14+1,1))</f>
        <v>537.37164071064103</v>
      </c>
      <c r="DU38" s="59">
        <f t="shared" si="44"/>
        <v>263.29777321132235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0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62.276582814456575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62.276582814456575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62.276582814456575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62.276582814456575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45">
      <c r="A39" s="10">
        <f t="shared" si="31"/>
        <v>36</v>
      </c>
      <c r="B39" s="73">
        <f>'Scénario référence'!$B$16*5+'Scénario référence'!$B$17*0+'Scénario référence'!$B$18*5</f>
        <v>2.8499999999999996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10.449999999999998</v>
      </c>
      <c r="H39" s="67">
        <f t="shared" si="1"/>
        <v>214.86666666666667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62.410566835651707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13.956249999999997</v>
      </c>
      <c r="N39" s="13">
        <f>IF('Données projet'!$A$36&gt;35,N38+M39-V38,IF(A39&lt;'Données projet'!$A$36,$K$205^A39,IF(A39='Données projet'!$A$36,'Données projet'!$B$36,N38+M39-V38)))</f>
        <v>164.27249999999998</v>
      </c>
      <c r="O39" s="13">
        <f>N39*VLOOKUP('Données projet'!$B$9,Paramètres!$A$1:$I$89,3,0)*VLOOKUP('Données projet'!$B$9,Paramètres!$A$1:$I$89,5,0)</f>
        <v>148.63375799999997</v>
      </c>
      <c r="P39" s="13">
        <f t="shared" si="33"/>
        <v>38.267937075369332</v>
      </c>
      <c r="Q39" s="20">
        <f t="shared" si="53"/>
        <v>325.52045225626819</v>
      </c>
      <c r="R39" s="59">
        <f t="shared" si="0"/>
        <v>591.02586398699111</v>
      </c>
      <c r="S39" s="59">
        <f ca="1">AVERAGE(OFFSET($R$3,0,0,'Données projet'!$E$9+1,1))-AVERAGE(OFFSET($H$3,0,0,'Données projet'!$E$9+1,1))</f>
        <v>719.20816951277925</v>
      </c>
      <c r="T39" s="59">
        <f t="shared" si="34"/>
        <v>237.1127421841087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11.893008083856312</v>
      </c>
      <c r="AB39" s="21">
        <f>EXP(-LN(2)/2)*AB38+(1-EXP(-LN(2)/2))/(LN(2)/2)*V39*Y39*VLOOKUP('Données projet'!$B$9,Paramètres!$A$1:$I$89,3,0)*0.475*44/12</f>
        <v>3.1313831627646143</v>
      </c>
      <c r="AC39" s="22">
        <f t="shared" si="3"/>
        <v>15.024391246620926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62.410566835651707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12.998333333333335</v>
      </c>
      <c r="AI39" s="13">
        <f>IF('Données projet'!$A$62&gt;35,AI38+AH39-AQ38,IF(A39&lt;'Données projet'!$A$62,$AF$205^A39,IF(A39='Données projet'!$A$62,'Données projet'!$B$62,AI38+AH39-AQ38)))</f>
        <v>151.49166666666667</v>
      </c>
      <c r="AJ39" s="13">
        <f>AI39*VLOOKUP('Données projet'!$B$10,Paramètres!$A$1:$I$89,3,0)*VLOOKUP('Données projet'!$B$10,Paramètres!$A$1:$I$89,5,0)</f>
        <v>127.61658000000001</v>
      </c>
      <c r="AK39" s="13">
        <f t="shared" si="35"/>
        <v>33.445029241298066</v>
      </c>
      <c r="AL39" s="20">
        <f t="shared" si="4"/>
        <v>280.51563609526079</v>
      </c>
      <c r="AM39" s="59">
        <f t="shared" si="5"/>
        <v>546.02104782598371</v>
      </c>
      <c r="AN39" s="59">
        <f ca="1">AVERAGE(OFFSET($AM$3,0,0,'Données projet'!$E$10+1,1))-AVERAGE(OFFSET($H$3,0,0,'Données projet'!$E$10+1,1))</f>
        <v>442.79037205372367</v>
      </c>
      <c r="AO39" s="59">
        <f t="shared" si="36"/>
        <v>288.23553637727969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18.269741213606231</v>
      </c>
      <c r="AW39" s="21">
        <f>EXP(-LN(2)/2)*AW38+(1-EXP(-LN(2)/2))/(LN(2)/2)*AQ39*AT39*VLOOKUP('Données projet'!$B$10,Paramètres!$A$1:$I$89,3,0)*0.475*44/12</f>
        <v>1.8482278056546573</v>
      </c>
      <c r="AX39" s="21">
        <f t="shared" si="6"/>
        <v>20.11796901926089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62.410566835651707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3.3603333333333336</v>
      </c>
      <c r="BD39" s="12">
        <f>IF('Données projet'!$A$88&gt;35,BD38+BC39-BL38,IF(A39&lt;'Données projet'!$A$88,$BA$205^A39,IF(A39='Données projet'!$A$88,'Données projet'!$B$88,BD38+BC39-BL38)))</f>
        <v>120.97199999999998</v>
      </c>
      <c r="BE39" s="13">
        <f>BD39*VLOOKUP('Données projet'!$B$11,Paramètres!$A$1:$I$89,3,0)*VLOOKUP('Données projet'!$B$11,Paramètres!$A$1:$I$89,5,0)</f>
        <v>122.66560799999998</v>
      </c>
      <c r="BF39" s="13">
        <f t="shared" si="37"/>
        <v>32.295911394857214</v>
      </c>
      <c r="BG39" s="20">
        <f t="shared" si="7"/>
        <v>269.89131294604289</v>
      </c>
      <c r="BH39" s="59">
        <f t="shared" si="8"/>
        <v>535.39672467676587</v>
      </c>
      <c r="BI39" s="59">
        <f ca="1">AVERAGE(OFFSET($BH$3,0,0,'Données projet'!$E$11+1,1))-AVERAGE(OFFSET($H$3,0,0,'Données projet'!$E$11+1,1))</f>
        <v>559.91818701710872</v>
      </c>
      <c r="BJ39" s="59">
        <f t="shared" si="38"/>
        <v>273.47272623465915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62.410566835651707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7.3717948717948731</v>
      </c>
      <c r="BY39" s="12">
        <f>IF('Données projet'!$A$114&gt;35,BY38+BX39-CG38,IF(A39&lt;'Données projet'!$A$114,$BV$205^A39,IF(A39='Données projet'!$A$114,'Données projet'!$B$114,BY38+BX39-CG38)))</f>
        <v>113.14102564102568</v>
      </c>
      <c r="BZ39" s="13">
        <f>BY39*VLOOKUP('Données projet'!$B$12,Paramètres!$A$1:$I$89,3,0)*VLOOKUP('Données projet'!$B$12,Paramètres!$A$1:$I$89,5,0)</f>
        <v>88.250000000000028</v>
      </c>
      <c r="CA39" s="13">
        <f t="shared" si="39"/>
        <v>24.142686012928117</v>
      </c>
      <c r="CB39" s="20">
        <f t="shared" si="10"/>
        <v>195.75059480584989</v>
      </c>
      <c r="CC39" s="59">
        <f t="shared" si="11"/>
        <v>461.25600653657284</v>
      </c>
      <c r="CD39" s="59">
        <f ca="1">AVERAGE(OFFSET($CC$3,0,0,'Données projet'!$E$12+1,1))-AVERAGE(OFFSET($H$3,0,0,'Données projet'!$E$12+1,1))</f>
        <v>208.92677786250815</v>
      </c>
      <c r="CE39" s="59">
        <f t="shared" si="40"/>
        <v>207.54290142772214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1.9374200713840131</v>
      </c>
      <c r="CL39" s="21">
        <f>EXP(-LN(2)/25)*CL38+(1-EXP(-LN(2)/25))/(LN(2)/25)*Calculateur!CG39*Calculateur!CI39*VLOOKUP('Données projet'!$B$12,Paramètres!$A$1:$I$89,3,0)*0.475*44/12</f>
        <v>4.0814745092277356</v>
      </c>
      <c r="CM39" s="21">
        <f>EXP(-LN(2)/2)*CM38+(1-EXP(-LN(2)/2))/(LN(2)/2)*CG39*CJ39*VLOOKUP('Données projet'!$B$12,Paramètres!$A$1:$I$89,3,0)*0.475*44/12</f>
        <v>0.83269909083960625</v>
      </c>
      <c r="CN39" s="22">
        <f t="shared" si="12"/>
        <v>6.8515936714513543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62.410566835651707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4.016578947368421</v>
      </c>
      <c r="CT39" s="12">
        <f>IF('Données projet'!$A$140&gt;35,CT38+CS39-DB38,IF(A39&lt;'Données projet'!$A$140,$CQ$205^A39,IF(A39='Données projet'!$A$140,'Données projet'!$B$140,CT38+CS39-DB38)))</f>
        <v>144.59684210526314</v>
      </c>
      <c r="CU39" s="17">
        <f>CT39*VLOOKUP('Données projet'!$B$13,Paramètres!$A$1:$I$89,3,0)*VLOOKUP('Données projet'!$B$13,Paramètres!$A$1:$I$89,5,0)</f>
        <v>137.59835494736839</v>
      </c>
      <c r="CV39" s="13">
        <f t="shared" si="41"/>
        <v>35.746269497802267</v>
      </c>
      <c r="CW39" s="20">
        <f t="shared" si="13"/>
        <v>301.90855424200555</v>
      </c>
      <c r="CX39" s="59">
        <f t="shared" si="14"/>
        <v>567.41396597272842</v>
      </c>
      <c r="CY39" s="59">
        <f ca="1">AVERAGE(OFFSET($CX$3,0,0,'Données projet'!$E$13+1,1))-AVERAGE(OFFSET($H$3,0,0,'Données projet'!$E$13+1,1))</f>
        <v>470.42022791389275</v>
      </c>
      <c r="CZ39" s="59">
        <f t="shared" si="42"/>
        <v>300.26117330627346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0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62.410566835651707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3.3603333333333336</v>
      </c>
      <c r="DO39" s="12">
        <f>IF('Données projet'!$A$166&gt;35,DO38+DN39-DW38,IF(A39&lt;'Données projet'!$A$166,$DL$205^A39,IF(A39='Données projet'!$A$166,'Données projet'!$B$166,DO38+DN39-DW38)))</f>
        <v>120.97199999999998</v>
      </c>
      <c r="DP39" s="17">
        <f>DO39*VLOOKUP('Données projet'!$B$14,Paramètres!$A$1:$I$89,3,0)*VLOOKUP('Données projet'!$B$14,Paramètres!$A$1:$I$89,5,0)</f>
        <v>117.00411839999998</v>
      </c>
      <c r="DQ39" s="13">
        <f t="shared" si="43"/>
        <v>30.975234278585425</v>
      </c>
      <c r="DR39" s="20">
        <f t="shared" si="16"/>
        <v>257.73070591520286</v>
      </c>
      <c r="DS39" s="59">
        <f t="shared" si="17"/>
        <v>523.23611764592579</v>
      </c>
      <c r="DT39" s="59">
        <f ca="1">AVERAGE(OFFSET($DS$3,0,0,'Données projet'!$E$14+1,1))-AVERAGE(OFFSET($H$3,0,0,'Données projet'!$E$14+1,1))</f>
        <v>537.37164071064103</v>
      </c>
      <c r="DU39" s="59">
        <f t="shared" si="44"/>
        <v>263.29777321132235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0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62.410566835651707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62.410566835651707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62.410566835651707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62.410566835651707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45">
      <c r="A40" s="10">
        <f t="shared" si="31"/>
        <v>37</v>
      </c>
      <c r="B40" s="73">
        <f>'Scénario référence'!$B$16*5+'Scénario référence'!$B$17*0+'Scénario référence'!$B$18*5</f>
        <v>2.8499999999999996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10.449999999999998</v>
      </c>
      <c r="H40" s="67">
        <f t="shared" si="1"/>
        <v>214.86666666666667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62.542226533622497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13.956249999999997</v>
      </c>
      <c r="N40" s="13">
        <f>IF('Données projet'!$A$36&gt;35,N39+M40-V39,IF(A40&lt;'Données projet'!$A$36,$K$205^A40,IF(A40='Données projet'!$A$36,'Données projet'!$B$36,N39+M40-V39)))</f>
        <v>178.22874999999999</v>
      </c>
      <c r="O40" s="13">
        <f>N40*VLOOKUP('Données projet'!$B$9,Paramètres!$A$1:$I$89,3,0)*VLOOKUP('Données projet'!$B$9,Paramètres!$A$1:$I$89,5,0)</f>
        <v>161.26137299999999</v>
      </c>
      <c r="P40" s="13">
        <f t="shared" si="33"/>
        <v>41.126891450739848</v>
      </c>
      <c r="Q40" s="20">
        <f t="shared" si="53"/>
        <v>352.49289391837186</v>
      </c>
      <c r="R40" s="59">
        <f t="shared" si="0"/>
        <v>618.48105787498775</v>
      </c>
      <c r="S40" s="59">
        <f ca="1">AVERAGE(OFFSET($R$3,0,0,'Données projet'!$E$9+1,1))-AVERAGE(OFFSET($H$3,0,0,'Données projet'!$E$9+1,1))</f>
        <v>719.20816951277925</v>
      </c>
      <c r="T40" s="59">
        <f t="shared" si="34"/>
        <v>237.1127421841087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11.567793152377147</v>
      </c>
      <c r="AB40" s="21">
        <f>EXP(-LN(2)/2)*AB39+(1-EXP(-LN(2)/2))/(LN(2)/2)*V40*Y40*VLOOKUP('Données projet'!$B$9,Paramètres!$A$1:$I$89,3,0)*0.475*44/12</f>
        <v>2.2142222688842375</v>
      </c>
      <c r="AC40" s="22">
        <f t="shared" si="3"/>
        <v>13.782015421261384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62.542226533622497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>
        <f>VLOOKUP(A40,'Données projet'!$A$61:$I$81,2,0)</f>
        <v>164.49</v>
      </c>
      <c r="AG40" s="12">
        <f>VLOOKUP(A40,'Données projet'!$A$61:$I$81,9,0)</f>
        <v>12.998333333333335</v>
      </c>
      <c r="AH40" s="12">
        <f t="array" ref="AH40">INDEX(AG:AG,MIN(IF(ISNUMBER(AG40:AG236),ROW(AG40:AG236),"")))</f>
        <v>12.998333333333335</v>
      </c>
      <c r="AI40" s="13">
        <f>IF('Données projet'!$A$62&gt;35,AI39+AH40-AQ39,IF(A40&lt;'Données projet'!$A$62,$AF$205^A40,IF(A40='Données projet'!$A$62,'Données projet'!$B$62,AI39+AH40-AQ39)))</f>
        <v>164.49</v>
      </c>
      <c r="AJ40" s="13">
        <f>AI40*VLOOKUP('Données projet'!$B$10,Paramètres!$A$1:$I$89,3,0)*VLOOKUP('Données projet'!$B$10,Paramètres!$A$1:$I$89,5,0)</f>
        <v>138.56637600000002</v>
      </c>
      <c r="AK40" s="13">
        <f t="shared" si="35"/>
        <v>35.968385885318511</v>
      </c>
      <c r="AL40" s="20">
        <f t="shared" si="4"/>
        <v>303.9813769502631</v>
      </c>
      <c r="AM40" s="59">
        <f t="shared" si="5"/>
        <v>569.96954090687893</v>
      </c>
      <c r="AN40" s="59">
        <f ca="1">AVERAGE(OFFSET($AM$3,0,0,'Données projet'!$E$10+1,1))-AVERAGE(OFFSET($H$3,0,0,'Données projet'!$E$10+1,1))</f>
        <v>442.79037205372367</v>
      </c>
      <c r="AO40" s="59">
        <f t="shared" si="36"/>
        <v>288.23553637727969</v>
      </c>
      <c r="AP40" s="15">
        <f>IF(ISNA(VLOOKUP(A40,'Données projet'!$A$61:$I$81,3,0)),0,VLOOKUP(A40,'Données projet'!$A$61:$I$81,3,0))</f>
        <v>2</v>
      </c>
      <c r="AQ40" s="15">
        <f>IF(ISNA(VLOOKUP(A40,'Données projet'!$A$61:$I$81,4,0)),0,VLOOKUP(A40,'Données projet'!$A$61:$I$81,4,0))</f>
        <v>43.890000000000015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0.34400000000000003</v>
      </c>
      <c r="AT40" s="16">
        <f>IF(ISNA(VLOOKUP(A40,'Données projet'!$A$61:$I$81,7,0)),0%,VLOOKUP(A40,'Données projet'!$A$61:$I$81,7,0))</f>
        <v>0.2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31.774929114131851</v>
      </c>
      <c r="AW40" s="21">
        <f>EXP(-LN(2)/2)*AW39+(1-EXP(-LN(2)/2))/(LN(2)/2)*AQ40*AT40*VLOOKUP('Données projet'!$B$10,Paramètres!$A$1:$I$89,3,0)*0.475*44/12</f>
        <v>8.2838864601524413</v>
      </c>
      <c r="AX40" s="21">
        <f t="shared" si="6"/>
        <v>40.058815574284296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62.542226533622497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3.3603333333333336</v>
      </c>
      <c r="BD40" s="12">
        <f>IF('Données projet'!$A$88&gt;35,BD39+BC40-BL39,IF(A40&lt;'Données projet'!$A$88,$BA$205^A40,IF(A40='Données projet'!$A$88,'Données projet'!$B$88,BD39+BC40-BL39)))</f>
        <v>124.33233333333331</v>
      </c>
      <c r="BE40" s="13">
        <f>BD40*VLOOKUP('Données projet'!$B$11,Paramètres!$A$1:$I$89,3,0)*VLOOKUP('Données projet'!$B$11,Paramètres!$A$1:$I$89,5,0)</f>
        <v>126.07298599999999</v>
      </c>
      <c r="BF40" s="13">
        <f t="shared" si="37"/>
        <v>33.08732814573294</v>
      </c>
      <c r="BG40" s="20">
        <f t="shared" si="7"/>
        <v>277.20421380381816</v>
      </c>
      <c r="BH40" s="59">
        <f t="shared" si="8"/>
        <v>543.19237776043406</v>
      </c>
      <c r="BI40" s="59">
        <f ca="1">AVERAGE(OFFSET($BH$3,0,0,'Données projet'!$E$11+1,1))-AVERAGE(OFFSET($H$3,0,0,'Données projet'!$E$11+1,1))</f>
        <v>559.91818701710872</v>
      </c>
      <c r="BJ40" s="59">
        <f t="shared" si="38"/>
        <v>273.47272623465915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62.542226533622497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>
        <f>VLOOKUP(A40,'Données projet'!$A$113:$I$133,2,0)</f>
        <v>120.51282051282051</v>
      </c>
      <c r="BW40" s="12">
        <f>VLOOKUP(A40,'Données projet'!$A$113:$I$133,9,0)</f>
        <v>7.3717948717948731</v>
      </c>
      <c r="BX40" s="12">
        <f t="array" ref="BX40">INDEX(BW:BW,MIN(IF(ISNUMBER(BW40:BW236),ROW(BW40:BW236),"")))</f>
        <v>7.3717948717948731</v>
      </c>
      <c r="BY40" s="12">
        <f>IF('Données projet'!$A$114&gt;35,BY39+BX40-CG39,IF(A40&lt;'Données projet'!$A$114,$BV$205^A40,IF(A40='Données projet'!$A$114,'Données projet'!$B$114,BY39+BX40-CG39)))</f>
        <v>120.51282051282055</v>
      </c>
      <c r="BZ40" s="13">
        <f>BY40*VLOOKUP('Données projet'!$B$12,Paramètres!$A$1:$I$89,3,0)*VLOOKUP('Données projet'!$B$12,Paramètres!$A$1:$I$89,5,0)</f>
        <v>94.000000000000028</v>
      </c>
      <c r="CA40" s="13">
        <f t="shared" si="39"/>
        <v>25.527473634349285</v>
      </c>
      <c r="CB40" s="20">
        <f t="shared" si="10"/>
        <v>208.17701657982505</v>
      </c>
      <c r="CC40" s="59">
        <f t="shared" si="11"/>
        <v>474.16518053644086</v>
      </c>
      <c r="CD40" s="59">
        <f ca="1">AVERAGE(OFFSET($CC$3,0,0,'Données projet'!$E$12+1,1))-AVERAGE(OFFSET($H$3,0,0,'Données projet'!$E$12+1,1))</f>
        <v>208.92677786250815</v>
      </c>
      <c r="CE40" s="59">
        <f t="shared" si="40"/>
        <v>207.54290142772214</v>
      </c>
      <c r="CF40" s="15">
        <f>IF(ISNA(VLOOKUP(A40,'Données projet'!$A$113:$I$133,3,0)),0,VLOOKUP(A40,'Données projet'!$A$113:$I$133,3,0))</f>
        <v>5</v>
      </c>
      <c r="CG40" s="15">
        <f>IF(ISNA(VLOOKUP(A40,'Données projet'!$A$113:$I$133,4,0)),0,VLOOKUP(A40,'Données projet'!$A$113:$I$133,4,0))</f>
        <v>23.076923076923077</v>
      </c>
      <c r="CH40" s="16">
        <f>IF(ISNA(VLOOKUP(A40,'Données projet'!$A$113:$I$133,5,0)),0%,VLOOKUP(A40,'Données projet'!$A$113:$I$133,5,0)*VLOOKUP('Données projet'!$B$12,Paramètres!$A$1:$I$89,7,0))</f>
        <v>0.1075</v>
      </c>
      <c r="CI40" s="16">
        <f>IF(ISNA(VLOOKUP(A40,'Données projet'!$A$113:$I$133,6,0)),0%,VLOOKUP(A40,'Données projet'!$A$113:$I$133,6,0)*VLOOKUP('Données projet'!$B$12,Paramètres!$A$1:$I$89,7,0))</f>
        <v>0.1075</v>
      </c>
      <c r="CJ40" s="16">
        <f>IF(ISNA(VLOOKUP(A40,'Données projet'!$A$113:$I$133,7,0)),0%,VLOOKUP(A40,'Données projet'!$A$113:$I$133,7,0))</f>
        <v>0.25</v>
      </c>
      <c r="CK40" s="21">
        <f>EXP(-LN(2)/35)*CK39+(1-EXP(-LN(2)/35))/(LN(2)/35)*CG40*CH40*VLOOKUP('Données projet'!$B$12,Paramètres!$A$1:$I$89,3,0)*0.475*44/12</f>
        <v>4.0385136298899909</v>
      </c>
      <c r="CL40" s="21">
        <f>EXP(-LN(2)/25)*CL39+(1-EXP(-LN(2)/25))/(LN(2)/25)*Calculateur!CG40*Calculateur!CI40*VLOOKUP('Données projet'!$B$12,Paramètres!$A$1:$I$89,3,0)*0.475*44/12</f>
        <v>6.1005291651074227</v>
      </c>
      <c r="CM40" s="21">
        <f>EXP(-LN(2)/2)*CM39+(1-EXP(-LN(2)/2))/(LN(2)/2)*CG40*CJ40*VLOOKUP('Données projet'!$B$12,Paramètres!$A$1:$I$89,3,0)*0.475*44/12</f>
        <v>4.8346782895448053</v>
      </c>
      <c r="CN40" s="22">
        <f t="shared" si="12"/>
        <v>14.97372108454222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62.542226533622497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4.016578947368421</v>
      </c>
      <c r="CT40" s="12">
        <f>IF('Données projet'!$A$140&gt;35,CT39+CS40-DB39,IF(A40&lt;'Données projet'!$A$140,$CQ$205^A40,IF(A40='Données projet'!$A$140,'Données projet'!$B$140,CT39+CS40-DB39)))</f>
        <v>148.61342105263157</v>
      </c>
      <c r="CU40" s="17">
        <f>CT40*VLOOKUP('Données projet'!$B$13,Paramètres!$A$1:$I$89,3,0)*VLOOKUP('Données projet'!$B$13,Paramètres!$A$1:$I$89,5,0)</f>
        <v>141.42053147368418</v>
      </c>
      <c r="CV40" s="13">
        <f t="shared" si="41"/>
        <v>36.62223785540634</v>
      </c>
      <c r="CW40" s="20">
        <f t="shared" si="13"/>
        <v>310.09115658149926</v>
      </c>
      <c r="CX40" s="59">
        <f t="shared" si="14"/>
        <v>576.0793205381151</v>
      </c>
      <c r="CY40" s="59">
        <f ca="1">AVERAGE(OFFSET($CX$3,0,0,'Données projet'!$E$13+1,1))-AVERAGE(OFFSET($H$3,0,0,'Données projet'!$E$13+1,1))</f>
        <v>470.42022791389275</v>
      </c>
      <c r="CZ40" s="59">
        <f t="shared" si="42"/>
        <v>300.26117330627346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0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62.542226533622497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3.3603333333333336</v>
      </c>
      <c r="DO40" s="12">
        <f>IF('Données projet'!$A$166&gt;35,DO39+DN40-DW39,IF(A40&lt;'Données projet'!$A$166,$DL$205^A40,IF(A40='Données projet'!$A$166,'Données projet'!$B$166,DO39+DN40-DW39)))</f>
        <v>124.33233333333331</v>
      </c>
      <c r="DP40" s="17">
        <f>DO40*VLOOKUP('Données projet'!$B$14,Paramètres!$A$1:$I$89,3,0)*VLOOKUP('Données projet'!$B$14,Paramètres!$A$1:$I$89,5,0)</f>
        <v>120.25423279999997</v>
      </c>
      <c r="DQ40" s="13">
        <f t="shared" si="43"/>
        <v>31.734287614181273</v>
      </c>
      <c r="DR40" s="20">
        <f t="shared" si="16"/>
        <v>264.71333972136563</v>
      </c>
      <c r="DS40" s="59">
        <f t="shared" si="17"/>
        <v>530.70150367798146</v>
      </c>
      <c r="DT40" s="59">
        <f ca="1">AVERAGE(OFFSET($DS$3,0,0,'Données projet'!$E$14+1,1))-AVERAGE(OFFSET($H$3,0,0,'Données projet'!$E$14+1,1))</f>
        <v>537.37164071064103</v>
      </c>
      <c r="DU40" s="59">
        <f t="shared" si="44"/>
        <v>263.29777321132235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0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62.542226533622497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62.542226533622497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62.542226533622497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62.542226533622497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45">
      <c r="A41" s="10">
        <f t="shared" si="31"/>
        <v>38</v>
      </c>
      <c r="B41" s="73">
        <f>'Scénario référence'!$B$16*5+'Scénario référence'!$B$17*0+'Scénario référence'!$B$18*5</f>
        <v>2.8499999999999996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10.449999999999998</v>
      </c>
      <c r="H41" s="67">
        <f t="shared" si="1"/>
        <v>214.86666666666667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62.671602230180497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13.956249999999997</v>
      </c>
      <c r="N41" s="13">
        <f>IF('Données projet'!$A$36&gt;35,N40+M41-V40,IF(A41&lt;'Données projet'!$A$36,$K$205^A41,IF(A41='Données projet'!$A$36,'Données projet'!$B$36,N40+M41-V40)))</f>
        <v>192.185</v>
      </c>
      <c r="O41" s="13">
        <f>N41*VLOOKUP('Données projet'!$B$9,Paramètres!$A$1:$I$89,3,0)*VLOOKUP('Données projet'!$B$9,Paramètres!$A$1:$I$89,5,0)</f>
        <v>173.88898799999998</v>
      </c>
      <c r="P41" s="13">
        <f t="shared" si="33"/>
        <v>43.959877621771504</v>
      </c>
      <c r="Q41" s="20">
        <f t="shared" si="53"/>
        <v>379.42010762458534</v>
      </c>
      <c r="R41" s="59">
        <f t="shared" si="0"/>
        <v>645.88264913524722</v>
      </c>
      <c r="S41" s="59">
        <f ca="1">AVERAGE(OFFSET($R$3,0,0,'Données projet'!$E$9+1,1))-AVERAGE(OFFSET($H$3,0,0,'Données projet'!$E$9+1,1))</f>
        <v>719.20816951277925</v>
      </c>
      <c r="T41" s="59">
        <f t="shared" si="34"/>
        <v>237.1127421841087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11.251471240301591</v>
      </c>
      <c r="AB41" s="21">
        <f>EXP(-LN(2)/2)*AB40+(1-EXP(-LN(2)/2))/(LN(2)/2)*V41*Y41*VLOOKUP('Données projet'!$B$9,Paramètres!$A$1:$I$89,3,0)*0.475*44/12</f>
        <v>1.5656915813823074</v>
      </c>
      <c r="AC41" s="22">
        <f t="shared" si="3"/>
        <v>12.817162821683898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62.671602230180497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13.987142857142857</v>
      </c>
      <c r="AI41" s="13">
        <f>IF('Données projet'!$A$62&gt;35,AI40+AH41-AQ40,IF(A41&lt;'Données projet'!$A$62,$AF$205^A41,IF(A41='Données projet'!$A$62,'Données projet'!$B$62,AI40+AH41-AQ40)))</f>
        <v>134.58714285714285</v>
      </c>
      <c r="AJ41" s="13">
        <f>AI41*VLOOKUP('Données projet'!$B$10,Paramètres!$A$1:$I$89,3,0)*VLOOKUP('Données projet'!$B$10,Paramètres!$A$1:$I$89,5,0)</f>
        <v>113.37620914285714</v>
      </c>
      <c r="AK41" s="13">
        <f t="shared" si="35"/>
        <v>30.125040801765408</v>
      </c>
      <c r="AL41" s="20">
        <f t="shared" si="4"/>
        <v>249.93134365355093</v>
      </c>
      <c r="AM41" s="59">
        <f t="shared" si="5"/>
        <v>516.39388516421275</v>
      </c>
      <c r="AN41" s="59">
        <f ca="1">AVERAGE(OFFSET($AM$3,0,0,'Données projet'!$E$10+1,1))-AVERAGE(OFFSET($H$3,0,0,'Données projet'!$E$10+1,1))</f>
        <v>442.79037205372367</v>
      </c>
      <c r="AO41" s="59">
        <f t="shared" si="36"/>
        <v>288.23553637727969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30.906042006535017</v>
      </c>
      <c r="AW41" s="21">
        <f>EXP(-LN(2)/2)*AW40+(1-EXP(-LN(2)/2))/(LN(2)/2)*AQ41*AT41*VLOOKUP('Données projet'!$B$10,Paramètres!$A$1:$I$89,3,0)*0.475*44/12</f>
        <v>5.8575922905532165</v>
      </c>
      <c r="AX41" s="21">
        <f t="shared" si="6"/>
        <v>36.763634297088231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62.671602230180497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3.3603333333333336</v>
      </c>
      <c r="BD41" s="12">
        <f>IF('Données projet'!$A$88&gt;35,BD40+BC41-BL40,IF(A41&lt;'Données projet'!$A$88,$BA$205^A41,IF(A41='Données projet'!$A$88,'Données projet'!$B$88,BD40+BC41-BL40)))</f>
        <v>127.69266666666664</v>
      </c>
      <c r="BE41" s="13">
        <f>BD41*VLOOKUP('Données projet'!$B$11,Paramètres!$A$1:$I$89,3,0)*VLOOKUP('Données projet'!$B$11,Paramètres!$A$1:$I$89,5,0)</f>
        <v>129.48036399999998</v>
      </c>
      <c r="BF41" s="13">
        <f t="shared" si="37"/>
        <v>33.876258734659984</v>
      </c>
      <c r="BG41" s="20">
        <f t="shared" si="7"/>
        <v>284.51278459619942</v>
      </c>
      <c r="BH41" s="59">
        <f t="shared" si="8"/>
        <v>550.9753261068613</v>
      </c>
      <c r="BI41" s="59">
        <f ca="1">AVERAGE(OFFSET($BH$3,0,0,'Données projet'!$E$11+1,1))-AVERAGE(OFFSET($H$3,0,0,'Données projet'!$E$11+1,1))</f>
        <v>559.91818701710872</v>
      </c>
      <c r="BJ41" s="59">
        <f t="shared" si="38"/>
        <v>273.47272623465915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62.671602230180497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7.1428571428571432</v>
      </c>
      <c r="BY41" s="12">
        <f>IF('Données projet'!$A$114&gt;35,BY40+BX41-CG40,IF(A41&lt;'Données projet'!$A$114,$BV$205^A41,IF(A41='Données projet'!$A$114,'Données projet'!$B$114,BY40+BX41-CG40)))</f>
        <v>104.57875457875461</v>
      </c>
      <c r="BZ41" s="13">
        <f>BY41*VLOOKUP('Données projet'!$B$12,Paramètres!$A$1:$I$89,3,0)*VLOOKUP('Données projet'!$B$12,Paramètres!$A$1:$I$89,5,0)</f>
        <v>81.571428571428598</v>
      </c>
      <c r="CA41" s="13">
        <f t="shared" si="39"/>
        <v>22.520970512999273</v>
      </c>
      <c r="CB41" s="20">
        <f t="shared" si="10"/>
        <v>181.29426173871184</v>
      </c>
      <c r="CC41" s="59">
        <f t="shared" si="11"/>
        <v>447.75680324937366</v>
      </c>
      <c r="CD41" s="59">
        <f ca="1">AVERAGE(OFFSET($CC$3,0,0,'Données projet'!$E$12+1,1))-AVERAGE(OFFSET($H$3,0,0,'Données projet'!$E$12+1,1))</f>
        <v>208.92677786250815</v>
      </c>
      <c r="CE41" s="59">
        <f t="shared" si="40"/>
        <v>207.54290142772214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3.9593208408579366</v>
      </c>
      <c r="CL41" s="21">
        <f>EXP(-LN(2)/25)*CL40+(1-EXP(-LN(2)/25))/(LN(2)/25)*Calculateur!CG41*Calculateur!CI41*VLOOKUP('Données projet'!$B$12,Paramètres!$A$1:$I$89,3,0)*0.475*44/12</f>
        <v>5.9337098742746743</v>
      </c>
      <c r="CM41" s="21">
        <f>EXP(-LN(2)/2)*CM40+(1-EXP(-LN(2)/2))/(LN(2)/2)*CG41*CJ41*VLOOKUP('Données projet'!$B$12,Paramètres!$A$1:$I$89,3,0)*0.475*44/12</f>
        <v>3.4186338033925106</v>
      </c>
      <c r="CN41" s="22">
        <f t="shared" si="12"/>
        <v>13.31166451852512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62.671602230180497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>
        <f>VLOOKUP(A41,'Données projet'!$A$139:$I$159,2,0)</f>
        <v>152.63</v>
      </c>
      <c r="CR41" s="12">
        <f>VLOOKUP(A41,'Données projet'!$A$139:$I$159,9,0)</f>
        <v>4.016578947368421</v>
      </c>
      <c r="CS41" s="12">
        <f t="array" ref="CS41">INDEX(CR:CR,MIN(IF(ISNUMBER(CR41:CR237),ROW(CR41:CR237),"")))</f>
        <v>4.016578947368421</v>
      </c>
      <c r="CT41" s="12">
        <f>IF('Données projet'!$A$140&gt;35,CT40+CS41-DB40,IF(A41&lt;'Données projet'!$A$140,$CQ$205^A41,IF(A41='Données projet'!$A$140,'Données projet'!$B$140,CT40+CS41-DB40)))</f>
        <v>152.63</v>
      </c>
      <c r="CU41" s="17">
        <f>CT41*VLOOKUP('Données projet'!$B$13,Paramètres!$A$1:$I$89,3,0)*VLOOKUP('Données projet'!$B$13,Paramètres!$A$1:$I$89,5,0)</f>
        <v>145.24270799999999</v>
      </c>
      <c r="CV41" s="13">
        <f t="shared" si="41"/>
        <v>37.495454440070851</v>
      </c>
      <c r="CW41" s="20">
        <f t="shared" si="13"/>
        <v>318.26896624979003</v>
      </c>
      <c r="CX41" s="59">
        <f t="shared" si="14"/>
        <v>584.7315077604519</v>
      </c>
      <c r="CY41" s="59">
        <f ca="1">AVERAGE(OFFSET($CX$3,0,0,'Données projet'!$E$13+1,1))-AVERAGE(OFFSET($H$3,0,0,'Données projet'!$E$13+1,1))</f>
        <v>470.42022791389275</v>
      </c>
      <c r="CZ41" s="59">
        <f t="shared" si="42"/>
        <v>300.26117330627346</v>
      </c>
      <c r="DA41" s="15">
        <f>IF(ISNA(VLOOKUP(A41,'Données projet'!$A$139:$I$159,3,0)),0,VLOOKUP(A41,'Données projet'!$A$139:$I$159,3,0))</f>
        <v>1</v>
      </c>
      <c r="DB41" s="15">
        <f>IF(ISNA(VLOOKUP(A41,'Données projet'!$A$139:$I$159,4,0)),0,VLOOKUP(A41,'Données projet'!$A$139:$I$159,4,0))</f>
        <v>71.569999999999993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0.1075</v>
      </c>
      <c r="DE41" s="16">
        <f>IF(ISNA(VLOOKUP(A41,'Données projet'!$A$139:$I$159,7,0)),0%,VLOOKUP(A41,'Données projet'!$A$139:$I$159,7,0))</f>
        <v>0.25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8.0617192005417753</v>
      </c>
      <c r="DH41" s="21">
        <f>EXP(-LN(2)/2)*DH40+(1-EXP(-LN(2)/2))/(LN(2)/2)*DB41*DE41*VLOOKUP('Données projet'!$B$13,Paramètres!$A$1:$I$89,3,0)*0.475*44/12</f>
        <v>16.064963842109382</v>
      </c>
      <c r="DI41" s="22">
        <f t="shared" si="15"/>
        <v>24.126683042651159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62.671602230180497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3.3603333333333336</v>
      </c>
      <c r="DO41" s="12">
        <f>IF('Données projet'!$A$166&gt;35,DO40+DN41-DW40,IF(A41&lt;'Données projet'!$A$166,$DL$205^A41,IF(A41='Données projet'!$A$166,'Données projet'!$B$166,DO40+DN41-DW40)))</f>
        <v>127.69266666666664</v>
      </c>
      <c r="DP41" s="17">
        <f>DO41*VLOOKUP('Données projet'!$B$14,Paramètres!$A$1:$I$89,3,0)*VLOOKUP('Données projet'!$B$14,Paramètres!$A$1:$I$89,5,0)</f>
        <v>123.50434719999998</v>
      </c>
      <c r="DQ41" s="13">
        <f t="shared" si="43"/>
        <v>32.490956454480575</v>
      </c>
      <c r="DR41" s="20">
        <f t="shared" si="16"/>
        <v>271.69182053155362</v>
      </c>
      <c r="DS41" s="59">
        <f t="shared" si="17"/>
        <v>538.15436204221544</v>
      </c>
      <c r="DT41" s="59">
        <f ca="1">AVERAGE(OFFSET($DS$3,0,0,'Données projet'!$E$14+1,1))-AVERAGE(OFFSET($H$3,0,0,'Données projet'!$E$14+1,1))</f>
        <v>537.37164071064103</v>
      </c>
      <c r="DU41" s="59">
        <f t="shared" si="44"/>
        <v>263.29777321132235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0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62.671602230180497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62.671602230180497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62.671602230180497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62.671602230180497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45">
      <c r="A42" s="10">
        <f t="shared" si="31"/>
        <v>39</v>
      </c>
      <c r="B42" s="73">
        <f>'Scénario référence'!$B$16*5+'Scénario référence'!$B$17*0+'Scénario référence'!$B$18*5</f>
        <v>2.8499999999999996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10.449999999999998</v>
      </c>
      <c r="H42" s="67">
        <f t="shared" si="1"/>
        <v>214.86666666666667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62.79873354764392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13.956249999999997</v>
      </c>
      <c r="N42" s="13">
        <f>IF('Données projet'!$A$36&gt;35,N41+M42-V41,IF(A42&lt;'Données projet'!$A$36,$K$205^A42,IF(A42='Données projet'!$A$36,'Données projet'!$B$36,N41+M42-V41)))</f>
        <v>206.14125000000001</v>
      </c>
      <c r="O42" s="13">
        <f>N42*VLOOKUP('Données projet'!$B$9,Paramètres!$A$1:$I$89,3,0)*VLOOKUP('Données projet'!$B$9,Paramètres!$A$1:$I$89,5,0)</f>
        <v>186.516603</v>
      </c>
      <c r="P42" s="13">
        <f t="shared" si="33"/>
        <v>46.768995827807657</v>
      </c>
      <c r="Q42" s="20">
        <f t="shared" si="53"/>
        <v>406.30575129176503</v>
      </c>
      <c r="R42" s="59">
        <f t="shared" si="0"/>
        <v>673.23444096645937</v>
      </c>
      <c r="S42" s="59">
        <f ca="1">AVERAGE(OFFSET($R$3,0,0,'Données projet'!$E$9+1,1))-AVERAGE(OFFSET($H$3,0,0,'Données projet'!$E$9+1,1))</f>
        <v>719.20816951277925</v>
      </c>
      <c r="T42" s="59">
        <f t="shared" si="34"/>
        <v>237.1127421841087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10.943799167546386</v>
      </c>
      <c r="AB42" s="21">
        <f>EXP(-LN(2)/2)*AB41+(1-EXP(-LN(2)/2))/(LN(2)/2)*V42*Y42*VLOOKUP('Données projet'!$B$9,Paramètres!$A$1:$I$89,3,0)*0.475*44/12</f>
        <v>1.1071111344421189</v>
      </c>
      <c r="AC42" s="22">
        <f t="shared" si="3"/>
        <v>12.050910301988505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62.79873354764392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13.987142857142857</v>
      </c>
      <c r="AI42" s="13">
        <f>IF('Données projet'!$A$62&gt;35,AI41+AH42-AQ41,IF(A42&lt;'Données projet'!$A$62,$AF$205^A42,IF(A42='Données projet'!$A$62,'Données projet'!$B$62,AI41+AH42-AQ41)))</f>
        <v>148.57428571428571</v>
      </c>
      <c r="AJ42" s="13">
        <f>AI42*VLOOKUP('Données projet'!$B$10,Paramètres!$A$1:$I$89,3,0)*VLOOKUP('Données projet'!$B$10,Paramètres!$A$1:$I$89,5,0)</f>
        <v>125.1589782857143</v>
      </c>
      <c r="AK42" s="13">
        <f t="shared" si="35"/>
        <v>32.875282708584329</v>
      </c>
      <c r="AL42" s="20">
        <f t="shared" si="4"/>
        <v>275.24300456507007</v>
      </c>
      <c r="AM42" s="59">
        <f t="shared" si="5"/>
        <v>542.17169423976441</v>
      </c>
      <c r="AN42" s="59">
        <f ca="1">AVERAGE(OFFSET($AM$3,0,0,'Données projet'!$E$10+1,1))-AVERAGE(OFFSET($H$3,0,0,'Données projet'!$E$10+1,1))</f>
        <v>442.79037205372367</v>
      </c>
      <c r="AO42" s="59">
        <f t="shared" si="36"/>
        <v>288.23553637727969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30.060914662588203</v>
      </c>
      <c r="AW42" s="21">
        <f>EXP(-LN(2)/2)*AW41+(1-EXP(-LN(2)/2))/(LN(2)/2)*AQ42*AT42*VLOOKUP('Données projet'!$B$10,Paramètres!$A$1:$I$89,3,0)*0.475*44/12</f>
        <v>4.1419432300762216</v>
      </c>
      <c r="AX42" s="21">
        <f t="shared" si="6"/>
        <v>34.202857892664426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62.79873354764392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3.3603333333333336</v>
      </c>
      <c r="BD42" s="12">
        <f>IF('Données projet'!$A$88&gt;35,BD41+BC42-BL41,IF(A42&lt;'Données projet'!$A$88,$BA$205^A42,IF(A42='Données projet'!$A$88,'Données projet'!$B$88,BD41+BC42-BL41)))</f>
        <v>131.05299999999997</v>
      </c>
      <c r="BE42" s="13">
        <f>BD42*VLOOKUP('Données projet'!$B$11,Paramètres!$A$1:$I$89,3,0)*VLOOKUP('Données projet'!$B$11,Paramètres!$A$1:$I$89,5,0)</f>
        <v>132.88774199999997</v>
      </c>
      <c r="BF42" s="13">
        <f t="shared" si="37"/>
        <v>34.662776107749004</v>
      </c>
      <c r="BG42" s="20">
        <f t="shared" si="7"/>
        <v>291.81715237099615</v>
      </c>
      <c r="BH42" s="59">
        <f t="shared" si="8"/>
        <v>558.74584204569055</v>
      </c>
      <c r="BI42" s="59">
        <f ca="1">AVERAGE(OFFSET($BH$3,0,0,'Données projet'!$E$11+1,1))-AVERAGE(OFFSET($H$3,0,0,'Données projet'!$E$11+1,1))</f>
        <v>559.91818701710872</v>
      </c>
      <c r="BJ42" s="59">
        <f t="shared" si="38"/>
        <v>273.47272623465915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62.79873354764392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7.1428571428571432</v>
      </c>
      <c r="BY42" s="12">
        <f>IF('Données projet'!$A$114&gt;35,BY41+BX42-CG41,IF(A42&lt;'Données projet'!$A$114,$BV$205^A42,IF(A42='Données projet'!$A$114,'Données projet'!$B$114,BY41+BX42-CG41)))</f>
        <v>111.72161172161175</v>
      </c>
      <c r="BZ42" s="13">
        <f>BY42*VLOOKUP('Données projet'!$B$12,Paramètres!$A$1:$I$89,3,0)*VLOOKUP('Données projet'!$B$12,Paramètres!$A$1:$I$89,5,0)</f>
        <v>87.142857142857167</v>
      </c>
      <c r="CA42" s="13">
        <f t="shared" si="39"/>
        <v>23.874862491880062</v>
      </c>
      <c r="CB42" s="20">
        <f t="shared" si="10"/>
        <v>193.35586169716734</v>
      </c>
      <c r="CC42" s="59">
        <f t="shared" si="11"/>
        <v>460.28455137186165</v>
      </c>
      <c r="CD42" s="59">
        <f ca="1">AVERAGE(OFFSET($CC$3,0,0,'Données projet'!$E$12+1,1))-AVERAGE(OFFSET($H$3,0,0,'Données projet'!$E$12+1,1))</f>
        <v>208.92677786250815</v>
      </c>
      <c r="CE42" s="59">
        <f t="shared" si="40"/>
        <v>207.54290142772214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3.881680974115969</v>
      </c>
      <c r="CL42" s="21">
        <f>EXP(-LN(2)/25)*CL41+(1-EXP(-LN(2)/25))/(LN(2)/25)*Calculateur!CG42*Calculateur!CI42*VLOOKUP('Données projet'!$B$12,Paramètres!$A$1:$I$89,3,0)*0.475*44/12</f>
        <v>5.7714522657223926</v>
      </c>
      <c r="CM42" s="21">
        <f>EXP(-LN(2)/2)*CM41+(1-EXP(-LN(2)/2))/(LN(2)/2)*CG42*CJ42*VLOOKUP('Données projet'!$B$12,Paramètres!$A$1:$I$89,3,0)*0.475*44/12</f>
        <v>2.4173391447724026</v>
      </c>
      <c r="CN42" s="22">
        <f t="shared" si="12"/>
        <v>12.070472384610763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62.79873354764392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9.8128571428571423</v>
      </c>
      <c r="CT42" s="12">
        <f>IF('Données projet'!$A$140&gt;35,CT41+CS42-DB41,IF(A42&lt;'Données projet'!$A$140,$CQ$205^A42,IF(A42='Données projet'!$A$140,'Données projet'!$B$140,CT41+CS42-DB41)))</f>
        <v>90.872857142857157</v>
      </c>
      <c r="CU42" s="17">
        <f>CT42*VLOOKUP('Données projet'!$B$13,Paramètres!$A$1:$I$89,3,0)*VLOOKUP('Données projet'!$B$13,Paramètres!$A$1:$I$89,5,0)</f>
        <v>86.474610857142878</v>
      </c>
      <c r="CV42" s="13">
        <f t="shared" si="41"/>
        <v>23.713018835104659</v>
      </c>
      <c r="CW42" s="20">
        <f t="shared" si="13"/>
        <v>191.9101217139978</v>
      </c>
      <c r="CX42" s="59">
        <f t="shared" si="14"/>
        <v>458.83881138869214</v>
      </c>
      <c r="CY42" s="59">
        <f ca="1">AVERAGE(OFFSET($CX$3,0,0,'Données projet'!$E$13+1,1))-AVERAGE(OFFSET($H$3,0,0,'Données projet'!$E$13+1,1))</f>
        <v>470.42022791389275</v>
      </c>
      <c r="CZ42" s="59">
        <f t="shared" si="42"/>
        <v>300.26117330627346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7.8412710650555733</v>
      </c>
      <c r="DH42" s="21">
        <f>EXP(-LN(2)/2)*DH41+(1-EXP(-LN(2)/2))/(LN(2)/2)*DB42*DE42*VLOOKUP('Données projet'!$B$13,Paramètres!$A$1:$I$89,3,0)*0.475*44/12</f>
        <v>11.359644872272238</v>
      </c>
      <c r="DI42" s="22">
        <f t="shared" si="15"/>
        <v>19.20091593732781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62.79873354764392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3.3603333333333336</v>
      </c>
      <c r="DO42" s="12">
        <f>IF('Données projet'!$A$166&gt;35,DO41+DN42-DW41,IF(A42&lt;'Données projet'!$A$166,$DL$205^A42,IF(A42='Données projet'!$A$166,'Données projet'!$B$166,DO41+DN42-DW41)))</f>
        <v>131.05299999999997</v>
      </c>
      <c r="DP42" s="17">
        <f>DO42*VLOOKUP('Données projet'!$B$14,Paramètres!$A$1:$I$89,3,0)*VLOOKUP('Données projet'!$B$14,Paramètres!$A$1:$I$89,5,0)</f>
        <v>126.75446159999998</v>
      </c>
      <c r="DQ42" s="13">
        <f t="shared" si="43"/>
        <v>33.245310762607936</v>
      </c>
      <c r="DR42" s="20">
        <f t="shared" si="16"/>
        <v>278.66627019820879</v>
      </c>
      <c r="DS42" s="59">
        <f t="shared" si="17"/>
        <v>545.59495987290313</v>
      </c>
      <c r="DT42" s="59">
        <f ca="1">AVERAGE(OFFSET($DS$3,0,0,'Données projet'!$E$14+1,1))-AVERAGE(OFFSET($H$3,0,0,'Données projet'!$E$14+1,1))</f>
        <v>537.37164071064103</v>
      </c>
      <c r="DU42" s="59">
        <f t="shared" si="44"/>
        <v>263.29777321132235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0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62.79873354764392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62.79873354764392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62.79873354764392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62.79873354764392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45">
      <c r="A43" s="10">
        <f t="shared" si="31"/>
        <v>40</v>
      </c>
      <c r="B43" s="73">
        <f>'Scénario référence'!$B$16*5+'Scénario référence'!$B$17*0+'Scénario référence'!$B$18*5</f>
        <v>2.8499999999999996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10.449999999999998</v>
      </c>
      <c r="H43" s="67">
        <f t="shared" si="1"/>
        <v>214.86666666666667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62.923659420972413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13.956249999999997</v>
      </c>
      <c r="N43" s="13">
        <f>IF('Données projet'!$A$36&gt;35,N42+M43-V42,IF(A43&lt;'Données projet'!$A$36,$K$205^A43,IF(A43='Données projet'!$A$36,'Données projet'!$B$36,N42+M43-V42)))</f>
        <v>220.09750000000003</v>
      </c>
      <c r="O43" s="13">
        <f>N43*VLOOKUP('Données projet'!$B$9,Paramètres!$A$1:$I$89,3,0)*VLOOKUP('Données projet'!$B$9,Paramètres!$A$1:$I$89,5,0)</f>
        <v>199.14421800000002</v>
      </c>
      <c r="P43" s="13">
        <f t="shared" si="33"/>
        <v>49.55604583218453</v>
      </c>
      <c r="Q43" s="20">
        <f t="shared" si="53"/>
        <v>433.15295950772139</v>
      </c>
      <c r="R43" s="59">
        <f t="shared" si="0"/>
        <v>700.53971071795354</v>
      </c>
      <c r="S43" s="59">
        <f ca="1">AVERAGE(OFFSET($R$3,0,0,'Données projet'!$E$9+1,1))-AVERAGE(OFFSET($H$3,0,0,'Données projet'!$E$9+1,1))</f>
        <v>719.20816951277925</v>
      </c>
      <c r="T43" s="59">
        <f t="shared" si="34"/>
        <v>237.1127421841087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10.644540403800445</v>
      </c>
      <c r="AB43" s="21">
        <f>EXP(-LN(2)/2)*AB42+(1-EXP(-LN(2)/2))/(LN(2)/2)*V43*Y43*VLOOKUP('Données projet'!$B$9,Paramètres!$A$1:$I$89,3,0)*0.475*44/12</f>
        <v>0.7828457906911539</v>
      </c>
      <c r="AC43" s="22">
        <f t="shared" si="3"/>
        <v>11.427386194491598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62.923659420972413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13.987142857142857</v>
      </c>
      <c r="AI43" s="13">
        <f>IF('Données projet'!$A$62&gt;35,AI42+AH43-AQ42,IF(A43&lt;'Données projet'!$A$62,$AF$205^A43,IF(A43='Données projet'!$A$62,'Données projet'!$B$62,AI42+AH43-AQ42)))</f>
        <v>162.56142857142856</v>
      </c>
      <c r="AJ43" s="13">
        <f>AI43*VLOOKUP('Données projet'!$B$10,Paramètres!$A$1:$I$89,3,0)*VLOOKUP('Données projet'!$B$10,Paramètres!$A$1:$I$89,5,0)</f>
        <v>136.94174742857143</v>
      </c>
      <c r="AK43" s="13">
        <f t="shared" si="35"/>
        <v>35.595504732914314</v>
      </c>
      <c r="AL43" s="20">
        <f t="shared" si="4"/>
        <v>300.50238084792096</v>
      </c>
      <c r="AM43" s="59">
        <f t="shared" si="5"/>
        <v>567.88913205815311</v>
      </c>
      <c r="AN43" s="59">
        <f ca="1">AVERAGE(OFFSET($AM$3,0,0,'Données projet'!$E$10+1,1))-AVERAGE(OFFSET($H$3,0,0,'Données projet'!$E$10+1,1))</f>
        <v>442.79037205372367</v>
      </c>
      <c r="AO43" s="59">
        <f t="shared" si="36"/>
        <v>288.23553637727969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29.238897370304933</v>
      </c>
      <c r="AW43" s="21">
        <f>EXP(-LN(2)/2)*AW42+(1-EXP(-LN(2)/2))/(LN(2)/2)*AQ43*AT43*VLOOKUP('Données projet'!$B$10,Paramètres!$A$1:$I$89,3,0)*0.475*44/12</f>
        <v>2.9287961452766087</v>
      </c>
      <c r="AX43" s="21">
        <f t="shared" si="6"/>
        <v>32.16769351558154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62.923659420972413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3.3603333333333336</v>
      </c>
      <c r="BD43" s="12">
        <f>IF('Données projet'!$A$88&gt;35,BD42+BC43-BL42,IF(A43&lt;'Données projet'!$A$88,$BA$205^A43,IF(A43='Données projet'!$A$88,'Données projet'!$B$88,BD42+BC43-BL42)))</f>
        <v>134.4133333333333</v>
      </c>
      <c r="BE43" s="13">
        <f>BD43*VLOOKUP('Données projet'!$B$11,Paramètres!$A$1:$I$89,3,0)*VLOOKUP('Données projet'!$B$11,Paramètres!$A$1:$I$89,5,0)</f>
        <v>136.29511999999997</v>
      </c>
      <c r="BF43" s="13">
        <f t="shared" si="37"/>
        <v>35.44694925716302</v>
      </c>
      <c r="BG43" s="20">
        <f t="shared" si="7"/>
        <v>299.11743728955889</v>
      </c>
      <c r="BH43" s="59">
        <f t="shared" si="8"/>
        <v>566.5041884997911</v>
      </c>
      <c r="BI43" s="59">
        <f ca="1">AVERAGE(OFFSET($BH$3,0,0,'Données projet'!$E$11+1,1))-AVERAGE(OFFSET($H$3,0,0,'Données projet'!$E$11+1,1))</f>
        <v>559.91818701710872</v>
      </c>
      <c r="BJ43" s="59">
        <f t="shared" si="38"/>
        <v>273.47272623465915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62.923659420972413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7.1428571428571432</v>
      </c>
      <c r="BY43" s="12">
        <f>IF('Données projet'!$A$114&gt;35,BY42+BX43-CG42,IF(A43&lt;'Données projet'!$A$114,$BV$205^A43,IF(A43='Données projet'!$A$114,'Données projet'!$B$114,BY42+BX43-CG42)))</f>
        <v>118.86446886446889</v>
      </c>
      <c r="BZ43" s="13">
        <f>BY43*VLOOKUP('Données projet'!$B$12,Paramètres!$A$1:$I$89,3,0)*VLOOKUP('Données projet'!$B$12,Paramètres!$A$1:$I$89,5,0)</f>
        <v>92.714285714285737</v>
      </c>
      <c r="CA43" s="13">
        <f t="shared" si="39"/>
        <v>25.218709027237011</v>
      </c>
      <c r="CB43" s="20">
        <f t="shared" si="10"/>
        <v>205.39996584148545</v>
      </c>
      <c r="CC43" s="59">
        <f t="shared" si="11"/>
        <v>472.78671705171757</v>
      </c>
      <c r="CD43" s="59">
        <f ca="1">AVERAGE(OFFSET($CC$3,0,0,'Données projet'!$E$12+1,1))-AVERAGE(OFFSET($H$3,0,0,'Données projet'!$E$12+1,1))</f>
        <v>208.92677786250815</v>
      </c>
      <c r="CE43" s="59">
        <f t="shared" si="40"/>
        <v>207.54290142772214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3.8055635778051689</v>
      </c>
      <c r="CL43" s="21">
        <f>EXP(-LN(2)/25)*CL42+(1-EXP(-LN(2)/25))/(LN(2)/25)*Calculateur!CG43*Calculateur!CI43*VLOOKUP('Données projet'!$B$12,Paramètres!$A$1:$I$89,3,0)*0.475*44/12</f>
        <v>5.6136316000087296</v>
      </c>
      <c r="CM43" s="21">
        <f>EXP(-LN(2)/2)*CM42+(1-EXP(-LN(2)/2))/(LN(2)/2)*CG43*CJ43*VLOOKUP('Données projet'!$B$12,Paramètres!$A$1:$I$89,3,0)*0.475*44/12</f>
        <v>1.7093169016962553</v>
      </c>
      <c r="CN43" s="22">
        <f t="shared" si="12"/>
        <v>11.128512079510154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62.923659420972413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9.8128571428571423</v>
      </c>
      <c r="CT43" s="12">
        <f>IF('Données projet'!$A$140&gt;35,CT42+CS43-DB42,IF(A43&lt;'Données projet'!$A$140,$CQ$205^A43,IF(A43='Données projet'!$A$140,'Données projet'!$B$140,CT42+CS43-DB42)))</f>
        <v>100.6857142857143</v>
      </c>
      <c r="CU43" s="17">
        <f>CT43*VLOOKUP('Données projet'!$B$13,Paramètres!$A$1:$I$89,3,0)*VLOOKUP('Données projet'!$B$13,Paramètres!$A$1:$I$89,5,0)</f>
        <v>95.812525714285727</v>
      </c>
      <c r="CV43" s="13">
        <f t="shared" si="41"/>
        <v>25.961919514574856</v>
      </c>
      <c r="CW43" s="20">
        <f t="shared" si="13"/>
        <v>212.09049210693217</v>
      </c>
      <c r="CX43" s="59">
        <f t="shared" si="14"/>
        <v>479.47724331716432</v>
      </c>
      <c r="CY43" s="59">
        <f ca="1">AVERAGE(OFFSET($CX$3,0,0,'Données projet'!$E$13+1,1))-AVERAGE(OFFSET($H$3,0,0,'Données projet'!$E$13+1,1))</f>
        <v>470.42022791389275</v>
      </c>
      <c r="CZ43" s="59">
        <f t="shared" si="42"/>
        <v>300.26117330627346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7.6268510954271047</v>
      </c>
      <c r="DH43" s="21">
        <f>EXP(-LN(2)/2)*DH42+(1-EXP(-LN(2)/2))/(LN(2)/2)*DB43*DE43*VLOOKUP('Données projet'!$B$13,Paramètres!$A$1:$I$89,3,0)*0.475*44/12</f>
        <v>8.0324819210546927</v>
      </c>
      <c r="DI43" s="22">
        <f t="shared" si="15"/>
        <v>15.659333016481797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62.923659420972413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3.3603333333333336</v>
      </c>
      <c r="DO43" s="12">
        <f>IF('Données projet'!$A$166&gt;35,DO42+DN43-DW42,IF(A43&lt;'Données projet'!$A$166,$DL$205^A43,IF(A43='Données projet'!$A$166,'Données projet'!$B$166,DO42+DN43-DW42)))</f>
        <v>134.4133333333333</v>
      </c>
      <c r="DP43" s="17">
        <f>DO43*VLOOKUP('Données projet'!$B$14,Paramètres!$A$1:$I$89,3,0)*VLOOKUP('Données projet'!$B$14,Paramètres!$A$1:$I$89,5,0)</f>
        <v>130.00457599999996</v>
      </c>
      <c r="DQ43" s="13">
        <f t="shared" si="43"/>
        <v>33.997416709428933</v>
      </c>
      <c r="DR43" s="20">
        <f t="shared" si="16"/>
        <v>285.63680396892198</v>
      </c>
      <c r="DS43" s="59">
        <f t="shared" si="17"/>
        <v>553.02355517915407</v>
      </c>
      <c r="DT43" s="59">
        <f ca="1">AVERAGE(OFFSET($DS$3,0,0,'Données projet'!$E$14+1,1))-AVERAGE(OFFSET($H$3,0,0,'Données projet'!$E$14+1,1))</f>
        <v>537.37164071064103</v>
      </c>
      <c r="DU43" s="59">
        <f t="shared" si="44"/>
        <v>263.29777321132235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0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0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62.923659420972413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62.923659420972413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62.923659420972413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62.923659420972413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45">
      <c r="A44" s="10">
        <f t="shared" si="31"/>
        <v>41</v>
      </c>
      <c r="B44" s="73">
        <f>'Scénario référence'!$B$16*5+'Scénario référence'!$B$17*0+'Scénario référence'!$B$18*5</f>
        <v>2.8499999999999996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10.449999999999998</v>
      </c>
      <c r="H44" s="67">
        <f t="shared" si="1"/>
        <v>214.86666666666667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63.046418109691061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13.956249999999997</v>
      </c>
      <c r="N44" s="13">
        <f>IF('Données projet'!$A$36&gt;35,N43+M44-V43,IF(A44&lt;'Données projet'!$A$36,$K$205^A44,IF(A44='Données projet'!$A$36,'Données projet'!$B$36,N43+M44-V43)))</f>
        <v>234.05375000000004</v>
      </c>
      <c r="O44" s="13">
        <f>N44*VLOOKUP('Données projet'!$B$9,Paramètres!$A$1:$I$89,3,0)*VLOOKUP('Données projet'!$B$9,Paramètres!$A$1:$I$89,5,0)</f>
        <v>211.77183300000004</v>
      </c>
      <c r="P44" s="13">
        <f t="shared" si="33"/>
        <v>52.322586251762758</v>
      </c>
      <c r="Q44" s="20">
        <f t="shared" si="53"/>
        <v>459.9644468634869</v>
      </c>
      <c r="R44" s="59">
        <f t="shared" si="0"/>
        <v>727.80131326568744</v>
      </c>
      <c r="S44" s="59">
        <f ca="1">AVERAGE(OFFSET($R$3,0,0,'Données projet'!$E$9+1,1))-AVERAGE(OFFSET($H$3,0,0,'Données projet'!$E$9+1,1))</f>
        <v>719.20816951277925</v>
      </c>
      <c r="T44" s="59">
        <f t="shared" si="34"/>
        <v>237.1127421841087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10.353464886686471</v>
      </c>
      <c r="AB44" s="21">
        <f>EXP(-LN(2)/2)*AB43+(1-EXP(-LN(2)/2))/(LN(2)/2)*V44*Y44*VLOOKUP('Données projet'!$B$9,Paramètres!$A$1:$I$89,3,0)*0.475*44/12</f>
        <v>0.55355556722105959</v>
      </c>
      <c r="AC44" s="22">
        <f t="shared" si="3"/>
        <v>10.90702045390753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63.046418109691061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13.987142857142857</v>
      </c>
      <c r="AI44" s="13">
        <f>IF('Données projet'!$A$62&gt;35,AI43+AH44-AQ43,IF(A44&lt;'Données projet'!$A$62,$AF$205^A44,IF(A44='Données projet'!$A$62,'Données projet'!$B$62,AI43+AH44-AQ43)))</f>
        <v>176.54857142857142</v>
      </c>
      <c r="AJ44" s="13">
        <f>AI44*VLOOKUP('Données projet'!$B$10,Paramètres!$A$1:$I$89,3,0)*VLOOKUP('Données projet'!$B$10,Paramètres!$A$1:$I$89,5,0)</f>
        <v>148.72451657142858</v>
      </c>
      <c r="AK44" s="13">
        <f t="shared" si="35"/>
        <v>38.288583531630934</v>
      </c>
      <c r="AL44" s="20">
        <f t="shared" si="4"/>
        <v>325.71448267949529</v>
      </c>
      <c r="AM44" s="59">
        <f t="shared" si="5"/>
        <v>593.55134908169589</v>
      </c>
      <c r="AN44" s="59">
        <f ca="1">AVERAGE(OFFSET($AM$3,0,0,'Données projet'!$E$10+1,1))-AVERAGE(OFFSET($H$3,0,0,'Données projet'!$E$10+1,1))</f>
        <v>442.79037205372367</v>
      </c>
      <c r="AO44" s="59">
        <f t="shared" si="36"/>
        <v>288.23553637727969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28.43935818410716</v>
      </c>
      <c r="AW44" s="21">
        <f>EXP(-LN(2)/2)*AW43+(1-EXP(-LN(2)/2))/(LN(2)/2)*AQ44*AT44*VLOOKUP('Données projet'!$B$10,Paramètres!$A$1:$I$89,3,0)*0.475*44/12</f>
        <v>2.0709716150381108</v>
      </c>
      <c r="AX44" s="21">
        <f t="shared" si="6"/>
        <v>30.510329799145271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63.046418109691061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3.3603333333333336</v>
      </c>
      <c r="BD44" s="12">
        <f>IF('Données projet'!$A$88&gt;35,BD43+BC44-BL43,IF(A44&lt;'Données projet'!$A$88,$BA$205^A44,IF(A44='Données projet'!$A$88,'Données projet'!$B$88,BD43+BC44-BL43)))</f>
        <v>137.77366666666663</v>
      </c>
      <c r="BE44" s="13">
        <f>BD44*VLOOKUP('Données projet'!$B$11,Paramètres!$A$1:$I$89,3,0)*VLOOKUP('Données projet'!$B$11,Paramètres!$A$1:$I$89,5,0)</f>
        <v>139.70249799999996</v>
      </c>
      <c r="BF44" s="13">
        <f t="shared" si="37"/>
        <v>36.228843528850774</v>
      </c>
      <c r="BG44" s="20">
        <f t="shared" si="7"/>
        <v>306.41375316274832</v>
      </c>
      <c r="BH44" s="59">
        <f t="shared" si="8"/>
        <v>574.25061956494892</v>
      </c>
      <c r="BI44" s="59">
        <f ca="1">AVERAGE(OFFSET($BH$3,0,0,'Données projet'!$E$11+1,1))-AVERAGE(OFFSET($H$3,0,0,'Données projet'!$E$11+1,1))</f>
        <v>559.91818701710872</v>
      </c>
      <c r="BJ44" s="59">
        <f t="shared" si="38"/>
        <v>273.47272623465915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63.046418109691061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7.1428571428571432</v>
      </c>
      <c r="BY44" s="12">
        <f>IF('Données projet'!$A$114&gt;35,BY43+BX44-CG43,IF(A44&lt;'Données projet'!$A$114,$BV$205^A44,IF(A44='Données projet'!$A$114,'Données projet'!$B$114,BY43+BX44-CG43)))</f>
        <v>126.00732600732603</v>
      </c>
      <c r="BZ44" s="13">
        <f>BY44*VLOOKUP('Données projet'!$B$12,Paramètres!$A$1:$I$89,3,0)*VLOOKUP('Données projet'!$B$12,Paramètres!$A$1:$I$89,5,0)</f>
        <v>98.285714285714306</v>
      </c>
      <c r="CA44" s="13">
        <f t="shared" si="39"/>
        <v>26.553182521641848</v>
      </c>
      <c r="CB44" s="20">
        <f t="shared" si="10"/>
        <v>217.42774527281196</v>
      </c>
      <c r="CC44" s="59">
        <f t="shared" si="11"/>
        <v>485.26461167501247</v>
      </c>
      <c r="CD44" s="59">
        <f ca="1">AVERAGE(OFFSET($CC$3,0,0,'Données projet'!$E$12+1,1))-AVERAGE(OFFSET($H$3,0,0,'Données projet'!$E$12+1,1))</f>
        <v>208.92677786250815</v>
      </c>
      <c r="CE44" s="59">
        <f t="shared" si="40"/>
        <v>207.54290142772214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3.7309387972089958</v>
      </c>
      <c r="CL44" s="21">
        <f>EXP(-LN(2)/25)*CL43+(1-EXP(-LN(2)/25))/(LN(2)/25)*Calculateur!CG44*Calculateur!CI44*VLOOKUP('Données projet'!$B$12,Paramètres!$A$1:$I$89,3,0)*0.475*44/12</f>
        <v>5.4601265486984349</v>
      </c>
      <c r="CM44" s="21">
        <f>EXP(-LN(2)/2)*CM43+(1-EXP(-LN(2)/2))/(LN(2)/2)*CG44*CJ44*VLOOKUP('Données projet'!$B$12,Paramètres!$A$1:$I$89,3,0)*0.475*44/12</f>
        <v>1.2086695723862013</v>
      </c>
      <c r="CN44" s="22">
        <f t="shared" si="12"/>
        <v>10.399734918293632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63.046418109691061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9.8128571428571423</v>
      </c>
      <c r="CT44" s="12">
        <f>IF('Données projet'!$A$140&gt;35,CT43+CS44-DB43,IF(A44&lt;'Données projet'!$A$140,$CQ$205^A44,IF(A44='Données projet'!$A$140,'Données projet'!$B$140,CT43+CS44-DB43)))</f>
        <v>110.49857142857144</v>
      </c>
      <c r="CU44" s="17">
        <f>CT44*VLOOKUP('Données projet'!$B$13,Paramètres!$A$1:$I$89,3,0)*VLOOKUP('Données projet'!$B$13,Paramètres!$A$1:$I$89,5,0)</f>
        <v>105.15044057142858</v>
      </c>
      <c r="CV44" s="13">
        <f t="shared" si="41"/>
        <v>28.185409559827399</v>
      </c>
      <c r="CW44" s="20">
        <f t="shared" si="13"/>
        <v>232.22660564527078</v>
      </c>
      <c r="CX44" s="59">
        <f t="shared" si="14"/>
        <v>500.06347204747135</v>
      </c>
      <c r="CY44" s="59">
        <f ca="1">AVERAGE(OFFSET($CX$3,0,0,'Données projet'!$E$13+1,1))-AVERAGE(OFFSET($H$3,0,0,'Données projet'!$E$13+1,1))</f>
        <v>470.42022791389275</v>
      </c>
      <c r="CZ44" s="59">
        <f t="shared" si="42"/>
        <v>300.26117330627346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7.418294451143983</v>
      </c>
      <c r="DH44" s="21">
        <f>EXP(-LN(2)/2)*DH43+(1-EXP(-LN(2)/2))/(LN(2)/2)*DB44*DE44*VLOOKUP('Données projet'!$B$13,Paramètres!$A$1:$I$89,3,0)*0.475*44/12</f>
        <v>5.6798224361361198</v>
      </c>
      <c r="DI44" s="22">
        <f t="shared" si="15"/>
        <v>13.098116887280103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63.046418109691061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3.3603333333333336</v>
      </c>
      <c r="DO44" s="12">
        <f>IF('Données projet'!$A$166&gt;35,DO43+DN44-DW43,IF(A44&lt;'Données projet'!$A$166,$DL$205^A44,IF(A44='Données projet'!$A$166,'Données projet'!$B$166,DO43+DN44-DW43)))</f>
        <v>137.77366666666663</v>
      </c>
      <c r="DP44" s="17">
        <f>DO44*VLOOKUP('Données projet'!$B$14,Paramètres!$A$1:$I$89,3,0)*VLOOKUP('Données projet'!$B$14,Paramètres!$A$1:$I$89,5,0)</f>
        <v>133.25469039999996</v>
      </c>
      <c r="DQ44" s="13">
        <f t="shared" si="43"/>
        <v>34.747336968699585</v>
      </c>
      <c r="DR44" s="20">
        <f t="shared" si="16"/>
        <v>292.60353100048502</v>
      </c>
      <c r="DS44" s="59">
        <f t="shared" si="17"/>
        <v>560.44039740268556</v>
      </c>
      <c r="DT44" s="59">
        <f ca="1">AVERAGE(OFFSET($DS$3,0,0,'Données projet'!$E$14+1,1))-AVERAGE(OFFSET($H$3,0,0,'Données projet'!$E$14+1,1))</f>
        <v>537.37164071064103</v>
      </c>
      <c r="DU44" s="59">
        <f t="shared" si="44"/>
        <v>263.29777321132235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0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0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63.046418109691061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63.046418109691061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63.046418109691061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63.046418109691061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45">
      <c r="A45" s="10">
        <f t="shared" si="31"/>
        <v>42</v>
      </c>
      <c r="B45" s="73">
        <f>'Scénario référence'!$B$16*5+'Scénario référence'!$B$17*0+'Scénario référence'!$B$18*5</f>
        <v>2.8499999999999996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10.449999999999998</v>
      </c>
      <c r="H45" s="67">
        <f t="shared" si="1"/>
        <v>214.86666666666667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63.167047209607759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248.01</v>
      </c>
      <c r="L45" s="12">
        <f>VLOOKUP(A45,'Données projet'!$A$35:$I$55,9,0)</f>
        <v>13.956249999999997</v>
      </c>
      <c r="M45" s="12">
        <f t="array" ref="M45">INDEX(L:L,MIN(IF(ISNUMBER(L45:L241),ROW(L45:L241),"")))</f>
        <v>13.956249999999997</v>
      </c>
      <c r="N45" s="13">
        <f>IF('Données projet'!$A$36&gt;35,N44+M45-V44,IF(A45&lt;'Données projet'!$A$36,$K$205^A45,IF(A45='Données projet'!$A$36,'Données projet'!$B$36,N44+M45-V44)))</f>
        <v>248.01000000000005</v>
      </c>
      <c r="O45" s="13">
        <f>N45*VLOOKUP('Données projet'!$B$9,Paramètres!$A$1:$I$89,3,0)*VLOOKUP('Données projet'!$B$9,Paramètres!$A$1:$I$89,5,0)</f>
        <v>224.39944800000004</v>
      </c>
      <c r="P45" s="13">
        <f t="shared" si="33"/>
        <v>55.06997932657665</v>
      </c>
      <c r="Q45" s="20">
        <f t="shared" si="53"/>
        <v>486.74258592712107</v>
      </c>
      <c r="R45" s="59">
        <f t="shared" si="0"/>
        <v>755.02175902901615</v>
      </c>
      <c r="S45" s="59">
        <f ca="1">AVERAGE(OFFSET($R$3,0,0,'Données projet'!$E$9+1,1))-AVERAGE(OFFSET($H$3,0,0,'Données projet'!$E$9+1,1))</f>
        <v>719.20816951277925</v>
      </c>
      <c r="T45" s="59">
        <f t="shared" si="34"/>
        <v>237.1127421841087</v>
      </c>
      <c r="U45" s="15">
        <f>IF(ISNA(VLOOKUP(A45,'Données projet'!$A$35:$I$55,3,0)),0,VLOOKUP(A45,'Données projet'!$A$35:$I$55,3,0))</f>
        <v>2</v>
      </c>
      <c r="V45" s="15">
        <f>IF(ISNA(VLOOKUP(A45,'Données projet'!$A$35:$I$55,4,0)),0,VLOOKUP(A45,'Données projet'!$A$35:$I$55,4,0))</f>
        <v>58.099999999999994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0.34400000000000003</v>
      </c>
      <c r="Y45" s="16">
        <f>IF(ISNA(VLOOKUP(A45,'Données projet'!$A$35:$I$55,7,0)),0%,VLOOKUP(A45,'Données projet'!$A$35:$I$55,7,0))</f>
        <v>0.2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29.982625570044064</v>
      </c>
      <c r="AB45" s="21">
        <f>EXP(-LN(2)/2)*AB44+(1-EXP(-LN(2)/2))/(LN(2)/2)*V45*Y45*VLOOKUP('Données projet'!$B$9,Paramètres!$A$1:$I$89,3,0)*0.475*44/12</f>
        <v>10.311453525477758</v>
      </c>
      <c r="AC45" s="22">
        <f t="shared" si="3"/>
        <v>40.294079095521823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63.167047209607759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13.987142857142857</v>
      </c>
      <c r="AI45" s="13">
        <f>IF('Données projet'!$A$62&gt;35,AI44+AH45-AQ44,IF(A45&lt;'Données projet'!$A$62,$AF$205^A45,IF(A45='Données projet'!$A$62,'Données projet'!$B$62,AI44+AH45-AQ44)))</f>
        <v>190.53571428571428</v>
      </c>
      <c r="AJ45" s="13">
        <f>AI45*VLOOKUP('Données projet'!$B$10,Paramètres!$A$1:$I$89,3,0)*VLOOKUP('Données projet'!$B$10,Paramètres!$A$1:$I$89,5,0)</f>
        <v>160.50728571428573</v>
      </c>
      <c r="AK45" s="13">
        <f t="shared" si="35"/>
        <v>40.956914027108454</v>
      </c>
      <c r="AL45" s="20">
        <f t="shared" si="4"/>
        <v>350.88348121626149</v>
      </c>
      <c r="AM45" s="59">
        <f t="shared" si="5"/>
        <v>619.16265431815657</v>
      </c>
      <c r="AN45" s="59">
        <f ca="1">AVERAGE(OFFSET($AM$3,0,0,'Données projet'!$E$10+1,1))-AVERAGE(OFFSET($H$3,0,0,'Données projet'!$E$10+1,1))</f>
        <v>442.79037205372367</v>
      </c>
      <c r="AO45" s="59">
        <f t="shared" si="36"/>
        <v>288.23553637727969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27.6616824390019</v>
      </c>
      <c r="AW45" s="21">
        <f>EXP(-LN(2)/2)*AW44+(1-EXP(-LN(2)/2))/(LN(2)/2)*AQ45*AT45*VLOOKUP('Données projet'!$B$10,Paramètres!$A$1:$I$89,3,0)*0.475*44/12</f>
        <v>1.4643980726383043</v>
      </c>
      <c r="AX45" s="21">
        <f t="shared" si="6"/>
        <v>29.126080511640204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63.167047209607759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3.3603333333333336</v>
      </c>
      <c r="BD45" s="12">
        <f>IF('Données projet'!$A$88&gt;35,BD44+BC45-BL44,IF(A45&lt;'Données projet'!$A$88,$BA$205^A45,IF(A45='Données projet'!$A$88,'Données projet'!$B$88,BD44+BC45-BL44)))</f>
        <v>141.13399999999996</v>
      </c>
      <c r="BE45" s="13">
        <f>BD45*VLOOKUP('Données projet'!$B$11,Paramètres!$A$1:$I$89,3,0)*VLOOKUP('Données projet'!$B$11,Paramètres!$A$1:$I$89,5,0)</f>
        <v>143.10987599999996</v>
      </c>
      <c r="BF45" s="13">
        <f t="shared" si="37"/>
        <v>37.008520899412304</v>
      </c>
      <c r="BG45" s="20">
        <f t="shared" si="7"/>
        <v>313.70620793314299</v>
      </c>
      <c r="BH45" s="59">
        <f t="shared" si="8"/>
        <v>581.98538103503802</v>
      </c>
      <c r="BI45" s="59">
        <f ca="1">AVERAGE(OFFSET($BH$3,0,0,'Données projet'!$E$11+1,1))-AVERAGE(OFFSET($H$3,0,0,'Données projet'!$E$11+1,1))</f>
        <v>559.91818701710872</v>
      </c>
      <c r="BJ45" s="59">
        <f t="shared" si="38"/>
        <v>273.47272623465915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0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63.167047209607759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7.1428571428571432</v>
      </c>
      <c r="BY45" s="12">
        <f>IF('Données projet'!$A$114&gt;35,BY44+BX45-CG44,IF(A45&lt;'Données projet'!$A$114,$BV$205^A45,IF(A45='Données projet'!$A$114,'Données projet'!$B$114,BY44+BX45-CG44)))</f>
        <v>133.15018315018318</v>
      </c>
      <c r="BZ45" s="13">
        <f>BY45*VLOOKUP('Données projet'!$B$12,Paramètres!$A$1:$I$89,3,0)*VLOOKUP('Données projet'!$B$12,Paramètres!$A$1:$I$89,5,0)</f>
        <v>103.85714285714289</v>
      </c>
      <c r="CA45" s="13">
        <f t="shared" si="39"/>
        <v>27.878874840299215</v>
      </c>
      <c r="CB45" s="20">
        <f t="shared" si="10"/>
        <v>229.44023082304497</v>
      </c>
      <c r="CC45" s="59">
        <f t="shared" si="11"/>
        <v>497.71940392494002</v>
      </c>
      <c r="CD45" s="59">
        <f ca="1">AVERAGE(OFFSET($CC$3,0,0,'Données projet'!$E$12+1,1))-AVERAGE(OFFSET($H$3,0,0,'Données projet'!$E$12+1,1))</f>
        <v>208.92677786250815</v>
      </c>
      <c r="CE45" s="59">
        <f t="shared" si="40"/>
        <v>207.54290142772214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3.6577773630436923</v>
      </c>
      <c r="CL45" s="21">
        <f>EXP(-LN(2)/25)*CL44+(1-EXP(-LN(2)/25))/(LN(2)/25)*Calculateur!CG45*Calculateur!CI45*VLOOKUP('Données projet'!$B$12,Paramètres!$A$1:$I$89,3,0)*0.475*44/12</f>
        <v>5.3108191010887005</v>
      </c>
      <c r="CM45" s="21">
        <f>EXP(-LN(2)/2)*CM44+(1-EXP(-LN(2)/2))/(LN(2)/2)*CG45*CJ45*VLOOKUP('Données projet'!$B$12,Paramètres!$A$1:$I$89,3,0)*0.475*44/12</f>
        <v>0.85465845084812764</v>
      </c>
      <c r="CN45" s="22">
        <f t="shared" si="12"/>
        <v>9.8232549149805202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63.167047209607759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9.8128571428571423</v>
      </c>
      <c r="CT45" s="12">
        <f>IF('Données projet'!$A$140&gt;35,CT44+CS45-DB44,IF(A45&lt;'Données projet'!$A$140,$CQ$205^A45,IF(A45='Données projet'!$A$140,'Données projet'!$B$140,CT44+CS45-DB44)))</f>
        <v>120.31142857142858</v>
      </c>
      <c r="CU45" s="17">
        <f>CT45*VLOOKUP('Données projet'!$B$13,Paramètres!$A$1:$I$89,3,0)*VLOOKUP('Données projet'!$B$13,Paramètres!$A$1:$I$89,5,0)</f>
        <v>114.48835542857144</v>
      </c>
      <c r="CV45" s="13">
        <f t="shared" si="41"/>
        <v>30.386002172379861</v>
      </c>
      <c r="CW45" s="20">
        <f t="shared" si="13"/>
        <v>252.32283948832352</v>
      </c>
      <c r="CX45" s="59">
        <f t="shared" si="14"/>
        <v>520.60201259021858</v>
      </c>
      <c r="CY45" s="59">
        <f ca="1">AVERAGE(OFFSET($CX$3,0,0,'Données projet'!$E$13+1,1))-AVERAGE(OFFSET($H$3,0,0,'Données projet'!$E$13+1,1))</f>
        <v>470.42022791389275</v>
      </c>
      <c r="CZ45" s="59">
        <f t="shared" si="42"/>
        <v>300.26117330627346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7.2154407992663003</v>
      </c>
      <c r="DH45" s="21">
        <f>EXP(-LN(2)/2)*DH44+(1-EXP(-LN(2)/2))/(LN(2)/2)*DB45*DE45*VLOOKUP('Données projet'!$B$13,Paramètres!$A$1:$I$89,3,0)*0.475*44/12</f>
        <v>4.0162409605273472</v>
      </c>
      <c r="DI45" s="22">
        <f t="shared" si="15"/>
        <v>11.231681759793648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63.167047209607759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3.3603333333333336</v>
      </c>
      <c r="DO45" s="12">
        <f>IF('Données projet'!$A$166&gt;35,DO44+DN45-DW44,IF(A45&lt;'Données projet'!$A$166,$DL$205^A45,IF(A45='Données projet'!$A$166,'Données projet'!$B$166,DO44+DN45-DW44)))</f>
        <v>141.13399999999996</v>
      </c>
      <c r="DP45" s="17">
        <f>DO45*VLOOKUP('Données projet'!$B$14,Paramètres!$A$1:$I$89,3,0)*VLOOKUP('Données projet'!$B$14,Paramètres!$A$1:$I$89,5,0)</f>
        <v>136.50480479999996</v>
      </c>
      <c r="DQ45" s="13">
        <f t="shared" si="43"/>
        <v>35.49513098260995</v>
      </c>
      <c r="DR45" s="20">
        <f t="shared" si="16"/>
        <v>299.56655482137893</v>
      </c>
      <c r="DS45" s="59">
        <f t="shared" si="17"/>
        <v>567.84572792327401</v>
      </c>
      <c r="DT45" s="59">
        <f ca="1">AVERAGE(OFFSET($DS$3,0,0,'Données projet'!$E$14+1,1))-AVERAGE(OFFSET($H$3,0,0,'Données projet'!$E$14+1,1))</f>
        <v>537.37164071064103</v>
      </c>
      <c r="DU45" s="59">
        <f t="shared" si="44"/>
        <v>263.29777321132235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0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0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63.167047209607759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63.167047209607759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63.167047209607759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63.167047209607759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45">
      <c r="A46" s="10">
        <f t="shared" si="31"/>
        <v>43</v>
      </c>
      <c r="B46" s="73">
        <f>'Scénario référence'!$B$16*5+'Scénario référence'!$B$17*0+'Scénario référence'!$B$18*5</f>
        <v>2.8499999999999996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10.449999999999998</v>
      </c>
      <c r="H46" s="67">
        <f t="shared" si="1"/>
        <v>214.86666666666667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63.285583664327163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14.351250000000004</v>
      </c>
      <c r="N46" s="13">
        <f>IF('Données projet'!$A$36&gt;35,N45+M46-V45,IF(A46&lt;'Données projet'!$A$36,$K$205^A46,IF(A46='Données projet'!$A$36,'Données projet'!$B$36,N45+M46-V45)))</f>
        <v>204.26125000000005</v>
      </c>
      <c r="O46" s="13">
        <f>N46*VLOOKUP('Données projet'!$B$9,Paramètres!$A$1:$I$89,3,0)*VLOOKUP('Données projet'!$B$9,Paramètres!$A$1:$I$89,5,0)</f>
        <v>184.81557900000004</v>
      </c>
      <c r="P46" s="13">
        <f t="shared" si="33"/>
        <v>46.391911974203119</v>
      </c>
      <c r="Q46" s="20">
        <f t="shared" si="53"/>
        <v>402.6863801134038</v>
      </c>
      <c r="R46" s="59">
        <f t="shared" si="0"/>
        <v>671.40018688260341</v>
      </c>
      <c r="S46" s="59">
        <f ca="1">AVERAGE(OFFSET($R$3,0,0,'Données projet'!$E$9+1,1))-AVERAGE(OFFSET($H$3,0,0,'Données projet'!$E$9+1,1))</f>
        <v>719.20816951277925</v>
      </c>
      <c r="T46" s="59">
        <f t="shared" si="34"/>
        <v>237.1127421841087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29.162749097113455</v>
      </c>
      <c r="AB46" s="21">
        <f>EXP(-LN(2)/2)*AB45+(1-EXP(-LN(2)/2))/(LN(2)/2)*V46*Y46*VLOOKUP('Données projet'!$B$9,Paramètres!$A$1:$I$89,3,0)*0.475*44/12</f>
        <v>7.291298711755255</v>
      </c>
      <c r="AC46" s="22">
        <f t="shared" si="3"/>
        <v>36.454047808868708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63.285583664327163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13.987142857142857</v>
      </c>
      <c r="AI46" s="13">
        <f>IF('Données projet'!$A$62&gt;35,AI45+AH46-AQ45,IF(A46&lt;'Données projet'!$A$62,$AF$205^A46,IF(A46='Données projet'!$A$62,'Données projet'!$B$62,AI45+AH46-AQ45)))</f>
        <v>204.52285714285713</v>
      </c>
      <c r="AJ46" s="13">
        <f>AI46*VLOOKUP('Données projet'!$B$10,Paramètres!$A$1:$I$89,3,0)*VLOOKUP('Données projet'!$B$10,Paramètres!$A$1:$I$89,5,0)</f>
        <v>172.29005485714288</v>
      </c>
      <c r="AK46" s="13">
        <f t="shared" si="35"/>
        <v>43.602519580548581</v>
      </c>
      <c r="AL46" s="20">
        <f t="shared" si="4"/>
        <v>376.01290047897925</v>
      </c>
      <c r="AM46" s="59">
        <f t="shared" si="5"/>
        <v>644.72670724817885</v>
      </c>
      <c r="AN46" s="59">
        <f ca="1">AVERAGE(OFFSET($AM$3,0,0,'Données projet'!$E$10+1,1))-AVERAGE(OFFSET($H$3,0,0,'Données projet'!$E$10+1,1))</f>
        <v>442.79037205372367</v>
      </c>
      <c r="AO46" s="59">
        <f t="shared" si="36"/>
        <v>288.23553637727969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26.905272278042737</v>
      </c>
      <c r="AW46" s="21">
        <f>EXP(-LN(2)/2)*AW45+(1-EXP(-LN(2)/2))/(LN(2)/2)*AQ46*AT46*VLOOKUP('Données projet'!$B$10,Paramètres!$A$1:$I$89,3,0)*0.475*44/12</f>
        <v>1.0354858075190554</v>
      </c>
      <c r="AX46" s="21">
        <f t="shared" si="6"/>
        <v>27.940758085561793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63.285583664327163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3.3603333333333336</v>
      </c>
      <c r="BD46" s="12">
        <f>IF('Données projet'!$A$88&gt;35,BD45+BC46-BL45,IF(A46&lt;'Données projet'!$A$88,$BA$205^A46,IF(A46='Données projet'!$A$88,'Données projet'!$B$88,BD45+BC46-BL45)))</f>
        <v>144.49433333333329</v>
      </c>
      <c r="BE46" s="13">
        <f>BD46*VLOOKUP('Données projet'!$B$11,Paramètres!$A$1:$I$89,3,0)*VLOOKUP('Données projet'!$B$11,Paramètres!$A$1:$I$89,5,0)</f>
        <v>146.51725399999995</v>
      </c>
      <c r="BF46" s="13">
        <f t="shared" si="37"/>
        <v>37.786040225853256</v>
      </c>
      <c r="BG46" s="20">
        <f t="shared" si="7"/>
        <v>320.99490411002768</v>
      </c>
      <c r="BH46" s="59">
        <f t="shared" si="8"/>
        <v>589.70871087922728</v>
      </c>
      <c r="BI46" s="59">
        <f ca="1">AVERAGE(OFFSET($BH$3,0,0,'Données projet'!$E$11+1,1))-AVERAGE(OFFSET($H$3,0,0,'Données projet'!$E$11+1,1))</f>
        <v>559.91818701710872</v>
      </c>
      <c r="BJ46" s="59">
        <f t="shared" si="38"/>
        <v>273.47272623465915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0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63.285583664327163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7.1428571428571432</v>
      </c>
      <c r="BY46" s="12">
        <f>IF('Données projet'!$A$114&gt;35,BY45+BX46-CG45,IF(A46&lt;'Données projet'!$A$114,$BV$205^A46,IF(A46='Données projet'!$A$114,'Données projet'!$B$114,BY45+BX46-CG45)))</f>
        <v>140.29304029304032</v>
      </c>
      <c r="BZ46" s="13">
        <f>BY46*VLOOKUP('Données projet'!$B$12,Paramètres!$A$1:$I$89,3,0)*VLOOKUP('Données projet'!$B$12,Paramètres!$A$1:$I$89,5,0)</f>
        <v>109.42857142857146</v>
      </c>
      <c r="CA46" s="13">
        <f t="shared" si="39"/>
        <v>29.196310760611571</v>
      </c>
      <c r="CB46" s="20">
        <f t="shared" si="10"/>
        <v>241.43833647949381</v>
      </c>
      <c r="CC46" s="59">
        <f t="shared" si="11"/>
        <v>510.15214324869339</v>
      </c>
      <c r="CD46" s="59">
        <f ca="1">AVERAGE(OFFSET($CC$3,0,0,'Données projet'!$E$12+1,1))-AVERAGE(OFFSET($H$3,0,0,'Données projet'!$E$12+1,1))</f>
        <v>208.92677786250815</v>
      </c>
      <c r="CE46" s="59">
        <f t="shared" si="40"/>
        <v>207.54290142772214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3.5860505799783016</v>
      </c>
      <c r="CL46" s="21">
        <f>EXP(-LN(2)/25)*CL45+(1-EXP(-LN(2)/25))/(LN(2)/25)*Calculateur!CG46*Calculateur!CI46*VLOOKUP('Données projet'!$B$12,Paramètres!$A$1:$I$89,3,0)*0.475*44/12</f>
        <v>5.1655944734855916</v>
      </c>
      <c r="CM46" s="21">
        <f>EXP(-LN(2)/2)*CM45+(1-EXP(-LN(2)/2))/(LN(2)/2)*CG46*CJ46*VLOOKUP('Données projet'!$B$12,Paramètres!$A$1:$I$89,3,0)*0.475*44/12</f>
        <v>0.60433478619310066</v>
      </c>
      <c r="CN46" s="22">
        <f t="shared" si="12"/>
        <v>9.3559798396569942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63.285583664327163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9.8128571428571423</v>
      </c>
      <c r="CT46" s="12">
        <f>IF('Données projet'!$A$140&gt;35,CT45+CS46-DB45,IF(A46&lt;'Données projet'!$A$140,$CQ$205^A46,IF(A46='Données projet'!$A$140,'Données projet'!$B$140,CT45+CS46-DB45)))</f>
        <v>130.12428571428572</v>
      </c>
      <c r="CU46" s="17">
        <f>CT46*VLOOKUP('Données projet'!$B$13,Paramètres!$A$1:$I$89,3,0)*VLOOKUP('Données projet'!$B$13,Paramètres!$A$1:$I$89,5,0)</f>
        <v>123.82627028571429</v>
      </c>
      <c r="CV46" s="13">
        <f t="shared" si="41"/>
        <v>32.565777238714922</v>
      </c>
      <c r="CW46" s="20">
        <f t="shared" si="13"/>
        <v>272.38281610504754</v>
      </c>
      <c r="CX46" s="59">
        <f t="shared" si="14"/>
        <v>541.09662287424715</v>
      </c>
      <c r="CY46" s="59">
        <f ca="1">AVERAGE(OFFSET($CX$3,0,0,'Données projet'!$E$13+1,1))-AVERAGE(OFFSET($H$3,0,0,'Données projet'!$E$13+1,1))</f>
        <v>470.42022791389275</v>
      </c>
      <c r="CZ46" s="59">
        <f t="shared" si="42"/>
        <v>300.26117330627346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7.0181341911668227</v>
      </c>
      <c r="DH46" s="21">
        <f>EXP(-LN(2)/2)*DH45+(1-EXP(-LN(2)/2))/(LN(2)/2)*DB46*DE46*VLOOKUP('Données projet'!$B$13,Paramètres!$A$1:$I$89,3,0)*0.475*44/12</f>
        <v>2.8399112180680608</v>
      </c>
      <c r="DI46" s="22">
        <f t="shared" si="15"/>
        <v>9.858045409234883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63.285583664327163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3.3603333333333336</v>
      </c>
      <c r="DO46" s="12">
        <f>IF('Données projet'!$A$166&gt;35,DO45+DN46-DW45,IF(A46&lt;'Données projet'!$A$166,$DL$205^A46,IF(A46='Données projet'!$A$166,'Données projet'!$B$166,DO45+DN46-DW45)))</f>
        <v>144.49433333333329</v>
      </c>
      <c r="DP46" s="17">
        <f>DO46*VLOOKUP('Données projet'!$B$14,Paramètres!$A$1:$I$89,3,0)*VLOOKUP('Données projet'!$B$14,Paramètres!$A$1:$I$89,5,0)</f>
        <v>139.75491919999996</v>
      </c>
      <c r="DQ46" s="13">
        <f t="shared" si="43"/>
        <v>36.240855201325502</v>
      </c>
      <c r="DR46" s="20">
        <f t="shared" si="16"/>
        <v>306.52597374897516</v>
      </c>
      <c r="DS46" s="59">
        <f t="shared" si="17"/>
        <v>575.23978051817471</v>
      </c>
      <c r="DT46" s="59">
        <f ca="1">AVERAGE(OFFSET($DS$3,0,0,'Données projet'!$E$14+1,1))-AVERAGE(OFFSET($H$3,0,0,'Données projet'!$E$14+1,1))</f>
        <v>537.37164071064103</v>
      </c>
      <c r="DU46" s="59">
        <f t="shared" si="44"/>
        <v>263.29777321132235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0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0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63.285583664327163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63.285583664327163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63.285583664327163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63.285583664327163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45">
      <c r="A47" s="10">
        <f t="shared" si="31"/>
        <v>44</v>
      </c>
      <c r="B47" s="73">
        <f>'Scénario référence'!$B$16*5+'Scénario référence'!$B$17*0+'Scénario référence'!$B$18*5</f>
        <v>2.8499999999999996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10.449999999999998</v>
      </c>
      <c r="H47" s="67">
        <f t="shared" si="1"/>
        <v>214.86666666666667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63.402063776565001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14.351250000000004</v>
      </c>
      <c r="N47" s="13">
        <f>IF('Données projet'!$A$36&gt;35,N46+M47-V46,IF(A47&lt;'Données projet'!$A$36,$K$205^A47,IF(A47='Données projet'!$A$36,'Données projet'!$B$36,N46+M47-V46)))</f>
        <v>218.61250000000004</v>
      </c>
      <c r="O47" s="13">
        <f>N47*VLOOKUP('Données projet'!$B$9,Paramètres!$A$1:$I$89,3,0)*VLOOKUP('Données projet'!$B$9,Paramètres!$A$1:$I$89,5,0)</f>
        <v>197.80059000000003</v>
      </c>
      <c r="P47" s="13">
        <f t="shared" si="33"/>
        <v>49.260493336959819</v>
      </c>
      <c r="Q47" s="20">
        <f t="shared" si="53"/>
        <v>430.29805347853835</v>
      </c>
      <c r="R47" s="59">
        <f t="shared" si="0"/>
        <v>699.4389539926101</v>
      </c>
      <c r="S47" s="59">
        <f ca="1">AVERAGE(OFFSET($R$3,0,0,'Données projet'!$E$9+1,1))-AVERAGE(OFFSET($H$3,0,0,'Données projet'!$E$9+1,1))</f>
        <v>719.20816951277925</v>
      </c>
      <c r="T47" s="59">
        <f t="shared" si="34"/>
        <v>237.1127421841087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28.365292189450564</v>
      </c>
      <c r="AB47" s="21">
        <f>EXP(-LN(2)/2)*AB46+(1-EXP(-LN(2)/2))/(LN(2)/2)*V47*Y47*VLOOKUP('Données projet'!$B$9,Paramètres!$A$1:$I$89,3,0)*0.475*44/12</f>
        <v>5.1557267627388796</v>
      </c>
      <c r="AC47" s="22">
        <f t="shared" si="3"/>
        <v>33.521018952189443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63.402063776565001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>
        <f>VLOOKUP(A47,'Données projet'!$A$61:$I$81,2,0)</f>
        <v>218.51</v>
      </c>
      <c r="AG47" s="12">
        <f>VLOOKUP(A47,'Données projet'!$A$61:$I$81,9,0)</f>
        <v>13.987142857142857</v>
      </c>
      <c r="AH47" s="12">
        <f t="array" ref="AH47">INDEX(AG:AG,MIN(IF(ISNUMBER(AG47:AG243),ROW(AG47:AG243),"")))</f>
        <v>13.987142857142857</v>
      </c>
      <c r="AI47" s="13">
        <f>IF('Données projet'!$A$62&gt;35,AI46+AH47-AQ46,IF(A47&lt;'Données projet'!$A$62,$AF$205^A47,IF(A47='Données projet'!$A$62,'Données projet'!$B$62,AI46+AH47-AQ46)))</f>
        <v>218.51</v>
      </c>
      <c r="AJ47" s="13">
        <f>AI47*VLOOKUP('Données projet'!$B$10,Paramètres!$A$1:$I$89,3,0)*VLOOKUP('Données projet'!$B$10,Paramètres!$A$1:$I$89,5,0)</f>
        <v>184.07282400000003</v>
      </c>
      <c r="AK47" s="13">
        <f t="shared" si="35"/>
        <v>46.227131136084815</v>
      </c>
      <c r="AL47" s="20">
        <f t="shared" si="4"/>
        <v>401.10575519534768</v>
      </c>
      <c r="AM47" s="59">
        <f t="shared" si="5"/>
        <v>670.24665570941943</v>
      </c>
      <c r="AN47" s="59">
        <f ca="1">AVERAGE(OFFSET($AM$3,0,0,'Données projet'!$E$10+1,1))-AVERAGE(OFFSET($H$3,0,0,'Données projet'!$E$10+1,1))</f>
        <v>442.79037205372367</v>
      </c>
      <c r="AO47" s="59">
        <f t="shared" si="36"/>
        <v>288.23553637727969</v>
      </c>
      <c r="AP47" s="15">
        <f>IF(ISNA(VLOOKUP(A47,'Données projet'!$A$61:$I$81,3,0)),0,VLOOKUP(A47,'Données projet'!$A$61:$I$81,3,0))</f>
        <v>3</v>
      </c>
      <c r="AQ47" s="15">
        <f>IF(ISNA(VLOOKUP(A47,'Données projet'!$A$61:$I$81,4,0)),0,VLOOKUP(A47,'Données projet'!$A$61:$I$81,4,0))</f>
        <v>56.45999999999998</v>
      </c>
      <c r="AR47" s="16">
        <f>IF(ISNA(VLOOKUP(A47,'Données projet'!$A$61:$I$81,5,0)),0%,VLOOKUP(A47,'Données projet'!$A$61:$I$81,5,0)*VLOOKUP('Données projet'!$B$10,Paramètres!$A$1:$I$89,7,0))</f>
        <v>0.15049999999999999</v>
      </c>
      <c r="AS47" s="16">
        <f>IF(ISNA(VLOOKUP(A47,'Données projet'!$A$61:$I$81,6,0)),0%,VLOOKUP(A47,'Données projet'!$A$61:$I$81,6,0)*VLOOKUP('Données projet'!$B$10,Paramètres!$A$1:$I$89,7,0))</f>
        <v>8.6000000000000007E-2</v>
      </c>
      <c r="AT47" s="16">
        <f>IF(ISNA(VLOOKUP(A47,'Données projet'!$A$61:$I$81,7,0)),0%,VLOOKUP(A47,'Données projet'!$A$61:$I$81,7,0))</f>
        <v>0.1</v>
      </c>
      <c r="AU47" s="21">
        <f>EXP(-LN(2)/35)*AU46+(1-EXP(-LN(2)/35))/(LN(2)/35)*AQ47*AR47*VLOOKUP('Données projet'!$B$10,Paramètres!$A$1:$I$89,3,0)*0.475*44/12</f>
        <v>7.9130305479615517</v>
      </c>
      <c r="AV47" s="21">
        <f>EXP(-LN(2)/25)*AV46+(1-EXP(-LN(2)/25))/(LN(2)/25)*Calculateur!AQ47*Calculateur!AS47*VLOOKUP('Données projet'!$B$10,Paramètres!$A$1:$I$89,3,0)*0.475*44/12</f>
        <v>30.673474153623289</v>
      </c>
      <c r="AW47" s="21">
        <f>EXP(-LN(2)/2)*AW46+(1-EXP(-LN(2)/2))/(LN(2)/2)*AQ47*AT47*VLOOKUP('Données projet'!$B$10,Paramètres!$A$1:$I$89,3,0)*0.475*44/12</f>
        <v>5.2197926897069191</v>
      </c>
      <c r="AX47" s="21">
        <f t="shared" si="6"/>
        <v>43.806297391291764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63.402063776565001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3.3603333333333336</v>
      </c>
      <c r="BD47" s="12">
        <f>IF('Données projet'!$A$88&gt;35,BD46+BC47-BL46,IF(A47&lt;'Données projet'!$A$88,$BA$205^A47,IF(A47='Données projet'!$A$88,'Données projet'!$B$88,BD46+BC47-BL46)))</f>
        <v>147.85466666666662</v>
      </c>
      <c r="BE47" s="13">
        <f>BD47*VLOOKUP('Données projet'!$B$11,Paramètres!$A$1:$I$89,3,0)*VLOOKUP('Données projet'!$B$11,Paramètres!$A$1:$I$89,5,0)</f>
        <v>149.92463199999995</v>
      </c>
      <c r="BF47" s="13">
        <f t="shared" si="37"/>
        <v>38.561457471452059</v>
      </c>
      <c r="BG47" s="20">
        <f t="shared" si="7"/>
        <v>328.27993916277887</v>
      </c>
      <c r="BH47" s="59">
        <f t="shared" si="8"/>
        <v>597.42083967685062</v>
      </c>
      <c r="BI47" s="59">
        <f ca="1">AVERAGE(OFFSET($BH$3,0,0,'Données projet'!$E$11+1,1))-AVERAGE(OFFSET($H$3,0,0,'Données projet'!$E$11+1,1))</f>
        <v>559.91818701710872</v>
      </c>
      <c r="BJ47" s="59">
        <f t="shared" si="38"/>
        <v>273.47272623465915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0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63.402063776565001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>
        <f>VLOOKUP(A47,'Données projet'!$A$113:$I$133,2,0)</f>
        <v>147.43589743589743</v>
      </c>
      <c r="BW47" s="12">
        <f>VLOOKUP(A47,'Données projet'!$A$113:$I$133,9,0)</f>
        <v>7.1428571428571432</v>
      </c>
      <c r="BX47" s="12">
        <f t="array" ref="BX47">INDEX(BW:BW,MIN(IF(ISNUMBER(BW47:BW243),ROW(BW47:BW243),"")))</f>
        <v>7.1428571428571432</v>
      </c>
      <c r="BY47" s="12">
        <f>IF('Données projet'!$A$114&gt;35,BY46+BX47-CG46,IF(A47&lt;'Données projet'!$A$114,$BV$205^A47,IF(A47='Données projet'!$A$114,'Données projet'!$B$114,BY46+BX47-CG46)))</f>
        <v>147.43589743589746</v>
      </c>
      <c r="BZ47" s="13">
        <f>BY47*VLOOKUP('Données projet'!$B$12,Paramètres!$A$1:$I$89,3,0)*VLOOKUP('Données projet'!$B$12,Paramètres!$A$1:$I$89,5,0)</f>
        <v>115.00000000000003</v>
      </c>
      <c r="CA47" s="13">
        <f t="shared" si="39"/>
        <v>30.505958604729159</v>
      </c>
      <c r="CB47" s="20">
        <f t="shared" si="10"/>
        <v>253.42287790323667</v>
      </c>
      <c r="CC47" s="59">
        <f t="shared" si="11"/>
        <v>522.56377841730841</v>
      </c>
      <c r="CD47" s="59">
        <f ca="1">AVERAGE(OFFSET($CC$3,0,0,'Données projet'!$E$12+1,1))-AVERAGE(OFFSET($H$3,0,0,'Données projet'!$E$12+1,1))</f>
        <v>208.92677786250815</v>
      </c>
      <c r="CE47" s="59">
        <f t="shared" si="40"/>
        <v>207.54290142772214</v>
      </c>
      <c r="CF47" s="15">
        <f>IF(ISNA(VLOOKUP(A47,'Données projet'!$A$113:$I$133,3,0)),0,VLOOKUP(A47,'Données projet'!$A$113:$I$133,3,0))</f>
        <v>6</v>
      </c>
      <c r="CG47" s="15">
        <f>IF(ISNA(VLOOKUP(A47,'Données projet'!$A$113:$I$133,4,0)),0,VLOOKUP(A47,'Données projet'!$A$113:$I$133,4,0))</f>
        <v>27.564102564102562</v>
      </c>
      <c r="CH47" s="16">
        <f>IF(ISNA(VLOOKUP(A47,'Données projet'!$A$113:$I$133,5,0)),0%,VLOOKUP(A47,'Données projet'!$A$113:$I$133,5,0)*VLOOKUP('Données projet'!$B$12,Paramètres!$A$1:$I$89,7,0))</f>
        <v>0.1075</v>
      </c>
      <c r="CI47" s="16">
        <f>IF(ISNA(VLOOKUP(A47,'Données projet'!$A$113:$I$133,6,0)),0%,VLOOKUP(A47,'Données projet'!$A$113:$I$133,6,0)*VLOOKUP('Données projet'!$B$12,Paramètres!$A$1:$I$89,7,0))</f>
        <v>0.1075</v>
      </c>
      <c r="CJ47" s="16">
        <f>IF(ISNA(VLOOKUP(A47,'Données projet'!$A$113:$I$133,7,0)),0%,VLOOKUP(A47,'Données projet'!$A$113:$I$133,7,0))</f>
        <v>0.25</v>
      </c>
      <c r="CK47" s="21">
        <f>EXP(-LN(2)/35)*CK46+(1-EXP(-LN(2)/35))/(LN(2)/35)*CG47*CH47*VLOOKUP('Données projet'!$B$12,Paramètres!$A$1:$I$89,3,0)*0.475*44/12</f>
        <v>6.0707487300753362</v>
      </c>
      <c r="CL47" s="21">
        <f>EXP(-LN(2)/25)*CL46+(1-EXP(-LN(2)/25))/(LN(2)/25)*Calculateur!CG47*Calculateur!CI47*VLOOKUP('Données projet'!$B$12,Paramètres!$A$1:$I$89,3,0)*0.475*44/12</f>
        <v>7.5692993546198561</v>
      </c>
      <c r="CM47" s="21">
        <f>EXP(-LN(2)/2)*CM46+(1-EXP(-LN(2)/2))/(LN(2)/2)*CG47*CJ47*VLOOKUP('Données projet'!$B$12,Paramètres!$A$1:$I$89,3,0)*0.475*44/12</f>
        <v>5.4987863914280251</v>
      </c>
      <c r="CN47" s="22">
        <f t="shared" si="12"/>
        <v>19.138834476123215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63.402063776565001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9.8128571428571423</v>
      </c>
      <c r="CT47" s="12">
        <f>IF('Données projet'!$A$140&gt;35,CT46+CS47-DB46,IF(A47&lt;'Données projet'!$A$140,$CQ$205^A47,IF(A47='Données projet'!$A$140,'Données projet'!$B$140,CT46+CS47-DB46)))</f>
        <v>139.93714285714287</v>
      </c>
      <c r="CU47" s="17">
        <f>CT47*VLOOKUP('Données projet'!$B$13,Paramètres!$A$1:$I$89,3,0)*VLOOKUP('Données projet'!$B$13,Paramètres!$A$1:$I$89,5,0)</f>
        <v>133.16418514285718</v>
      </c>
      <c r="CV47" s="13">
        <f t="shared" si="41"/>
        <v>34.726483144583192</v>
      </c>
      <c r="CW47" s="20">
        <f t="shared" si="13"/>
        <v>292.4095806006253</v>
      </c>
      <c r="CX47" s="59">
        <f t="shared" si="14"/>
        <v>561.55048111469705</v>
      </c>
      <c r="CY47" s="59">
        <f ca="1">AVERAGE(OFFSET($CX$3,0,0,'Données projet'!$E$13+1,1))-AVERAGE(OFFSET($H$3,0,0,'Données projet'!$E$13+1,1))</f>
        <v>470.42022791389275</v>
      </c>
      <c r="CZ47" s="59">
        <f t="shared" si="42"/>
        <v>300.26117330627346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0</v>
      </c>
      <c r="DG47" s="21">
        <f>EXP(-LN(2)/25)*DG46+(1-EXP(-LN(2)/25))/(LN(2)/25)*Calculateur!DB47*Calculateur!DD47*VLOOKUP('Données projet'!$B$13,Paramètres!$A$1:$I$89,3,0)*0.475*44/12</f>
        <v>6.8262229426417287</v>
      </c>
      <c r="DH47" s="21">
        <f>EXP(-LN(2)/2)*DH46+(1-EXP(-LN(2)/2))/(LN(2)/2)*DB47*DE47*VLOOKUP('Données projet'!$B$13,Paramètres!$A$1:$I$89,3,0)*0.475*44/12</f>
        <v>2.0081204802636741</v>
      </c>
      <c r="DI47" s="22">
        <f t="shared" si="15"/>
        <v>8.8343434229054019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63.402063776565001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3.3603333333333336</v>
      </c>
      <c r="DO47" s="12">
        <f>IF('Données projet'!$A$166&gt;35,DO46+DN47-DW46,IF(A47&lt;'Données projet'!$A$166,$DL$205^A47,IF(A47='Données projet'!$A$166,'Données projet'!$B$166,DO46+DN47-DW46)))</f>
        <v>147.85466666666662</v>
      </c>
      <c r="DP47" s="17">
        <f>DO47*VLOOKUP('Données projet'!$B$14,Paramètres!$A$1:$I$89,3,0)*VLOOKUP('Données projet'!$B$14,Paramètres!$A$1:$I$89,5,0)</f>
        <v>143.00503359999996</v>
      </c>
      <c r="DQ47" s="13">
        <f t="shared" si="43"/>
        <v>36.984563299617569</v>
      </c>
      <c r="DR47" s="20">
        <f t="shared" si="16"/>
        <v>313.48188126683385</v>
      </c>
      <c r="DS47" s="59">
        <f t="shared" si="17"/>
        <v>582.6227817809056</v>
      </c>
      <c r="DT47" s="59">
        <f ca="1">AVERAGE(OFFSET($DS$3,0,0,'Données projet'!$E$14+1,1))-AVERAGE(OFFSET($H$3,0,0,'Données projet'!$E$14+1,1))</f>
        <v>537.37164071064103</v>
      </c>
      <c r="DU47" s="59">
        <f t="shared" si="44"/>
        <v>263.29777321132235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0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0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63.402063776565001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63.402063776565001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63.402063776565001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63.402063776565001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45">
      <c r="A48" s="10">
        <f t="shared" si="31"/>
        <v>45</v>
      </c>
      <c r="B48" s="73">
        <f>'Scénario référence'!$B$16*5+'Scénario référence'!$B$17*0+'Scénario référence'!$B$18*5</f>
        <v>2.8499999999999996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10.449999999999998</v>
      </c>
      <c r="H48" s="67">
        <f t="shared" si="1"/>
        <v>214.86666666666667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63.51652321926602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14.351250000000004</v>
      </c>
      <c r="N48" s="13">
        <f>IF('Données projet'!$A$36&gt;35,N47+M48-V47,IF(A48&lt;'Données projet'!$A$36,$K$205^A48,IF(A48='Données projet'!$A$36,'Données projet'!$B$36,N47+M48-V47)))</f>
        <v>232.96375000000003</v>
      </c>
      <c r="O48" s="13">
        <f>N48*VLOOKUP('Données projet'!$B$9,Paramètres!$A$1:$I$89,3,0)*VLOOKUP('Données projet'!$B$9,Paramètres!$A$1:$I$89,5,0)</f>
        <v>210.78560100000001</v>
      </c>
      <c r="P48" s="13">
        <f t="shared" si="33"/>
        <v>52.107221956756902</v>
      </c>
      <c r="Q48" s="20">
        <f t="shared" si="53"/>
        <v>457.87166664968487</v>
      </c>
      <c r="R48" s="59">
        <f t="shared" si="0"/>
        <v>727.43225178699367</v>
      </c>
      <c r="S48" s="59">
        <f ca="1">AVERAGE(OFFSET($R$3,0,0,'Données projet'!$E$9+1,1))-AVERAGE(OFFSET($H$3,0,0,'Données projet'!$E$9+1,1))</f>
        <v>719.20816951277925</v>
      </c>
      <c r="T48" s="59">
        <f t="shared" si="34"/>
        <v>237.1127421841087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27.589641782864152</v>
      </c>
      <c r="AB48" s="21">
        <f>EXP(-LN(2)/2)*AB47+(1-EXP(-LN(2)/2))/(LN(2)/2)*V48*Y48*VLOOKUP('Données projet'!$B$9,Paramètres!$A$1:$I$89,3,0)*0.475*44/12</f>
        <v>3.6456493558776284</v>
      </c>
      <c r="AC48" s="22">
        <f t="shared" si="3"/>
        <v>31.235291138741779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63.51652321926602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14.224285714285713</v>
      </c>
      <c r="AI48" s="13">
        <f>IF('Données projet'!$A$62&gt;35,AI47+AH48-AQ47,IF(A48&lt;'Données projet'!$A$62,$AF$205^A48,IF(A48='Données projet'!$A$62,'Données projet'!$B$62,AI47+AH48-AQ47)))</f>
        <v>176.27428571428572</v>
      </c>
      <c r="AJ48" s="13">
        <f>AI48*VLOOKUP('Données projet'!$B$10,Paramètres!$A$1:$I$89,3,0)*VLOOKUP('Données projet'!$B$10,Paramètres!$A$1:$I$89,5,0)</f>
        <v>148.4934582857143</v>
      </c>
      <c r="AK48" s="13">
        <f t="shared" si="35"/>
        <v>38.236017731685749</v>
      </c>
      <c r="AL48" s="20">
        <f t="shared" si="4"/>
        <v>325.22050406363837</v>
      </c>
      <c r="AM48" s="59">
        <f t="shared" si="5"/>
        <v>594.78108920094712</v>
      </c>
      <c r="AN48" s="59">
        <f ca="1">AVERAGE(OFFSET($AM$3,0,0,'Données projet'!$E$10+1,1))-AVERAGE(OFFSET($H$3,0,0,'Données projet'!$E$10+1,1))</f>
        <v>442.79037205372367</v>
      </c>
      <c r="AO48" s="59">
        <f t="shared" si="36"/>
        <v>288.23553637727969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7.7578608453880857</v>
      </c>
      <c r="AV48" s="21">
        <f>EXP(-LN(2)/25)*AV47+(1-EXP(-LN(2)/25))/(LN(2)/25)*Calculateur!AQ48*Calculateur!AS48*VLOOKUP('Données projet'!$B$10,Paramètres!$A$1:$I$89,3,0)*0.475*44/12</f>
        <v>29.834706389844559</v>
      </c>
      <c r="AW48" s="21">
        <f>EXP(-LN(2)/2)*AW47+(1-EXP(-LN(2)/2))/(LN(2)/2)*AQ48*AT48*VLOOKUP('Données projet'!$B$10,Paramètres!$A$1:$I$89,3,0)*0.475*44/12</f>
        <v>3.690950807279731</v>
      </c>
      <c r="AX48" s="21">
        <f t="shared" si="6"/>
        <v>41.283518042512377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63.51652321926602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3.3603333333333336</v>
      </c>
      <c r="BD48" s="12">
        <f>IF('Données projet'!$A$88&gt;35,BD47+BC48-BL47,IF(A48&lt;'Données projet'!$A$88,$BA$205^A48,IF(A48='Données projet'!$A$88,'Données projet'!$B$88,BD47+BC48-BL47)))</f>
        <v>151.21499999999995</v>
      </c>
      <c r="BE48" s="13">
        <f>BD48*VLOOKUP('Données projet'!$B$11,Paramètres!$A$1:$I$89,3,0)*VLOOKUP('Données projet'!$B$11,Paramètres!$A$1:$I$89,5,0)</f>
        <v>153.33200999999997</v>
      </c>
      <c r="BF48" s="13">
        <f t="shared" si="37"/>
        <v>39.334825910514574</v>
      </c>
      <c r="BG48" s="20">
        <f t="shared" si="7"/>
        <v>335.5614058774795</v>
      </c>
      <c r="BH48" s="59">
        <f t="shared" si="8"/>
        <v>605.12199101478825</v>
      </c>
      <c r="BI48" s="59">
        <f ca="1">AVERAGE(OFFSET($BH$3,0,0,'Données projet'!$E$11+1,1))-AVERAGE(OFFSET($H$3,0,0,'Données projet'!$E$11+1,1))</f>
        <v>559.91818701710872</v>
      </c>
      <c r="BJ48" s="59">
        <f t="shared" si="38"/>
        <v>273.47272623465915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0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63.51652321926602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6.6506410256410255</v>
      </c>
      <c r="BY48" s="12">
        <f>IF('Données projet'!$A$114&gt;35,BY47+BX48-CG47,IF(A48&lt;'Données projet'!$A$114,$BV$205^A48,IF(A48='Données projet'!$A$114,'Données projet'!$B$114,BY47+BX48-CG47)))</f>
        <v>126.52243589743591</v>
      </c>
      <c r="BZ48" s="13">
        <f>BY48*VLOOKUP('Données projet'!$B$12,Paramètres!$A$1:$I$89,3,0)*VLOOKUP('Données projet'!$B$12,Paramètres!$A$1:$I$89,5,0)</f>
        <v>98.687500000000014</v>
      </c>
      <c r="CA48" s="13">
        <f t="shared" si="39"/>
        <v>26.649072495226527</v>
      </c>
      <c r="CB48" s="20">
        <f t="shared" si="10"/>
        <v>218.29453042918621</v>
      </c>
      <c r="CC48" s="59">
        <f t="shared" si="11"/>
        <v>487.85511556649499</v>
      </c>
      <c r="CD48" s="59">
        <f ca="1">AVERAGE(OFFSET($CC$3,0,0,'Données projet'!$E$12+1,1))-AVERAGE(OFFSET($H$3,0,0,'Données projet'!$E$12+1,1))</f>
        <v>208.92677786250815</v>
      </c>
      <c r="CE48" s="59">
        <f t="shared" si="40"/>
        <v>207.54290142772214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5.9517050502696636</v>
      </c>
      <c r="CL48" s="21">
        <f>EXP(-LN(2)/25)*CL47+(1-EXP(-LN(2)/25))/(LN(2)/25)*Calculateur!CG48*Calculateur!CI48*VLOOKUP('Données projet'!$B$12,Paramètres!$A$1:$I$89,3,0)*0.475*44/12</f>
        <v>7.3623164657156233</v>
      </c>
      <c r="CM48" s="21">
        <f>EXP(-LN(2)/2)*CM47+(1-EXP(-LN(2)/2))/(LN(2)/2)*CG48*CJ48*VLOOKUP('Données projet'!$B$12,Paramètres!$A$1:$I$89,3,0)*0.475*44/12</f>
        <v>3.8882291456750622</v>
      </c>
      <c r="CN48" s="22">
        <f t="shared" si="12"/>
        <v>17.202250661660351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63.51652321926602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149.75</v>
      </c>
      <c r="CR48" s="12">
        <f>VLOOKUP(A48,'Données projet'!$A$139:$I$159,9,0)</f>
        <v>9.8128571428571423</v>
      </c>
      <c r="CS48" s="12">
        <f t="array" ref="CS48">INDEX(CR:CR,MIN(IF(ISNUMBER(CR48:CR244),ROW(CR48:CR244),"")))</f>
        <v>9.8128571428571423</v>
      </c>
      <c r="CT48" s="12">
        <f>IF('Données projet'!$A$140&gt;35,CT47+CS48-DB47,IF(A48&lt;'Données projet'!$A$140,$CQ$205^A48,IF(A48='Données projet'!$A$140,'Données projet'!$B$140,CT47+CS48-DB47)))</f>
        <v>149.75000000000003</v>
      </c>
      <c r="CU48" s="17">
        <f>CT48*VLOOKUP('Données projet'!$B$13,Paramètres!$A$1:$I$89,3,0)*VLOOKUP('Données projet'!$B$13,Paramètres!$A$1:$I$89,5,0)</f>
        <v>142.50210000000001</v>
      </c>
      <c r="CV48" s="13">
        <f t="shared" si="41"/>
        <v>36.869609182810613</v>
      </c>
      <c r="CW48" s="20">
        <f t="shared" si="13"/>
        <v>312.40572682672854</v>
      </c>
      <c r="CX48" s="59">
        <f t="shared" si="14"/>
        <v>581.96631196403723</v>
      </c>
      <c r="CY48" s="59">
        <f ca="1">AVERAGE(OFFSET($CX$3,0,0,'Données projet'!$E$13+1,1))-AVERAGE(OFFSET($H$3,0,0,'Données projet'!$E$13+1,1))</f>
        <v>470.42022791389275</v>
      </c>
      <c r="CZ48" s="59">
        <f t="shared" si="42"/>
        <v>300.26117330627346</v>
      </c>
      <c r="DA48" s="15">
        <f>IF(ISNA(VLOOKUP(A48,'Données projet'!$A$139:$I$159,3,0)),0,VLOOKUP(A48,'Données projet'!$A$139:$I$159,3,0))</f>
        <v>2</v>
      </c>
      <c r="DB48" s="15">
        <f>IF(ISNA(VLOOKUP(A48,'Données projet'!$A$139:$I$159,4,0)),0,VLOOKUP(A48,'Données projet'!$A$139:$I$159,4,0))</f>
        <v>41.69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0.1075</v>
      </c>
      <c r="DE48" s="16">
        <f>IF(ISNA(VLOOKUP(A48,'Données projet'!$A$139:$I$159,7,0)),0%,VLOOKUP(A48,'Données projet'!$A$139:$I$159,7,0))</f>
        <v>0.25</v>
      </c>
      <c r="DF48" s="21">
        <f>EXP(-LN(2)/35)*DF47+(1-EXP(-LN(2)/35))/(LN(2)/35)*DB48*DC48*VLOOKUP('Données projet'!$B$13,Paramètres!$A$1:$I$89,3,0)*0.475*44/12</f>
        <v>0</v>
      </c>
      <c r="DG48" s="21">
        <f>EXP(-LN(2)/25)*DG47+(1-EXP(-LN(2)/25))/(LN(2)/25)*Calculateur!DB48*Calculateur!DD48*VLOOKUP('Données projet'!$B$13,Paramètres!$A$1:$I$89,3,0)*0.475*44/12</f>
        <v>11.335564456109097</v>
      </c>
      <c r="DH48" s="21">
        <f>EXP(-LN(2)/2)*DH47+(1-EXP(-LN(2)/2))/(LN(2)/2)*DB48*DE48*VLOOKUP('Données projet'!$B$13,Paramètres!$A$1:$I$89,3,0)*0.475*44/12</f>
        <v>10.777903667962914</v>
      </c>
      <c r="DI48" s="22">
        <f t="shared" si="15"/>
        <v>22.113468124072011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63.51652321926602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3.3603333333333336</v>
      </c>
      <c r="DO48" s="12">
        <f>IF('Données projet'!$A$166&gt;35,DO47+DN48-DW47,IF(A48&lt;'Données projet'!$A$166,$DL$205^A48,IF(A48='Données projet'!$A$166,'Données projet'!$B$166,DO47+DN48-DW47)))</f>
        <v>151.21499999999995</v>
      </c>
      <c r="DP48" s="17">
        <f>DO48*VLOOKUP('Données projet'!$B$14,Paramètres!$A$1:$I$89,3,0)*VLOOKUP('Données projet'!$B$14,Paramètres!$A$1:$I$89,5,0)</f>
        <v>146.25514799999996</v>
      </c>
      <c r="DQ48" s="13">
        <f t="shared" si="43"/>
        <v>37.726306373245144</v>
      </c>
      <c r="DR48" s="20">
        <f t="shared" si="16"/>
        <v>320.43436636673522</v>
      </c>
      <c r="DS48" s="59">
        <f t="shared" si="17"/>
        <v>589.99495150404391</v>
      </c>
      <c r="DT48" s="59">
        <f ca="1">AVERAGE(OFFSET($DS$3,0,0,'Données projet'!$E$14+1,1))-AVERAGE(OFFSET($H$3,0,0,'Données projet'!$E$14+1,1))</f>
        <v>537.37164071064103</v>
      </c>
      <c r="DU48" s="59">
        <f t="shared" si="44"/>
        <v>263.29777321132235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0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0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63.51652321926602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63.51652321926602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63.51652321926602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63.51652321926602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45">
      <c r="A49" s="10">
        <f t="shared" si="31"/>
        <v>46</v>
      </c>
      <c r="B49" s="73">
        <f>'Scénario référence'!$B$16*5+'Scénario référence'!$B$17*0+'Scénario référence'!$B$18*5</f>
        <v>2.8499999999999996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10.449999999999998</v>
      </c>
      <c r="H49" s="67">
        <f t="shared" si="1"/>
        <v>214.86666666666667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63.628997046529165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14.351250000000004</v>
      </c>
      <c r="N49" s="13">
        <f>IF('Données projet'!$A$36&gt;35,N48+M49-V48,IF(A49&lt;'Données projet'!$A$36,$K$205^A49,IF(A49='Données projet'!$A$36,'Données projet'!$B$36,N48+M49-V48)))</f>
        <v>247.31500000000003</v>
      </c>
      <c r="O49" s="13">
        <f>N49*VLOOKUP('Données projet'!$B$9,Paramètres!$A$1:$I$89,3,0)*VLOOKUP('Données projet'!$B$9,Paramètres!$A$1:$I$89,5,0)</f>
        <v>223.770612</v>
      </c>
      <c r="P49" s="13">
        <f t="shared" si="33"/>
        <v>54.933597302380846</v>
      </c>
      <c r="Q49" s="20">
        <f t="shared" si="53"/>
        <v>485.40983120164657</v>
      </c>
      <c r="R49" s="59">
        <f t="shared" si="0"/>
        <v>755.38282037225349</v>
      </c>
      <c r="S49" s="59">
        <f ca="1">AVERAGE(OFFSET($R$3,0,0,'Données projet'!$E$9+1,1))-AVERAGE(OFFSET($H$3,0,0,'Données projet'!$E$9+1,1))</f>
        <v>719.20816951277925</v>
      </c>
      <c r="T49" s="59">
        <f t="shared" si="34"/>
        <v>237.1127421841087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26.835201577435527</v>
      </c>
      <c r="AB49" s="21">
        <f>EXP(-LN(2)/2)*AB48+(1-EXP(-LN(2)/2))/(LN(2)/2)*V49*Y49*VLOOKUP('Données projet'!$B$9,Paramètres!$A$1:$I$89,3,0)*0.475*44/12</f>
        <v>2.5778633813694403</v>
      </c>
      <c r="AC49" s="22">
        <f t="shared" si="3"/>
        <v>29.413064958804966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63.628997046529165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14.224285714285713</v>
      </c>
      <c r="AI49" s="13">
        <f>IF('Données projet'!$A$62&gt;35,AI48+AH49-AQ48,IF(A49&lt;'Données projet'!$A$62,$AF$205^A49,IF(A49='Données projet'!$A$62,'Données projet'!$B$62,AI48+AH49-AQ48)))</f>
        <v>190.49857142857144</v>
      </c>
      <c r="AJ49" s="13">
        <f>AI49*VLOOKUP('Données projet'!$B$10,Paramètres!$A$1:$I$89,3,0)*VLOOKUP('Données projet'!$B$10,Paramètres!$A$1:$I$89,5,0)</f>
        <v>160.4759965714286</v>
      </c>
      <c r="AK49" s="13">
        <f t="shared" si="35"/>
        <v>40.949859193473067</v>
      </c>
      <c r="AL49" s="20">
        <f t="shared" si="4"/>
        <v>350.81669879053698</v>
      </c>
      <c r="AM49" s="59">
        <f t="shared" si="5"/>
        <v>620.78968796114395</v>
      </c>
      <c r="AN49" s="59">
        <f ca="1">AVERAGE(OFFSET($AM$3,0,0,'Données projet'!$E$10+1,1))-AVERAGE(OFFSET($H$3,0,0,'Données projet'!$E$10+1,1))</f>
        <v>442.79037205372367</v>
      </c>
      <c r="AO49" s="59">
        <f t="shared" si="36"/>
        <v>288.23553637727969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7.605733926037912</v>
      </c>
      <c r="AV49" s="21">
        <f>EXP(-LN(2)/25)*AV48+(1-EXP(-LN(2)/25))/(LN(2)/25)*Calculateur!AQ49*Calculateur!AS49*VLOOKUP('Données projet'!$B$10,Paramètres!$A$1:$I$89,3,0)*0.475*44/12</f>
        <v>29.01887477467524</v>
      </c>
      <c r="AW49" s="21">
        <f>EXP(-LN(2)/2)*AW48+(1-EXP(-LN(2)/2))/(LN(2)/2)*AQ49*AT49*VLOOKUP('Données projet'!$B$10,Paramètres!$A$1:$I$89,3,0)*0.475*44/12</f>
        <v>2.60989634485346</v>
      </c>
      <c r="AX49" s="21">
        <f t="shared" si="6"/>
        <v>39.234505045566614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63.628997046529165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3.3603333333333336</v>
      </c>
      <c r="BD49" s="12">
        <f>IF('Données projet'!$A$88&gt;35,BD48+BC49-BL48,IF(A49&lt;'Données projet'!$A$88,$BA$205^A49,IF(A49='Données projet'!$A$88,'Données projet'!$B$88,BD48+BC49-BL48)))</f>
        <v>154.57533333333328</v>
      </c>
      <c r="BE49" s="13">
        <f>BD49*VLOOKUP('Données projet'!$B$11,Paramètres!$A$1:$I$89,3,0)*VLOOKUP('Données projet'!$B$11,Paramètres!$A$1:$I$89,5,0)</f>
        <v>156.73938799999993</v>
      </c>
      <c r="BF49" s="13">
        <f t="shared" si="37"/>
        <v>40.106196314415328</v>
      </c>
      <c r="BG49" s="20">
        <f t="shared" si="7"/>
        <v>342.83939268093991</v>
      </c>
      <c r="BH49" s="59">
        <f t="shared" si="8"/>
        <v>612.81238185154689</v>
      </c>
      <c r="BI49" s="59">
        <f ca="1">AVERAGE(OFFSET($BH$3,0,0,'Données projet'!$E$11+1,1))-AVERAGE(OFFSET($H$3,0,0,'Données projet'!$E$11+1,1))</f>
        <v>559.91818701710872</v>
      </c>
      <c r="BJ49" s="59">
        <f t="shared" si="38"/>
        <v>273.47272623465915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0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63.628997046529165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6.6506410256410255</v>
      </c>
      <c r="BY49" s="12">
        <f>IF('Données projet'!$A$114&gt;35,BY48+BX49-CG48,IF(A49&lt;'Données projet'!$A$114,$BV$205^A49,IF(A49='Données projet'!$A$114,'Données projet'!$B$114,BY48+BX49-CG48)))</f>
        <v>133.17307692307693</v>
      </c>
      <c r="BZ49" s="13">
        <f>BY49*VLOOKUP('Données projet'!$B$12,Paramètres!$A$1:$I$89,3,0)*VLOOKUP('Données projet'!$B$12,Paramètres!$A$1:$I$89,5,0)</f>
        <v>103.87500000000001</v>
      </c>
      <c r="CA49" s="13">
        <f t="shared" si="39"/>
        <v>27.883110316110333</v>
      </c>
      <c r="CB49" s="20">
        <f t="shared" si="10"/>
        <v>229.47870880055882</v>
      </c>
      <c r="CC49" s="59">
        <f t="shared" si="11"/>
        <v>499.45169797116574</v>
      </c>
      <c r="CD49" s="59">
        <f ca="1">AVERAGE(OFFSET($CC$3,0,0,'Données projet'!$E$12+1,1))-AVERAGE(OFFSET($H$3,0,0,'Données projet'!$E$12+1,1))</f>
        <v>208.92677786250815</v>
      </c>
      <c r="CE49" s="59">
        <f t="shared" si="40"/>
        <v>207.54290142772214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5.8349957444155054</v>
      </c>
      <c r="CL49" s="21">
        <f>EXP(-LN(2)/25)*CL48+(1-EXP(-LN(2)/25))/(LN(2)/25)*Calculateur!CG49*Calculateur!CI49*VLOOKUP('Données projet'!$B$12,Paramètres!$A$1:$I$89,3,0)*0.475*44/12</f>
        <v>7.1609935347932332</v>
      </c>
      <c r="CM49" s="21">
        <f>EXP(-LN(2)/2)*CM48+(1-EXP(-LN(2)/2))/(LN(2)/2)*CG49*CJ49*VLOOKUP('Données projet'!$B$12,Paramètres!$A$1:$I$89,3,0)*0.475*44/12</f>
        <v>2.749393195714013</v>
      </c>
      <c r="CN49" s="22">
        <f t="shared" si="12"/>
        <v>15.745382474922753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63.628997046529165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10.001428571428571</v>
      </c>
      <c r="CT49" s="12">
        <f>IF('Données projet'!$A$140&gt;35,CT48+CS49-DB48,IF(A49&lt;'Données projet'!$A$140,$CQ$205^A49,IF(A49='Données projet'!$A$140,'Données projet'!$B$140,CT48+CS49-DB48)))</f>
        <v>118.06142857142859</v>
      </c>
      <c r="CU49" s="17">
        <f>CT49*VLOOKUP('Données projet'!$B$13,Paramètres!$A$1:$I$89,3,0)*VLOOKUP('Données projet'!$B$13,Paramètres!$A$1:$I$89,5,0)</f>
        <v>112.34725542857144</v>
      </c>
      <c r="CV49" s="13">
        <f t="shared" si="41"/>
        <v>29.883334836157822</v>
      </c>
      <c r="CW49" s="20">
        <f t="shared" si="13"/>
        <v>247.71827804440349</v>
      </c>
      <c r="CX49" s="59">
        <f t="shared" si="14"/>
        <v>517.69126721501038</v>
      </c>
      <c r="CY49" s="59">
        <f ca="1">AVERAGE(OFFSET($CX$3,0,0,'Données projet'!$E$13+1,1))-AVERAGE(OFFSET($H$3,0,0,'Données projet'!$E$13+1,1))</f>
        <v>470.42022791389275</v>
      </c>
      <c r="CZ49" s="59">
        <f t="shared" si="42"/>
        <v>300.26117330627346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0</v>
      </c>
      <c r="DG49" s="21">
        <f>EXP(-LN(2)/25)*DG48+(1-EXP(-LN(2)/25))/(LN(2)/25)*Calculateur!DB49*Calculateur!DD49*VLOOKUP('Données projet'!$B$13,Paramètres!$A$1:$I$89,3,0)*0.475*44/12</f>
        <v>11.025592849945367</v>
      </c>
      <c r="DH49" s="21">
        <f>EXP(-LN(2)/2)*DH48+(1-EXP(-LN(2)/2))/(LN(2)/2)*DB49*DE49*VLOOKUP('Données projet'!$B$13,Paramètres!$A$1:$I$89,3,0)*0.475*44/12</f>
        <v>7.6211287705919402</v>
      </c>
      <c r="DI49" s="22">
        <f t="shared" si="15"/>
        <v>18.646721620537306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63.628997046529165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3.3603333333333336</v>
      </c>
      <c r="DO49" s="12">
        <f>IF('Données projet'!$A$166&gt;35,DO48+DN49-DW48,IF(A49&lt;'Données projet'!$A$166,$DL$205^A49,IF(A49='Données projet'!$A$166,'Données projet'!$B$166,DO48+DN49-DW48)))</f>
        <v>154.57533333333328</v>
      </c>
      <c r="DP49" s="17">
        <f>DO49*VLOOKUP('Données projet'!$B$14,Paramètres!$A$1:$I$89,3,0)*VLOOKUP('Données projet'!$B$14,Paramètres!$A$1:$I$89,5,0)</f>
        <v>149.50526239999994</v>
      </c>
      <c r="DQ49" s="13">
        <f t="shared" si="43"/>
        <v>38.466133117388303</v>
      </c>
      <c r="DR49" s="20">
        <f t="shared" si="16"/>
        <v>327.38351385945117</v>
      </c>
      <c r="DS49" s="59">
        <f t="shared" si="17"/>
        <v>597.35650303005809</v>
      </c>
      <c r="DT49" s="59">
        <f ca="1">AVERAGE(OFFSET($DS$3,0,0,'Données projet'!$E$14+1,1))-AVERAGE(OFFSET($H$3,0,0,'Données projet'!$E$14+1,1))</f>
        <v>537.37164071064103</v>
      </c>
      <c r="DU49" s="59">
        <f t="shared" si="44"/>
        <v>263.29777321132235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0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0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63.628997046529165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63.628997046529165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63.628997046529165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63.628997046529165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45">
      <c r="A50" s="10">
        <f t="shared" si="31"/>
        <v>47</v>
      </c>
      <c r="B50" s="73">
        <f>'Scénario référence'!$B$16*5+'Scénario référence'!$B$17*0+'Scénario référence'!$B$18*5</f>
        <v>2.8499999999999996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10.449999999999998</v>
      </c>
      <c r="H50" s="67">
        <f t="shared" si="1"/>
        <v>214.86666666666667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63.739519704343095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14.351250000000004</v>
      </c>
      <c r="N50" s="13">
        <f>IF('Données projet'!$A$36&gt;35,N49+M50-V49,IF(A50&lt;'Données projet'!$A$36,$K$205^A50,IF(A50='Données projet'!$A$36,'Données projet'!$B$36,N49+M50-V49)))</f>
        <v>261.66625000000005</v>
      </c>
      <c r="O50" s="13">
        <f>N50*VLOOKUP('Données projet'!$B$9,Paramètres!$A$1:$I$89,3,0)*VLOOKUP('Données projet'!$B$9,Paramètres!$A$1:$I$89,5,0)</f>
        <v>236.75562300000004</v>
      </c>
      <c r="P50" s="13">
        <f t="shared" si="33"/>
        <v>57.740934989627185</v>
      </c>
      <c r="Q50" s="20">
        <f t="shared" si="53"/>
        <v>512.91483849860072</v>
      </c>
      <c r="R50" s="59">
        <f t="shared" si="0"/>
        <v>783.29307741452544</v>
      </c>
      <c r="S50" s="59">
        <f ca="1">AVERAGE(OFFSET($R$3,0,0,'Données projet'!$E$9+1,1))-AVERAGE(OFFSET($H$3,0,0,'Données projet'!$E$9+1,1))</f>
        <v>719.20816951277925</v>
      </c>
      <c r="T50" s="59">
        <f t="shared" si="34"/>
        <v>237.1127421841087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26.101391579098635</v>
      </c>
      <c r="AB50" s="21">
        <f>EXP(-LN(2)/2)*AB49+(1-EXP(-LN(2)/2))/(LN(2)/2)*V50*Y50*VLOOKUP('Données projet'!$B$9,Paramètres!$A$1:$I$89,3,0)*0.475*44/12</f>
        <v>1.8228246779388144</v>
      </c>
      <c r="AC50" s="22">
        <f t="shared" si="3"/>
        <v>27.92421625703745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63.739519704343095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14.224285714285713</v>
      </c>
      <c r="AI50" s="13">
        <f>IF('Données projet'!$A$62&gt;35,AI49+AH50-AQ49,IF(A50&lt;'Données projet'!$A$62,$AF$205^A50,IF(A50='Données projet'!$A$62,'Données projet'!$B$62,AI49+AH50-AQ49)))</f>
        <v>204.72285714285715</v>
      </c>
      <c r="AJ50" s="13">
        <f>AI50*VLOOKUP('Données projet'!$B$10,Paramètres!$A$1:$I$89,3,0)*VLOOKUP('Données projet'!$B$10,Paramètres!$A$1:$I$89,5,0)</f>
        <v>172.45853485714287</v>
      </c>
      <c r="AK50" s="13">
        <f t="shared" si="35"/>
        <v>43.640192625939278</v>
      </c>
      <c r="AL50" s="20">
        <f t="shared" si="4"/>
        <v>376.37195036636803</v>
      </c>
      <c r="AM50" s="59">
        <f t="shared" si="5"/>
        <v>646.75018928229269</v>
      </c>
      <c r="AN50" s="59">
        <f ca="1">AVERAGE(OFFSET($AM$3,0,0,'Données projet'!$E$10+1,1))-AVERAGE(OFFSET($H$3,0,0,'Données projet'!$E$10+1,1))</f>
        <v>442.79037205372367</v>
      </c>
      <c r="AO50" s="59">
        <f t="shared" si="36"/>
        <v>288.23553637727969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7.4565901227879365</v>
      </c>
      <c r="AV50" s="21">
        <f>EXP(-LN(2)/25)*AV49+(1-EXP(-LN(2)/25))/(LN(2)/25)*Calculateur!AQ50*Calculateur!AS50*VLOOKUP('Données projet'!$B$10,Paramètres!$A$1:$I$89,3,0)*0.475*44/12</f>
        <v>28.225352117925443</v>
      </c>
      <c r="AW50" s="21">
        <f>EXP(-LN(2)/2)*AW49+(1-EXP(-LN(2)/2))/(LN(2)/2)*AQ50*AT50*VLOOKUP('Données projet'!$B$10,Paramètres!$A$1:$I$89,3,0)*0.475*44/12</f>
        <v>1.845475403639866</v>
      </c>
      <c r="AX50" s="21">
        <f t="shared" si="6"/>
        <v>37.52741764435325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63.739519704343095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3.3603333333333336</v>
      </c>
      <c r="BD50" s="12">
        <f>IF('Données projet'!$A$88&gt;35,BD49+BC50-BL49,IF(A50&lt;'Données projet'!$A$88,$BA$205^A50,IF(A50='Données projet'!$A$88,'Données projet'!$B$88,BD49+BC50-BL49)))</f>
        <v>157.93566666666661</v>
      </c>
      <c r="BE50" s="13">
        <f>BD50*VLOOKUP('Données projet'!$B$11,Paramètres!$A$1:$I$89,3,0)*VLOOKUP('Données projet'!$B$11,Paramètres!$A$1:$I$89,5,0)</f>
        <v>160.14676599999996</v>
      </c>
      <c r="BF50" s="13">
        <f t="shared" si="37"/>
        <v>40.875617121004808</v>
      </c>
      <c r="BG50" s="20">
        <f t="shared" si="7"/>
        <v>350.11398393574996</v>
      </c>
      <c r="BH50" s="59">
        <f t="shared" si="8"/>
        <v>620.49222285167457</v>
      </c>
      <c r="BI50" s="59">
        <f ca="1">AVERAGE(OFFSET($BH$3,0,0,'Données projet'!$E$11+1,1))-AVERAGE(OFFSET($H$3,0,0,'Données projet'!$E$11+1,1))</f>
        <v>559.91818701710872</v>
      </c>
      <c r="BJ50" s="59">
        <f t="shared" si="38"/>
        <v>273.47272623465915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0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63.739519704343095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6.6506410256410255</v>
      </c>
      <c r="BY50" s="12">
        <f>IF('Données projet'!$A$114&gt;35,BY49+BX50-CG49,IF(A50&lt;'Données projet'!$A$114,$BV$205^A50,IF(A50='Données projet'!$A$114,'Données projet'!$B$114,BY49+BX50-CG49)))</f>
        <v>139.82371794871796</v>
      </c>
      <c r="BZ50" s="13">
        <f>BY50*VLOOKUP('Données projet'!$B$12,Paramètres!$A$1:$I$89,3,0)*VLOOKUP('Données projet'!$B$12,Paramètres!$A$1:$I$89,5,0)</f>
        <v>109.06250000000001</v>
      </c>
      <c r="CA50" s="13">
        <f t="shared" si="39"/>
        <v>29.10999234861896</v>
      </c>
      <c r="CB50" s="20">
        <f t="shared" si="10"/>
        <v>240.6504241738447</v>
      </c>
      <c r="CC50" s="59">
        <f t="shared" si="11"/>
        <v>511.02866308976934</v>
      </c>
      <c r="CD50" s="59">
        <f ca="1">AVERAGE(OFFSET($CC$3,0,0,'Données projet'!$E$12+1,1))-AVERAGE(OFFSET($H$3,0,0,'Données projet'!$E$12+1,1))</f>
        <v>208.92677786250815</v>
      </c>
      <c r="CE50" s="59">
        <f t="shared" si="40"/>
        <v>207.54290142772214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5.7205750368635</v>
      </c>
      <c r="CL50" s="21">
        <f>EXP(-LN(2)/25)*CL49+(1-EXP(-LN(2)/25))/(LN(2)/25)*Calculateur!CG50*Calculateur!CI50*VLOOKUP('Données projet'!$B$12,Paramètres!$A$1:$I$89,3,0)*0.475*44/12</f>
        <v>6.9651757900040288</v>
      </c>
      <c r="CM50" s="21">
        <f>EXP(-LN(2)/2)*CM49+(1-EXP(-LN(2)/2))/(LN(2)/2)*CG50*CJ50*VLOOKUP('Données projet'!$B$12,Paramètres!$A$1:$I$89,3,0)*0.475*44/12</f>
        <v>1.9441145728375313</v>
      </c>
      <c r="CN50" s="22">
        <f t="shared" si="12"/>
        <v>14.629865399705061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63.739519704343095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10.001428571428571</v>
      </c>
      <c r="CT50" s="12">
        <f>IF('Données projet'!$A$140&gt;35,CT49+CS50-DB49,IF(A50&lt;'Données projet'!$A$140,$CQ$205^A50,IF(A50='Données projet'!$A$140,'Données projet'!$B$140,CT49+CS50-DB49)))</f>
        <v>128.06285714285715</v>
      </c>
      <c r="CU50" s="17">
        <f>CT50*VLOOKUP('Données projet'!$B$13,Paramètres!$A$1:$I$89,3,0)*VLOOKUP('Données projet'!$B$13,Paramètres!$A$1:$I$89,5,0)</f>
        <v>121.86461485714287</v>
      </c>
      <c r="CV50" s="13">
        <f t="shared" si="41"/>
        <v>32.109499056362758</v>
      </c>
      <c r="CW50" s="20">
        <f t="shared" si="13"/>
        <v>268.17158173268894</v>
      </c>
      <c r="CX50" s="59">
        <f t="shared" si="14"/>
        <v>538.5498206486136</v>
      </c>
      <c r="CY50" s="59">
        <f ca="1">AVERAGE(OFFSET($CX$3,0,0,'Données projet'!$E$13+1,1))-AVERAGE(OFFSET($H$3,0,0,'Données projet'!$E$13+1,1))</f>
        <v>470.42022791389275</v>
      </c>
      <c r="CZ50" s="59">
        <f t="shared" si="42"/>
        <v>300.26117330627346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0</v>
      </c>
      <c r="DG50" s="21">
        <f>EXP(-LN(2)/25)*DG49+(1-EXP(-LN(2)/25))/(LN(2)/25)*Calculateur!DB50*Calculateur!DD50*VLOOKUP('Données projet'!$B$13,Paramètres!$A$1:$I$89,3,0)*0.475*44/12</f>
        <v>10.724097433652883</v>
      </c>
      <c r="DH50" s="21">
        <f>EXP(-LN(2)/2)*DH49+(1-EXP(-LN(2)/2))/(LN(2)/2)*DB50*DE50*VLOOKUP('Données projet'!$B$13,Paramètres!$A$1:$I$89,3,0)*0.475*44/12</f>
        <v>5.3889518339814577</v>
      </c>
      <c r="DI50" s="22">
        <f t="shared" si="15"/>
        <v>16.113049267634342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63.739519704343095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3.3603333333333336</v>
      </c>
      <c r="DO50" s="12">
        <f>IF('Données projet'!$A$166&gt;35,DO49+DN50-DW49,IF(A50&lt;'Données projet'!$A$166,$DL$205^A50,IF(A50='Données projet'!$A$166,'Données projet'!$B$166,DO49+DN50-DW49)))</f>
        <v>157.93566666666661</v>
      </c>
      <c r="DP50" s="17">
        <f>DO50*VLOOKUP('Données projet'!$B$14,Paramètres!$A$1:$I$89,3,0)*VLOOKUP('Données projet'!$B$14,Paramètres!$A$1:$I$89,5,0)</f>
        <v>152.75537679999994</v>
      </c>
      <c r="DQ50" s="13">
        <f t="shared" si="43"/>
        <v>39.204089989127873</v>
      </c>
      <c r="DR50" s="20">
        <f t="shared" si="16"/>
        <v>334.32940465773095</v>
      </c>
      <c r="DS50" s="59">
        <f t="shared" si="17"/>
        <v>604.70764357365556</v>
      </c>
      <c r="DT50" s="59">
        <f ca="1">AVERAGE(OFFSET($DS$3,0,0,'Données projet'!$E$14+1,1))-AVERAGE(OFFSET($H$3,0,0,'Données projet'!$E$14+1,1))</f>
        <v>537.37164071064103</v>
      </c>
      <c r="DU50" s="59">
        <f t="shared" si="44"/>
        <v>263.29777321132235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0</v>
      </c>
      <c r="EB50" s="21">
        <f>EXP(-LN(2)/25)*EB49+(1-EXP(-LN(2)/25))/(LN(2)/25)*Calculateur!DW50*Calculateur!DY50*VLOOKUP('Données projet'!$B$14,Paramètres!$A$1:$I$89,3,0)*0.475*44/12</f>
        <v>0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0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63.739519704343095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63.739519704343095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63.739519704343095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63.739519704343095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45">
      <c r="A51" s="10">
        <f t="shared" si="31"/>
        <v>48</v>
      </c>
      <c r="B51" s="73">
        <f>'Scénario référence'!$B$16*5+'Scénario référence'!$B$17*0+'Scénario référence'!$B$18*5</f>
        <v>2.8499999999999996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10.449999999999998</v>
      </c>
      <c r="H51" s="67">
        <f t="shared" si="1"/>
        <v>214.86666666666667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63.848125041135617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14.351250000000004</v>
      </c>
      <c r="N51" s="13">
        <f>IF('Données projet'!$A$36&gt;35,N50+M51-V50,IF(A51&lt;'Données projet'!$A$36,$K$205^A51,IF(A51='Données projet'!$A$36,'Données projet'!$B$36,N50+M51-V50)))</f>
        <v>276.01750000000004</v>
      </c>
      <c r="O51" s="13">
        <f>N51*VLOOKUP('Données projet'!$B$9,Paramètres!$A$1:$I$89,3,0)*VLOOKUP('Données projet'!$B$9,Paramètres!$A$1:$I$89,5,0)</f>
        <v>249.74063400000006</v>
      </c>
      <c r="P51" s="13">
        <f t="shared" si="33"/>
        <v>60.530398172289644</v>
      </c>
      <c r="Q51" s="20">
        <f t="shared" si="53"/>
        <v>540.38871436673799</v>
      </c>
      <c r="R51" s="59">
        <f t="shared" si="0"/>
        <v>811.16517285090185</v>
      </c>
      <c r="S51" s="59">
        <f ca="1">AVERAGE(OFFSET($R$3,0,0,'Données projet'!$E$9+1,1))-AVERAGE(OFFSET($H$3,0,0,'Données projet'!$E$9+1,1))</f>
        <v>719.20816951277925</v>
      </c>
      <c r="T51" s="59">
        <f t="shared" si="34"/>
        <v>237.1127421841087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25.387647653755657</v>
      </c>
      <c r="AB51" s="21">
        <f>EXP(-LN(2)/2)*AB50+(1-EXP(-LN(2)/2))/(LN(2)/2)*V51*Y51*VLOOKUP('Données projet'!$B$9,Paramètres!$A$1:$I$89,3,0)*0.475*44/12</f>
        <v>1.2889316906847204</v>
      </c>
      <c r="AC51" s="22">
        <f t="shared" si="3"/>
        <v>26.676579344440377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63.848125041135617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14.224285714285713</v>
      </c>
      <c r="AI51" s="13">
        <f>IF('Données projet'!$A$62&gt;35,AI50+AH51-AQ50,IF(A51&lt;'Données projet'!$A$62,$AF$205^A51,IF(A51='Données projet'!$A$62,'Données projet'!$B$62,AI50+AH51-AQ50)))</f>
        <v>218.94714285714286</v>
      </c>
      <c r="AJ51" s="13">
        <f>AI51*VLOOKUP('Données projet'!$B$10,Paramètres!$A$1:$I$89,3,0)*VLOOKUP('Données projet'!$B$10,Paramètres!$A$1:$I$89,5,0)</f>
        <v>184.44107314285716</v>
      </c>
      <c r="AK51" s="13">
        <f t="shared" si="35"/>
        <v>46.308837180748704</v>
      </c>
      <c r="AL51" s="20">
        <f t="shared" si="4"/>
        <v>401.88942714694684</v>
      </c>
      <c r="AM51" s="59">
        <f t="shared" si="5"/>
        <v>672.66588563111077</v>
      </c>
      <c r="AN51" s="59">
        <f ca="1">AVERAGE(OFFSET($AM$3,0,0,'Données projet'!$E$10+1,1))-AVERAGE(OFFSET($H$3,0,0,'Données projet'!$E$10+1,1))</f>
        <v>442.79037205372367</v>
      </c>
      <c r="AO51" s="59">
        <f t="shared" si="36"/>
        <v>288.23553637727969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7.310370938550955</v>
      </c>
      <c r="AV51" s="21">
        <f>EXP(-LN(2)/25)*AV50+(1-EXP(-LN(2)/25))/(LN(2)/25)*Calculateur!AQ51*Calculateur!AS51*VLOOKUP('Données projet'!$B$10,Paramètres!$A$1:$I$89,3,0)*0.475*44/12</f>
        <v>27.453528379954015</v>
      </c>
      <c r="AW51" s="21">
        <f>EXP(-LN(2)/2)*AW50+(1-EXP(-LN(2)/2))/(LN(2)/2)*AQ51*AT51*VLOOKUP('Données projet'!$B$10,Paramètres!$A$1:$I$89,3,0)*0.475*44/12</f>
        <v>1.3049481724267302</v>
      </c>
      <c r="AX51" s="21">
        <f t="shared" si="6"/>
        <v>36.068847490931702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63.848125041135617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3.3603333333333336</v>
      </c>
      <c r="BD51" s="12">
        <f>IF('Données projet'!$A$88&gt;35,BD50+BC51-BL50,IF(A51&lt;'Données projet'!$A$88,$BA$205^A51,IF(A51='Données projet'!$A$88,'Données projet'!$B$88,BD50+BC51-BL50)))</f>
        <v>161.29599999999994</v>
      </c>
      <c r="BE51" s="13">
        <f>BD51*VLOOKUP('Données projet'!$B$11,Paramètres!$A$1:$I$89,3,0)*VLOOKUP('Données projet'!$B$11,Paramètres!$A$1:$I$89,5,0)</f>
        <v>163.55414399999992</v>
      </c>
      <c r="BF51" s="13">
        <f t="shared" si="37"/>
        <v>41.64313458919235</v>
      </c>
      <c r="BG51" s="20">
        <f t="shared" si="7"/>
        <v>357.38526020950985</v>
      </c>
      <c r="BH51" s="59">
        <f t="shared" si="8"/>
        <v>628.16171869367372</v>
      </c>
      <c r="BI51" s="59">
        <f ca="1">AVERAGE(OFFSET($BH$3,0,0,'Données projet'!$E$11+1,1))-AVERAGE(OFFSET($H$3,0,0,'Données projet'!$E$11+1,1))</f>
        <v>559.91818701710872</v>
      </c>
      <c r="BJ51" s="59">
        <f t="shared" si="38"/>
        <v>273.47272623465915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0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63.848125041135617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6.6506410256410255</v>
      </c>
      <c r="BY51" s="12">
        <f>IF('Données projet'!$A$114&gt;35,BY50+BX51-CG50,IF(A51&lt;'Données projet'!$A$114,$BV$205^A51,IF(A51='Données projet'!$A$114,'Données projet'!$B$114,BY50+BX51-CG50)))</f>
        <v>146.47435897435898</v>
      </c>
      <c r="BZ51" s="13">
        <f>BY51*VLOOKUP('Données projet'!$B$12,Paramètres!$A$1:$I$89,3,0)*VLOOKUP('Données projet'!$B$12,Paramètres!$A$1:$I$89,5,0)</f>
        <v>114.25</v>
      </c>
      <c r="CA51" s="13">
        <f t="shared" si="39"/>
        <v>30.330097814653229</v>
      </c>
      <c r="CB51" s="20">
        <f t="shared" si="10"/>
        <v>251.81033702718767</v>
      </c>
      <c r="CC51" s="59">
        <f t="shared" si="11"/>
        <v>522.58679551135162</v>
      </c>
      <c r="CD51" s="59">
        <f ca="1">AVERAGE(OFFSET($CC$3,0,0,'Données projet'!$E$12+1,1))-AVERAGE(OFFSET($H$3,0,0,'Données projet'!$E$12+1,1))</f>
        <v>208.92677786250815</v>
      </c>
      <c r="CE51" s="59">
        <f t="shared" si="40"/>
        <v>207.54290142772214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5.6083980495968486</v>
      </c>
      <c r="CL51" s="21">
        <f>EXP(-LN(2)/25)*CL50+(1-EXP(-LN(2)/25))/(LN(2)/25)*Calculateur!CG51*Calculateur!CI51*VLOOKUP('Données projet'!$B$12,Paramètres!$A$1:$I$89,3,0)*0.475*44/12</f>
        <v>6.7747126917436926</v>
      </c>
      <c r="CM51" s="21">
        <f>EXP(-LN(2)/2)*CM50+(1-EXP(-LN(2)/2))/(LN(2)/2)*CG51*CJ51*VLOOKUP('Données projet'!$B$12,Paramètres!$A$1:$I$89,3,0)*0.475*44/12</f>
        <v>1.3746965978570067</v>
      </c>
      <c r="CN51" s="22">
        <f t="shared" si="12"/>
        <v>13.757807339197548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63.848125041135617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10.001428571428571</v>
      </c>
      <c r="CT51" s="12">
        <f>IF('Données projet'!$A$140&gt;35,CT50+CS51-DB50,IF(A51&lt;'Données projet'!$A$140,$CQ$205^A51,IF(A51='Données projet'!$A$140,'Données projet'!$B$140,CT50+CS51-DB50)))</f>
        <v>138.06428571428572</v>
      </c>
      <c r="CU51" s="17">
        <f>CT51*VLOOKUP('Données projet'!$B$13,Paramètres!$A$1:$I$89,3,0)*VLOOKUP('Données projet'!$B$13,Paramètres!$A$1:$I$89,5,0)</f>
        <v>131.38197428571428</v>
      </c>
      <c r="CV51" s="13">
        <f t="shared" si="41"/>
        <v>34.315496219726761</v>
      </c>
      <c r="CW51" s="20">
        <f t="shared" si="13"/>
        <v>288.5897611303098</v>
      </c>
      <c r="CX51" s="59">
        <f t="shared" si="14"/>
        <v>559.36621961447372</v>
      </c>
      <c r="CY51" s="59">
        <f ca="1">AVERAGE(OFFSET($CX$3,0,0,'Données projet'!$E$13+1,1))-AVERAGE(OFFSET($H$3,0,0,'Données projet'!$E$13+1,1))</f>
        <v>470.42022791389275</v>
      </c>
      <c r="CZ51" s="59">
        <f t="shared" si="42"/>
        <v>300.26117330627346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0</v>
      </c>
      <c r="DG51" s="21">
        <f>EXP(-LN(2)/25)*DG50+(1-EXP(-LN(2)/25))/(LN(2)/25)*Calculateur!DB51*Calculateur!DD51*VLOOKUP('Données projet'!$B$13,Paramètres!$A$1:$I$89,3,0)*0.475*44/12</f>
        <v>10.43084642537387</v>
      </c>
      <c r="DH51" s="21">
        <f>EXP(-LN(2)/2)*DH50+(1-EXP(-LN(2)/2))/(LN(2)/2)*DB51*DE51*VLOOKUP('Données projet'!$B$13,Paramètres!$A$1:$I$89,3,0)*0.475*44/12</f>
        <v>3.810564385295971</v>
      </c>
      <c r="DI51" s="22">
        <f t="shared" si="15"/>
        <v>14.241410810669841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63.848125041135617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3.3603333333333336</v>
      </c>
      <c r="DO51" s="12">
        <f>IF('Données projet'!$A$166&gt;35,DO50+DN51-DW50,IF(A51&lt;'Données projet'!$A$166,$DL$205^A51,IF(A51='Données projet'!$A$166,'Données projet'!$B$166,DO50+DN51-DW50)))</f>
        <v>161.29599999999994</v>
      </c>
      <c r="DP51" s="17">
        <f>DO51*VLOOKUP('Données projet'!$B$14,Paramètres!$A$1:$I$89,3,0)*VLOOKUP('Données projet'!$B$14,Paramètres!$A$1:$I$89,5,0)</f>
        <v>156.00549119999997</v>
      </c>
      <c r="DQ51" s="13">
        <f t="shared" si="43"/>
        <v>39.940221355707003</v>
      </c>
      <c r="DR51" s="20">
        <f t="shared" si="16"/>
        <v>341.27211603452292</v>
      </c>
      <c r="DS51" s="59">
        <f t="shared" si="17"/>
        <v>612.04857451868679</v>
      </c>
      <c r="DT51" s="59">
        <f ca="1">AVERAGE(OFFSET($DS$3,0,0,'Données projet'!$E$14+1,1))-AVERAGE(OFFSET($H$3,0,0,'Données projet'!$E$14+1,1))</f>
        <v>537.37164071064103</v>
      </c>
      <c r="DU51" s="59">
        <f t="shared" si="44"/>
        <v>263.29777321132235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0</v>
      </c>
      <c r="EB51" s="21">
        <f>EXP(-LN(2)/25)*EB50+(1-EXP(-LN(2)/25))/(LN(2)/25)*Calculateur!DW51*Calculateur!DY51*VLOOKUP('Données projet'!$B$14,Paramètres!$A$1:$I$89,3,0)*0.475*44/12</f>
        <v>0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0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63.848125041135617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63.848125041135617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63.848125041135617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63.848125041135617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45">
      <c r="A52" s="10">
        <f t="shared" si="31"/>
        <v>49</v>
      </c>
      <c r="B52" s="73">
        <f>'Scénario référence'!$B$16*5+'Scénario référence'!$B$17*0+'Scénario référence'!$B$18*5</f>
        <v>2.8499999999999996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10.449999999999998</v>
      </c>
      <c r="H52" s="67">
        <f t="shared" si="1"/>
        <v>214.86666666666667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63.954846318139928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14.351250000000004</v>
      </c>
      <c r="N52" s="13">
        <f>IF('Données projet'!$A$36&gt;35,N51+M52-V51,IF(A52&lt;'Données projet'!$A$36,$K$205^A52,IF(A52='Données projet'!$A$36,'Données projet'!$B$36,N51+M52-V51)))</f>
        <v>290.36875000000003</v>
      </c>
      <c r="O52" s="13">
        <f>N52*VLOOKUP('Données projet'!$B$9,Paramètres!$A$1:$I$89,3,0)*VLOOKUP('Données projet'!$B$9,Paramètres!$A$1:$I$89,5,0)</f>
        <v>262.72564500000004</v>
      </c>
      <c r="P52" s="13">
        <f t="shared" si="33"/>
        <v>63.303022218516737</v>
      </c>
      <c r="Q52" s="20">
        <f t="shared" si="53"/>
        <v>567.83326207225002</v>
      </c>
      <c r="R52" s="59">
        <f t="shared" si="0"/>
        <v>839.00103190542973</v>
      </c>
      <c r="S52" s="59">
        <f ca="1">AVERAGE(OFFSET($R$3,0,0,'Données projet'!$E$9+1,1))-AVERAGE(OFFSET($H$3,0,0,'Données projet'!$E$9+1,1))</f>
        <v>719.20816951277925</v>
      </c>
      <c r="T52" s="59">
        <f t="shared" si="34"/>
        <v>237.1127421841087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24.693421093585343</v>
      </c>
      <c r="AB52" s="21">
        <f>EXP(-LN(2)/2)*AB51+(1-EXP(-LN(2)/2))/(LN(2)/2)*V52*Y52*VLOOKUP('Données projet'!$B$9,Paramètres!$A$1:$I$89,3,0)*0.475*44/12</f>
        <v>0.91141233896940732</v>
      </c>
      <c r="AC52" s="22">
        <f t="shared" si="3"/>
        <v>25.604833432554749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63.954846318139928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14.224285714285713</v>
      </c>
      <c r="AI52" s="13">
        <f>IF('Données projet'!$A$62&gt;35,AI51+AH52-AQ51,IF(A52&lt;'Données projet'!$A$62,$AF$205^A52,IF(A52='Données projet'!$A$62,'Données projet'!$B$62,AI51+AH52-AQ51)))</f>
        <v>233.17142857142858</v>
      </c>
      <c r="AJ52" s="13">
        <f>AI52*VLOOKUP('Données projet'!$B$10,Paramètres!$A$1:$I$89,3,0)*VLOOKUP('Données projet'!$B$10,Paramètres!$A$1:$I$89,5,0)</f>
        <v>196.42361142857146</v>
      </c>
      <c r="AK52" s="13">
        <f t="shared" si="35"/>
        <v>48.957362274220372</v>
      </c>
      <c r="AL52" s="20">
        <f t="shared" si="4"/>
        <v>427.3718625323624</v>
      </c>
      <c r="AM52" s="59">
        <f t="shared" si="5"/>
        <v>698.53963236554216</v>
      </c>
      <c r="AN52" s="59">
        <f ca="1">AVERAGE(OFFSET($AM$3,0,0,'Données projet'!$E$10+1,1))-AVERAGE(OFFSET($H$3,0,0,'Données projet'!$E$10+1,1))</f>
        <v>442.79037205372367</v>
      </c>
      <c r="AO52" s="59">
        <f t="shared" si="36"/>
        <v>288.23553637727969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7.1670190233319646</v>
      </c>
      <c r="AV52" s="21">
        <f>EXP(-LN(2)/25)*AV51+(1-EXP(-LN(2)/25))/(LN(2)/25)*Calculateur!AQ52*Calculateur!AS52*VLOOKUP('Données projet'!$B$10,Paramètres!$A$1:$I$89,3,0)*0.475*44/12</f>
        <v>26.70281020268586</v>
      </c>
      <c r="AW52" s="21">
        <f>EXP(-LN(2)/2)*AW51+(1-EXP(-LN(2)/2))/(LN(2)/2)*AQ52*AT52*VLOOKUP('Données projet'!$B$10,Paramètres!$A$1:$I$89,3,0)*0.475*44/12</f>
        <v>0.92273770181993309</v>
      </c>
      <c r="AX52" s="21">
        <f t="shared" si="6"/>
        <v>34.792566927837761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63.954846318139928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3.3603333333333336</v>
      </c>
      <c r="BD52" s="12">
        <f>IF('Données projet'!$A$88&gt;35,BD51+BC52-BL51,IF(A52&lt;'Données projet'!$A$88,$BA$205^A52,IF(A52='Données projet'!$A$88,'Données projet'!$B$88,BD51+BC52-BL51)))</f>
        <v>164.65633333333327</v>
      </c>
      <c r="BE52" s="13">
        <f>BD52*VLOOKUP('Données projet'!$B$11,Paramètres!$A$1:$I$89,3,0)*VLOOKUP('Données projet'!$B$11,Paramètres!$A$1:$I$89,5,0)</f>
        <v>166.96152199999995</v>
      </c>
      <c r="BF52" s="13">
        <f t="shared" si="37"/>
        <v>42.408792940283384</v>
      </c>
      <c r="BG52" s="20">
        <f t="shared" si="7"/>
        <v>364.65329852099347</v>
      </c>
      <c r="BH52" s="59">
        <f t="shared" si="8"/>
        <v>635.82106835417324</v>
      </c>
      <c r="BI52" s="59">
        <f ca="1">AVERAGE(OFFSET($BH$3,0,0,'Données projet'!$E$11+1,1))-AVERAGE(OFFSET($H$3,0,0,'Données projet'!$E$11+1,1))</f>
        <v>559.91818701710872</v>
      </c>
      <c r="BJ52" s="59">
        <f t="shared" si="38"/>
        <v>273.47272623465915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0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63.954846318139928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6.6506410256410255</v>
      </c>
      <c r="BY52" s="12">
        <f>IF('Données projet'!$A$114&gt;35,BY51+BX52-CG51,IF(A52&lt;'Données projet'!$A$114,$BV$205^A52,IF(A52='Données projet'!$A$114,'Données projet'!$B$114,BY51+BX52-CG51)))</f>
        <v>153.125</v>
      </c>
      <c r="BZ52" s="13">
        <f>BY52*VLOOKUP('Données projet'!$B$12,Paramètres!$A$1:$I$89,3,0)*VLOOKUP('Données projet'!$B$12,Paramètres!$A$1:$I$89,5,0)</f>
        <v>119.4375</v>
      </c>
      <c r="CA52" s="13">
        <f t="shared" si="39"/>
        <v>31.5437695525004</v>
      </c>
      <c r="CB52" s="20">
        <f t="shared" si="10"/>
        <v>262.95904447060485</v>
      </c>
      <c r="CC52" s="59">
        <f t="shared" si="11"/>
        <v>534.12681430378461</v>
      </c>
      <c r="CD52" s="59">
        <f ca="1">AVERAGE(OFFSET($CC$3,0,0,'Données projet'!$E$12+1,1))-AVERAGE(OFFSET($H$3,0,0,'Données projet'!$E$12+1,1))</f>
        <v>208.92677786250815</v>
      </c>
      <c r="CE52" s="59">
        <f t="shared" si="40"/>
        <v>207.54290142772214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5.4984207846292898</v>
      </c>
      <c r="CL52" s="21">
        <f>EXP(-LN(2)/25)*CL51+(1-EXP(-LN(2)/25))/(LN(2)/25)*Calculateur!CG52*Calculateur!CI52*VLOOKUP('Données projet'!$B$12,Paramètres!$A$1:$I$89,3,0)*0.475*44/12</f>
        <v>6.5894578169213043</v>
      </c>
      <c r="CM52" s="21">
        <f>EXP(-LN(2)/2)*CM51+(1-EXP(-LN(2)/2))/(LN(2)/2)*CG52*CJ52*VLOOKUP('Données projet'!$B$12,Paramètres!$A$1:$I$89,3,0)*0.475*44/12</f>
        <v>0.97205728641876588</v>
      </c>
      <c r="CN52" s="22">
        <f t="shared" si="12"/>
        <v>13.05993588796936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63.954846318139928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10.001428571428571</v>
      </c>
      <c r="CT52" s="12">
        <f>IF('Données projet'!$A$140&gt;35,CT51+CS52-DB51,IF(A52&lt;'Données projet'!$A$140,$CQ$205^A52,IF(A52='Données projet'!$A$140,'Données projet'!$B$140,CT51+CS52-DB51)))</f>
        <v>148.06571428571428</v>
      </c>
      <c r="CU52" s="17">
        <f>CT52*VLOOKUP('Données projet'!$B$13,Paramètres!$A$1:$I$89,3,0)*VLOOKUP('Données projet'!$B$13,Paramètres!$A$1:$I$89,5,0)</f>
        <v>140.89933371428572</v>
      </c>
      <c r="CV52" s="13">
        <f t="shared" si="41"/>
        <v>36.502953377985676</v>
      </c>
      <c r="CW52" s="20">
        <f t="shared" si="13"/>
        <v>308.97565001903934</v>
      </c>
      <c r="CX52" s="59">
        <f t="shared" si="14"/>
        <v>580.14341985221904</v>
      </c>
      <c r="CY52" s="59">
        <f ca="1">AVERAGE(OFFSET($CX$3,0,0,'Données projet'!$E$13+1,1))-AVERAGE(OFFSET($H$3,0,0,'Données projet'!$E$13+1,1))</f>
        <v>470.42022791389275</v>
      </c>
      <c r="CZ52" s="59">
        <f t="shared" si="42"/>
        <v>300.26117330627346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0</v>
      </c>
      <c r="DG52" s="21">
        <f>EXP(-LN(2)/25)*DG51+(1-EXP(-LN(2)/25))/(LN(2)/25)*Calculateur!DB52*Calculateur!DD52*VLOOKUP('Données projet'!$B$13,Paramètres!$A$1:$I$89,3,0)*0.475*44/12</f>
        <v>10.145614381337648</v>
      </c>
      <c r="DH52" s="21">
        <f>EXP(-LN(2)/2)*DH51+(1-EXP(-LN(2)/2))/(LN(2)/2)*DB52*DE52*VLOOKUP('Données projet'!$B$13,Paramètres!$A$1:$I$89,3,0)*0.475*44/12</f>
        <v>2.6944759169907293</v>
      </c>
      <c r="DI52" s="22">
        <f t="shared" si="15"/>
        <v>12.840090298328377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63.954846318139928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3.3603333333333336</v>
      </c>
      <c r="DO52" s="12">
        <f>IF('Données projet'!$A$166&gt;35,DO51+DN52-DW51,IF(A52&lt;'Données projet'!$A$166,$DL$205^A52,IF(A52='Données projet'!$A$166,'Données projet'!$B$166,DO51+DN52-DW51)))</f>
        <v>164.65633333333327</v>
      </c>
      <c r="DP52" s="17">
        <f>DO52*VLOOKUP('Données projet'!$B$14,Paramètres!$A$1:$I$89,3,0)*VLOOKUP('Données projet'!$B$14,Paramètres!$A$1:$I$89,5,0)</f>
        <v>159.25560559999994</v>
      </c>
      <c r="DQ52" s="13">
        <f t="shared" si="43"/>
        <v>40.674569630088818</v>
      </c>
      <c r="DR52" s="20">
        <f t="shared" si="16"/>
        <v>348.21172185907125</v>
      </c>
      <c r="DS52" s="59">
        <f t="shared" si="17"/>
        <v>619.37949169225101</v>
      </c>
      <c r="DT52" s="59">
        <f ca="1">AVERAGE(OFFSET($DS$3,0,0,'Données projet'!$E$14+1,1))-AVERAGE(OFFSET($H$3,0,0,'Données projet'!$E$14+1,1))</f>
        <v>537.37164071064103</v>
      </c>
      <c r="DU52" s="59">
        <f t="shared" si="44"/>
        <v>263.29777321132235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0</v>
      </c>
      <c r="EB52" s="21">
        <f>EXP(-LN(2)/25)*EB51+(1-EXP(-LN(2)/25))/(LN(2)/25)*Calculateur!DW52*Calculateur!DY52*VLOOKUP('Données projet'!$B$14,Paramètres!$A$1:$I$89,3,0)*0.475*44/12</f>
        <v>0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0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63.954846318139928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63.954846318139928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63.954846318139928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63.954846318139928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45">
      <c r="A53" s="10">
        <f t="shared" si="31"/>
        <v>50</v>
      </c>
      <c r="B53" s="73">
        <f>'Scénario référence'!$B$16*5+'Scénario référence'!$B$17*0+'Scénario référence'!$B$18*5</f>
        <v>2.8499999999999996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10.449999999999998</v>
      </c>
      <c r="H53" s="67">
        <f t="shared" si="1"/>
        <v>214.86666666666667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64.059716219581247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304.72000000000003</v>
      </c>
      <c r="L53" s="12">
        <f>VLOOKUP(A53,'Données projet'!$A$35:$I$55,9,0)</f>
        <v>14.351250000000004</v>
      </c>
      <c r="M53" s="12">
        <f t="array" ref="M53">INDEX(L:L,MIN(IF(ISNUMBER(L53:L249),ROW(L53:L249),"")))</f>
        <v>14.351250000000004</v>
      </c>
      <c r="N53" s="13">
        <f>IF('Données projet'!$A$36&gt;35,N52+M53-V52,IF(A53&lt;'Données projet'!$A$36,$K$205^A53,IF(A53='Données projet'!$A$36,'Données projet'!$B$36,N52+M53-V52)))</f>
        <v>304.72000000000003</v>
      </c>
      <c r="O53" s="13">
        <f>N53*VLOOKUP('Données projet'!$B$9,Paramètres!$A$1:$I$89,3,0)*VLOOKUP('Données projet'!$B$9,Paramètres!$A$1:$I$89,5,0)</f>
        <v>275.71065600000003</v>
      </c>
      <c r="P53" s="13">
        <f t="shared" si="33"/>
        <v>66.059734370197603</v>
      </c>
      <c r="Q53" s="20">
        <f t="shared" si="53"/>
        <v>595.25009656142754</v>
      </c>
      <c r="R53" s="59">
        <f t="shared" si="0"/>
        <v>866.80238936655883</v>
      </c>
      <c r="S53" s="59">
        <f ca="1">AVERAGE(OFFSET($R$3,0,0,'Données projet'!$E$9+1,1))-AVERAGE(OFFSET($H$3,0,0,'Données projet'!$E$9+1,1))</f>
        <v>719.20816951277925</v>
      </c>
      <c r="T53" s="59">
        <f t="shared" si="34"/>
        <v>237.1127421841087</v>
      </c>
      <c r="U53" s="15">
        <f>IF(ISNA(VLOOKUP(A53,'Données projet'!$A$35:$I$55,3,0)),0,VLOOKUP(A53,'Données projet'!$A$35:$I$55,3,0))</f>
        <v>3</v>
      </c>
      <c r="V53" s="15">
        <f>IF(ISNA(VLOOKUP(A53,'Données projet'!$A$35:$I$55,4,0)),0,VLOOKUP(A53,'Données projet'!$A$35:$I$55,4,0))</f>
        <v>70.730000000000018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0.34400000000000003</v>
      </c>
      <c r="Y53" s="16">
        <f>IF(ISNA(VLOOKUP(A53,'Données projet'!$A$35:$I$55,7,0)),0%,VLOOKUP(A53,'Données projet'!$A$35:$I$55,7,0))</f>
        <v>0.2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48.259061719647775</v>
      </c>
      <c r="AB53" s="21">
        <f>EXP(-LN(2)/2)*AB52+(1-EXP(-LN(2)/2))/(LN(2)/2)*V53*Y53*VLOOKUP('Données projet'!$B$9,Paramètres!$A$1:$I$89,3,0)*0.475*44/12</f>
        <v>12.720950638272642</v>
      </c>
      <c r="AC53" s="22">
        <f t="shared" si="3"/>
        <v>60.980012357920415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64.059716219581247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14.224285714285713</v>
      </c>
      <c r="AI53" s="13">
        <f>IF('Données projet'!$A$62&gt;35,AI52+AH53-AQ52,IF(A53&lt;'Données projet'!$A$62,$AF$205^A53,IF(A53='Données projet'!$A$62,'Données projet'!$B$62,AI52+AH53-AQ52)))</f>
        <v>247.39571428571429</v>
      </c>
      <c r="AJ53" s="13">
        <f>AI53*VLOOKUP('Données projet'!$B$10,Paramètres!$A$1:$I$89,3,0)*VLOOKUP('Données projet'!$B$10,Paramètres!$A$1:$I$89,5,0)</f>
        <v>208.40614971428573</v>
      </c>
      <c r="AK53" s="13">
        <f t="shared" si="35"/>
        <v>51.587135022941858</v>
      </c>
      <c r="AL53" s="20">
        <f t="shared" si="4"/>
        <v>452.82163758400475</v>
      </c>
      <c r="AM53" s="59">
        <f t="shared" si="5"/>
        <v>724.37393038913592</v>
      </c>
      <c r="AN53" s="59">
        <f ca="1">AVERAGE(OFFSET($AM$3,0,0,'Données projet'!$E$10+1,1))-AVERAGE(OFFSET($H$3,0,0,'Données projet'!$E$10+1,1))</f>
        <v>442.79037205372367</v>
      </c>
      <c r="AO53" s="59">
        <f t="shared" si="36"/>
        <v>288.23553637727969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7.0264781517343842</v>
      </c>
      <c r="AV53" s="21">
        <f>EXP(-LN(2)/25)*AV52+(1-EXP(-LN(2)/25))/(LN(2)/25)*Calculateur!AQ53*Calculateur!AS53*VLOOKUP('Données projet'!$B$10,Paramètres!$A$1:$I$89,3,0)*0.475*44/12</f>
        <v>25.972620453453658</v>
      </c>
      <c r="AW53" s="21">
        <f>EXP(-LN(2)/2)*AW52+(1-EXP(-LN(2)/2))/(LN(2)/2)*AQ53*AT53*VLOOKUP('Données projet'!$B$10,Paramètres!$A$1:$I$89,3,0)*0.475*44/12</f>
        <v>0.65247408621336522</v>
      </c>
      <c r="AX53" s="21">
        <f t="shared" si="6"/>
        <v>33.651572691401405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64.059716219581247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3.3603333333333336</v>
      </c>
      <c r="BD53" s="12">
        <f>IF('Données projet'!$A$88&gt;35,BD52+BC53-BL52,IF(A53&lt;'Données projet'!$A$88,$BA$205^A53,IF(A53='Données projet'!$A$88,'Données projet'!$B$88,BD52+BC53-BL52)))</f>
        <v>168.01666666666659</v>
      </c>
      <c r="BE53" s="13">
        <f>BD53*VLOOKUP('Données projet'!$B$11,Paramètres!$A$1:$I$89,3,0)*VLOOKUP('Données projet'!$B$11,Paramètres!$A$1:$I$89,5,0)</f>
        <v>170.36889999999994</v>
      </c>
      <c r="BF53" s="13">
        <f t="shared" si="37"/>
        <v>43.172634487453415</v>
      </c>
      <c r="BG53" s="20">
        <f t="shared" si="7"/>
        <v>371.91817256564792</v>
      </c>
      <c r="BH53" s="59">
        <f t="shared" si="8"/>
        <v>643.47046537077915</v>
      </c>
      <c r="BI53" s="59">
        <f ca="1">AVERAGE(OFFSET($BH$3,0,0,'Données projet'!$E$11+1,1))-AVERAGE(OFFSET($H$3,0,0,'Données projet'!$E$11+1,1))</f>
        <v>559.91818701710872</v>
      </c>
      <c r="BJ53" s="59">
        <f t="shared" si="38"/>
        <v>273.47272623465915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0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64.059716219581247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6.6506410256410255</v>
      </c>
      <c r="BY53" s="12">
        <f>IF('Données projet'!$A$114&gt;35,BY52+BX53-CG52,IF(A53&lt;'Données projet'!$A$114,$BV$205^A53,IF(A53='Données projet'!$A$114,'Données projet'!$B$114,BY52+BX53-CG52)))</f>
        <v>159.77564102564102</v>
      </c>
      <c r="BZ53" s="13">
        <f>BY53*VLOOKUP('Données projet'!$B$12,Paramètres!$A$1:$I$89,3,0)*VLOOKUP('Données projet'!$B$12,Paramètres!$A$1:$I$89,5,0)</f>
        <v>124.625</v>
      </c>
      <c r="CA53" s="13">
        <f t="shared" si="39"/>
        <v>32.751318935498368</v>
      </c>
      <c r="CB53" s="20">
        <f t="shared" si="10"/>
        <v>274.09708881265965</v>
      </c>
      <c r="CC53" s="59">
        <f t="shared" si="11"/>
        <v>545.64938161779082</v>
      </c>
      <c r="CD53" s="59">
        <f ca="1">AVERAGE(OFFSET($CC$3,0,0,'Données projet'!$E$12+1,1))-AVERAGE(OFFSET($H$3,0,0,'Données projet'!$E$12+1,1))</f>
        <v>208.92677786250815</v>
      </c>
      <c r="CE53" s="59">
        <f t="shared" si="40"/>
        <v>207.54290142772214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5.390600106748237</v>
      </c>
      <c r="CL53" s="21">
        <f>EXP(-LN(2)/25)*CL52+(1-EXP(-LN(2)/25))/(LN(2)/25)*Calculateur!CG53*Calculateur!CI53*VLOOKUP('Données projet'!$B$12,Paramètres!$A$1:$I$89,3,0)*0.475*44/12</f>
        <v>6.4092687463930647</v>
      </c>
      <c r="CM53" s="21">
        <f>EXP(-LN(2)/2)*CM52+(1-EXP(-LN(2)/2))/(LN(2)/2)*CG53*CJ53*VLOOKUP('Données projet'!$B$12,Paramètres!$A$1:$I$89,3,0)*0.475*44/12</f>
        <v>0.68734829892850346</v>
      </c>
      <c r="CN53" s="22">
        <f t="shared" si="12"/>
        <v>12.487217152069805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64.059716219581247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10.001428571428571</v>
      </c>
      <c r="CT53" s="12">
        <f>IF('Données projet'!$A$140&gt;35,CT52+CS53-DB52,IF(A53&lt;'Données projet'!$A$140,$CQ$205^A53,IF(A53='Données projet'!$A$140,'Données projet'!$B$140,CT52+CS53-DB52)))</f>
        <v>158.06714285714284</v>
      </c>
      <c r="CU53" s="17">
        <f>CT53*VLOOKUP('Données projet'!$B$13,Paramètres!$A$1:$I$89,3,0)*VLOOKUP('Données projet'!$B$13,Paramètres!$A$1:$I$89,5,0)</f>
        <v>150.41669314285713</v>
      </c>
      <c r="CV53" s="13">
        <f t="shared" si="41"/>
        <v>38.673265338618677</v>
      </c>
      <c r="CW53" s="20">
        <f t="shared" si="13"/>
        <v>329.33167768857032</v>
      </c>
      <c r="CX53" s="59">
        <f t="shared" si="14"/>
        <v>600.88397049370155</v>
      </c>
      <c r="CY53" s="59">
        <f ca="1">AVERAGE(OFFSET($CX$3,0,0,'Données projet'!$E$13+1,1))-AVERAGE(OFFSET($H$3,0,0,'Données projet'!$E$13+1,1))</f>
        <v>470.42022791389275</v>
      </c>
      <c r="CZ53" s="59">
        <f t="shared" si="42"/>
        <v>300.26117330627346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0</v>
      </c>
      <c r="DG53" s="21">
        <f>EXP(-LN(2)/25)*DG52+(1-EXP(-LN(2)/25))/(LN(2)/25)*Calculateur!DB53*Calculateur!DD53*VLOOKUP('Données projet'!$B$13,Paramètres!$A$1:$I$89,3,0)*0.475*44/12</f>
        <v>9.8681820225452981</v>
      </c>
      <c r="DH53" s="21">
        <f>EXP(-LN(2)/2)*DH52+(1-EXP(-LN(2)/2))/(LN(2)/2)*DB53*DE53*VLOOKUP('Données projet'!$B$13,Paramètres!$A$1:$I$89,3,0)*0.475*44/12</f>
        <v>1.9052821926479857</v>
      </c>
      <c r="DI53" s="22">
        <f t="shared" si="15"/>
        <v>11.773464215193284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64.059716219581247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3.3603333333333336</v>
      </c>
      <c r="DO53" s="12">
        <f>IF('Données projet'!$A$166&gt;35,DO52+DN53-DW52,IF(A53&lt;'Données projet'!$A$166,$DL$205^A53,IF(A53='Données projet'!$A$166,'Données projet'!$B$166,DO52+DN53-DW52)))</f>
        <v>168.01666666666659</v>
      </c>
      <c r="DP53" s="17">
        <f>DO53*VLOOKUP('Données projet'!$B$14,Paramètres!$A$1:$I$89,3,0)*VLOOKUP('Données projet'!$B$14,Paramètres!$A$1:$I$89,5,0)</f>
        <v>162.50571999999994</v>
      </c>
      <c r="DQ53" s="13">
        <f t="shared" si="43"/>
        <v>41.407175395135489</v>
      </c>
      <c r="DR53" s="20">
        <f t="shared" si="16"/>
        <v>355.14829281319425</v>
      </c>
      <c r="DS53" s="59">
        <f t="shared" si="17"/>
        <v>626.70058561832548</v>
      </c>
      <c r="DT53" s="59">
        <f ca="1">AVERAGE(OFFSET($DS$3,0,0,'Données projet'!$E$14+1,1))-AVERAGE(OFFSET($H$3,0,0,'Données projet'!$E$14+1,1))</f>
        <v>537.37164071064103</v>
      </c>
      <c r="DU53" s="59">
        <f t="shared" si="44"/>
        <v>263.29777321132235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0</v>
      </c>
      <c r="EB53" s="21">
        <f>EXP(-LN(2)/25)*EB52+(1-EXP(-LN(2)/25))/(LN(2)/25)*Calculateur!DW53*Calculateur!DY53*VLOOKUP('Données projet'!$B$14,Paramètres!$A$1:$I$89,3,0)*0.475*44/12</f>
        <v>0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0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64.059716219581247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64.059716219581247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64.059716219581247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64.059716219581247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45">
      <c r="A54" s="10">
        <f t="shared" si="31"/>
        <v>51</v>
      </c>
      <c r="B54" s="73">
        <f>'Scénario référence'!$B$16*5+'Scénario référence'!$B$17*0+'Scénario référence'!$B$18*5</f>
        <v>2.8499999999999996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10.449999999999998</v>
      </c>
      <c r="H54" s="67">
        <f t="shared" si="1"/>
        <v>214.86666666666667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64.162766862686539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14.073749999999997</v>
      </c>
      <c r="N54" s="13">
        <f>IF('Données projet'!$A$36&gt;35,N53+M54-V53,IF(A54&lt;'Données projet'!$A$36,$K$205^A54,IF(A54='Données projet'!$A$36,'Données projet'!$B$36,N53+M54-V53)))</f>
        <v>248.06375000000003</v>
      </c>
      <c r="O54" s="13">
        <f>N54*VLOOKUP('Données projet'!$B$9,Paramètres!$A$1:$I$89,3,0)*VLOOKUP('Données projet'!$B$9,Paramètres!$A$1:$I$89,5,0)</f>
        <v>224.44808100000003</v>
      </c>
      <c r="P54" s="13">
        <f t="shared" si="33"/>
        <v>55.080525002460227</v>
      </c>
      <c r="Q54" s="20">
        <f t="shared" si="53"/>
        <v>486.84565545428495</v>
      </c>
      <c r="R54" s="59">
        <f t="shared" si="0"/>
        <v>758.77580061746892</v>
      </c>
      <c r="S54" s="59">
        <f ca="1">AVERAGE(OFFSET($R$3,0,0,'Données projet'!$E$9+1,1))-AVERAGE(OFFSET($H$3,0,0,'Données projet'!$E$9+1,1))</f>
        <v>719.20816951277925</v>
      </c>
      <c r="T54" s="59">
        <f t="shared" si="34"/>
        <v>237.1127421841087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0</v>
      </c>
      <c r="AA54" s="21">
        <f>EXP(-LN(2)/25)*AA53+(1-EXP(-LN(2)/25))/(LN(2)/25)*Calculateur!V54*Calculateur!X54*VLOOKUP('Données projet'!$B$9,Paramètres!$A$1:$I$89,3,0)*0.475*44/12</f>
        <v>46.939415139090251</v>
      </c>
      <c r="AB54" s="21">
        <f>EXP(-LN(2)/2)*AB53+(1-EXP(-LN(2)/2))/(LN(2)/2)*V54*Y54*VLOOKUP('Données projet'!$B$9,Paramètres!$A$1:$I$89,3,0)*0.475*44/12</f>
        <v>8.9950704594619264</v>
      </c>
      <c r="AC54" s="22">
        <f t="shared" si="3"/>
        <v>55.934485598552179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64.162766862686539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>
        <f>VLOOKUP(A54,'Données projet'!$A$61:$I$81,2,0)</f>
        <v>261.62</v>
      </c>
      <c r="AG54" s="12">
        <f>VLOOKUP(A54,'Données projet'!$A$61:$I$81,9,0)</f>
        <v>14.224285714285713</v>
      </c>
      <c r="AH54" s="12">
        <f t="array" ref="AH54">INDEX(AG:AG,MIN(IF(ISNUMBER(AG54:AG250),ROW(AG54:AG250),"")))</f>
        <v>14.224285714285713</v>
      </c>
      <c r="AI54" s="13">
        <f>IF('Données projet'!$A$62&gt;35,AI53+AH54-AQ53,IF(A54&lt;'Données projet'!$A$62,$AF$205^A54,IF(A54='Données projet'!$A$62,'Données projet'!$B$62,AI53+AH54-AQ53)))</f>
        <v>261.62</v>
      </c>
      <c r="AJ54" s="13">
        <f>AI54*VLOOKUP('Données projet'!$B$10,Paramètres!$A$1:$I$89,3,0)*VLOOKUP('Données projet'!$B$10,Paramètres!$A$1:$I$89,5,0)</f>
        <v>220.388688</v>
      </c>
      <c r="AK54" s="13">
        <f t="shared" si="35"/>
        <v>54.199356456019601</v>
      </c>
      <c r="AL54" s="20">
        <f t="shared" si="4"/>
        <v>478.24084409423403</v>
      </c>
      <c r="AM54" s="59">
        <f t="shared" si="5"/>
        <v>750.170989257418</v>
      </c>
      <c r="AN54" s="59">
        <f ca="1">AVERAGE(OFFSET($AM$3,0,0,'Données projet'!$E$10+1,1))-AVERAGE(OFFSET($H$3,0,0,'Données projet'!$E$10+1,1))</f>
        <v>442.79037205372367</v>
      </c>
      <c r="AO54" s="59">
        <f t="shared" si="36"/>
        <v>288.23553637727969</v>
      </c>
      <c r="AP54" s="15">
        <f>IF(ISNA(VLOOKUP(A54,'Données projet'!$A$61:$I$81,3,0)),0,VLOOKUP(A54,'Données projet'!$A$61:$I$81,3,0))</f>
        <v>4</v>
      </c>
      <c r="AQ54" s="15">
        <f>IF(ISNA(VLOOKUP(A54,'Données projet'!$A$61:$I$81,4,0)),0,VLOOKUP(A54,'Données projet'!$A$61:$I$81,4,0))</f>
        <v>55.400000000000006</v>
      </c>
      <c r="AR54" s="16">
        <f>IF(ISNA(VLOOKUP(A54,'Données projet'!$A$61:$I$81,5,0)),0%,VLOOKUP(A54,'Données projet'!$A$61:$I$81,5,0)*VLOOKUP('Données projet'!$B$10,Paramètres!$A$1:$I$89,7,0))</f>
        <v>0.15049999999999999</v>
      </c>
      <c r="AS54" s="16">
        <f>IF(ISNA(VLOOKUP(A54,'Données projet'!$A$61:$I$81,6,0)),0%,VLOOKUP(A54,'Données projet'!$A$61:$I$81,6,0)*VLOOKUP('Données projet'!$B$10,Paramètres!$A$1:$I$89,7,0))</f>
        <v>8.6000000000000007E-2</v>
      </c>
      <c r="AT54" s="16">
        <f>IF(ISNA(VLOOKUP(A54,'Données projet'!$A$61:$I$81,7,0)),0%,VLOOKUP(A54,'Données projet'!$A$61:$I$81,7,0))</f>
        <v>0.1</v>
      </c>
      <c r="AU54" s="21">
        <f>EXP(-LN(2)/35)*AU53+(1-EXP(-LN(2)/35))/(LN(2)/35)*AQ54*AR54*VLOOKUP('Données projet'!$B$10,Paramètres!$A$1:$I$89,3,0)*0.475*44/12</f>
        <v>14.653161715910381</v>
      </c>
      <c r="AV54" s="21">
        <f>EXP(-LN(2)/25)*AV53+(1-EXP(-LN(2)/25))/(LN(2)/25)*Calculateur!AQ54*Calculateur!AS54*VLOOKUP('Données projet'!$B$10,Paramètres!$A$1:$I$89,3,0)*0.475*44/12</f>
        <v>29.681767406436077</v>
      </c>
      <c r="AW54" s="21">
        <f>EXP(-LN(2)/2)*AW53+(1-EXP(-LN(2)/2))/(LN(2)/2)*AQ54*AT54*VLOOKUP('Données projet'!$B$10,Paramètres!$A$1:$I$89,3,0)*0.475*44/12</f>
        <v>4.8647108345741961</v>
      </c>
      <c r="AX54" s="21">
        <f t="shared" si="6"/>
        <v>49.199639956920656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64.162766862686539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3.3603333333333336</v>
      </c>
      <c r="BD54" s="12">
        <f>IF('Données projet'!$A$88&gt;35,BD53+BC54-BL53,IF(A54&lt;'Données projet'!$A$88,$BA$205^A54,IF(A54='Données projet'!$A$88,'Données projet'!$B$88,BD53+BC54-BL53)))</f>
        <v>171.37699999999992</v>
      </c>
      <c r="BE54" s="13">
        <f>BD54*VLOOKUP('Données projet'!$B$11,Paramètres!$A$1:$I$89,3,0)*VLOOKUP('Données projet'!$B$11,Paramètres!$A$1:$I$89,5,0)</f>
        <v>173.77627799999993</v>
      </c>
      <c r="BF54" s="13">
        <f t="shared" si="37"/>
        <v>43.934699754571064</v>
      </c>
      <c r="BG54" s="20">
        <f t="shared" si="7"/>
        <v>379.17995292254449</v>
      </c>
      <c r="BH54" s="59">
        <f t="shared" si="8"/>
        <v>651.1100980857284</v>
      </c>
      <c r="BI54" s="59">
        <f ca="1">AVERAGE(OFFSET($BH$3,0,0,'Données projet'!$E$11+1,1))-AVERAGE(OFFSET($H$3,0,0,'Données projet'!$E$11+1,1))</f>
        <v>559.91818701710872</v>
      </c>
      <c r="BJ54" s="59">
        <f t="shared" si="38"/>
        <v>273.47272623465915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0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64.162766862686539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6.6506410256410255</v>
      </c>
      <c r="BY54" s="12">
        <f>IF('Données projet'!$A$114&gt;35,BY53+BX54-CG53,IF(A54&lt;'Données projet'!$A$114,$BV$205^A54,IF(A54='Données projet'!$A$114,'Données projet'!$B$114,BY53+BX54-CG53)))</f>
        <v>166.42628205128204</v>
      </c>
      <c r="BZ54" s="13">
        <f>BY54*VLOOKUP('Données projet'!$B$12,Paramètres!$A$1:$I$89,3,0)*VLOOKUP('Données projet'!$B$12,Paramètres!$A$1:$I$89,5,0)</f>
        <v>129.8125</v>
      </c>
      <c r="CA54" s="13">
        <f t="shared" si="39"/>
        <v>33.953029948668728</v>
      </c>
      <c r="CB54" s="20">
        <f t="shared" si="10"/>
        <v>285.224964660598</v>
      </c>
      <c r="CC54" s="59">
        <f t="shared" si="11"/>
        <v>557.15510982378191</v>
      </c>
      <c r="CD54" s="59">
        <f ca="1">AVERAGE(OFFSET($CC$3,0,0,'Données projet'!$E$12+1,1))-AVERAGE(OFFSET($H$3,0,0,'Données projet'!$E$12+1,1))</f>
        <v>208.92677786250815</v>
      </c>
      <c r="CE54" s="59">
        <f t="shared" si="40"/>
        <v>207.54290142772214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5.2848937265963123</v>
      </c>
      <c r="CL54" s="21">
        <f>EXP(-LN(2)/25)*CL53+(1-EXP(-LN(2)/25))/(LN(2)/25)*Calculateur!CG54*Calculateur!CI54*VLOOKUP('Données projet'!$B$12,Paramètres!$A$1:$I$89,3,0)*0.475*44/12</f>
        <v>6.2340069554741513</v>
      </c>
      <c r="CM54" s="21">
        <f>EXP(-LN(2)/2)*CM53+(1-EXP(-LN(2)/2))/(LN(2)/2)*CG54*CJ54*VLOOKUP('Données projet'!$B$12,Paramètres!$A$1:$I$89,3,0)*0.475*44/12</f>
        <v>0.48602864320938299</v>
      </c>
      <c r="CN54" s="22">
        <f t="shared" si="12"/>
        <v>12.004929325279846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64.162766862686539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10.001428571428571</v>
      </c>
      <c r="CT54" s="12">
        <f>IF('Données projet'!$A$140&gt;35,CT53+CS54-DB53,IF(A54&lt;'Données projet'!$A$140,$CQ$205^A54,IF(A54='Données projet'!$A$140,'Données projet'!$B$140,CT53+CS54-DB53)))</f>
        <v>168.0685714285714</v>
      </c>
      <c r="CU54" s="17">
        <f>CT54*VLOOKUP('Données projet'!$B$13,Paramètres!$A$1:$I$89,3,0)*VLOOKUP('Données projet'!$B$13,Paramètres!$A$1:$I$89,5,0)</f>
        <v>159.93405257142857</v>
      </c>
      <c r="CV54" s="13">
        <f t="shared" si="41"/>
        <v>40.827640423227386</v>
      </c>
      <c r="CW54" s="20">
        <f t="shared" si="13"/>
        <v>349.65994863235909</v>
      </c>
      <c r="CX54" s="59">
        <f t="shared" si="14"/>
        <v>621.590093795543</v>
      </c>
      <c r="CY54" s="59">
        <f ca="1">AVERAGE(OFFSET($CX$3,0,0,'Données projet'!$E$13+1,1))-AVERAGE(OFFSET($H$3,0,0,'Données projet'!$E$13+1,1))</f>
        <v>470.42022791389275</v>
      </c>
      <c r="CZ54" s="59">
        <f t="shared" si="42"/>
        <v>300.26117330627346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0</v>
      </c>
      <c r="DG54" s="21">
        <f>EXP(-LN(2)/25)*DG53+(1-EXP(-LN(2)/25))/(LN(2)/25)*Calculateur!DB54*Calculateur!DD54*VLOOKUP('Données projet'!$B$13,Paramètres!$A$1:$I$89,3,0)*0.475*44/12</f>
        <v>9.5983360661936583</v>
      </c>
      <c r="DH54" s="21">
        <f>EXP(-LN(2)/2)*DH53+(1-EXP(-LN(2)/2))/(LN(2)/2)*DB54*DE54*VLOOKUP('Données projet'!$B$13,Paramètres!$A$1:$I$89,3,0)*0.475*44/12</f>
        <v>1.3472379584953649</v>
      </c>
      <c r="DI54" s="22">
        <f t="shared" si="15"/>
        <v>10.945574024689023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64.162766862686539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3.3603333333333336</v>
      </c>
      <c r="DO54" s="12">
        <f>IF('Données projet'!$A$166&gt;35,DO53+DN54-DW53,IF(A54&lt;'Données projet'!$A$166,$DL$205^A54,IF(A54='Données projet'!$A$166,'Données projet'!$B$166,DO53+DN54-DW53)))</f>
        <v>171.37699999999992</v>
      </c>
      <c r="DP54" s="17">
        <f>DO54*VLOOKUP('Données projet'!$B$14,Paramètres!$A$1:$I$89,3,0)*VLOOKUP('Données projet'!$B$14,Paramètres!$A$1:$I$89,5,0)</f>
        <v>165.75583439999994</v>
      </c>
      <c r="DQ54" s="13">
        <f t="shared" si="43"/>
        <v>42.13807751757264</v>
      </c>
      <c r="DR54" s="20">
        <f t="shared" si="16"/>
        <v>362.08189658977221</v>
      </c>
      <c r="DS54" s="59">
        <f t="shared" si="17"/>
        <v>634.01204175295618</v>
      </c>
      <c r="DT54" s="59">
        <f ca="1">AVERAGE(OFFSET($DS$3,0,0,'Données projet'!$E$14+1,1))-AVERAGE(OFFSET($H$3,0,0,'Données projet'!$E$14+1,1))</f>
        <v>537.37164071064103</v>
      </c>
      <c r="DU54" s="59">
        <f t="shared" si="44"/>
        <v>263.29777321132235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0</v>
      </c>
      <c r="EB54" s="21">
        <f>EXP(-LN(2)/25)*EB53+(1-EXP(-LN(2)/25))/(LN(2)/25)*Calculateur!DW54*Calculateur!DY54*VLOOKUP('Données projet'!$B$14,Paramètres!$A$1:$I$89,3,0)*0.475*44/12</f>
        <v>0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0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64.162766862686539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64.162766862686539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64.162766862686539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64.162766862686539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45">
      <c r="A55" s="10">
        <f t="shared" si="31"/>
        <v>52</v>
      </c>
      <c r="B55" s="73">
        <f>'Scénario référence'!$B$16*5+'Scénario référence'!$B$17*0+'Scénario référence'!$B$18*5</f>
        <v>2.8499999999999996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10.449999999999998</v>
      </c>
      <c r="H55" s="67">
        <f t="shared" si="1"/>
        <v>214.86666666666667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64.264029807520686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14.073749999999997</v>
      </c>
      <c r="N55" s="13">
        <f>IF('Données projet'!$A$36&gt;35,N54+M55-V54,IF(A55&lt;'Données projet'!$A$36,$K$205^A55,IF(A55='Données projet'!$A$36,'Données projet'!$B$36,N54+M55-V54)))</f>
        <v>262.13750000000005</v>
      </c>
      <c r="O55" s="13">
        <f>N55*VLOOKUP('Données projet'!$B$9,Paramètres!$A$1:$I$89,3,0)*VLOOKUP('Données projet'!$B$9,Paramètres!$A$1:$I$89,5,0)</f>
        <v>237.18201000000005</v>
      </c>
      <c r="P55" s="13">
        <f t="shared" si="33"/>
        <v>57.832810058824109</v>
      </c>
      <c r="Q55" s="20">
        <f t="shared" si="53"/>
        <v>513.81747826911885</v>
      </c>
      <c r="R55" s="59">
        <f t="shared" si="0"/>
        <v>786.1189208966947</v>
      </c>
      <c r="S55" s="59">
        <f ca="1">AVERAGE(OFFSET($R$3,0,0,'Données projet'!$E$9+1,1))-AVERAGE(OFFSET($H$3,0,0,'Données projet'!$E$9+1,1))</f>
        <v>719.20816951277925</v>
      </c>
      <c r="T55" s="59">
        <f t="shared" si="34"/>
        <v>237.1127421841087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</v>
      </c>
      <c r="AA55" s="21">
        <f>EXP(-LN(2)/25)*AA54+(1-EXP(-LN(2)/25))/(LN(2)/25)*Calculateur!V55*Calculateur!X55*VLOOKUP('Données projet'!$B$9,Paramètres!$A$1:$I$89,3,0)*0.475*44/12</f>
        <v>45.655854363675267</v>
      </c>
      <c r="AB55" s="21">
        <f>EXP(-LN(2)/2)*AB54+(1-EXP(-LN(2)/2))/(LN(2)/2)*V55*Y55*VLOOKUP('Données projet'!$B$9,Paramètres!$A$1:$I$89,3,0)*0.475*44/12</f>
        <v>6.3604753191363219</v>
      </c>
      <c r="AC55" s="22">
        <f t="shared" si="3"/>
        <v>52.016329682811588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64.264029807520686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14.12857142857143</v>
      </c>
      <c r="AI55" s="13">
        <f>IF('Données projet'!$A$62&gt;35,AI54+AH55-AQ54,IF(A55&lt;'Données projet'!$A$62,$AF$205^A55,IF(A55='Données projet'!$A$62,'Données projet'!$B$62,AI54+AH55-AQ54)))</f>
        <v>220.34857142857143</v>
      </c>
      <c r="AJ55" s="13">
        <f>AI55*VLOOKUP('Données projet'!$B$10,Paramètres!$A$1:$I$89,3,0)*VLOOKUP('Données projet'!$B$10,Paramètres!$A$1:$I$89,5,0)</f>
        <v>185.62163657142858</v>
      </c>
      <c r="AK55" s="13">
        <f t="shared" si="35"/>
        <v>46.570649354822137</v>
      </c>
      <c r="AL55" s="20">
        <f t="shared" si="4"/>
        <v>404.40156465488667</v>
      </c>
      <c r="AM55" s="59">
        <f t="shared" si="5"/>
        <v>676.70300728246252</v>
      </c>
      <c r="AN55" s="59">
        <f ca="1">AVERAGE(OFFSET($AM$3,0,0,'Données projet'!$E$10+1,1))-AVERAGE(OFFSET($H$3,0,0,'Données projet'!$E$10+1,1))</f>
        <v>442.79037205372367</v>
      </c>
      <c r="AO55" s="59">
        <f t="shared" si="36"/>
        <v>288.23553637727969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14.365822152207516</v>
      </c>
      <c r="AV55" s="21">
        <f>EXP(-LN(2)/25)*AV54+(1-EXP(-LN(2)/25))/(LN(2)/25)*Calculateur!AQ55*Calculateur!AS55*VLOOKUP('Données projet'!$B$10,Paramètres!$A$1:$I$89,3,0)*0.475*44/12</f>
        <v>28.870117915810773</v>
      </c>
      <c r="AW55" s="21">
        <f>EXP(-LN(2)/2)*AW54+(1-EXP(-LN(2)/2))/(LN(2)/2)*AQ55*AT55*VLOOKUP('Données projet'!$B$10,Paramètres!$A$1:$I$89,3,0)*0.475*44/12</f>
        <v>3.4398700196390832</v>
      </c>
      <c r="AX55" s="21">
        <f t="shared" si="6"/>
        <v>46.675810087657368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64.264029807520686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3.3603333333333336</v>
      </c>
      <c r="BD55" s="12">
        <f>IF('Données projet'!$A$88&gt;35,BD54+BC55-BL54,IF(A55&lt;'Données projet'!$A$88,$BA$205^A55,IF(A55='Données projet'!$A$88,'Données projet'!$B$88,BD54+BC55-BL54)))</f>
        <v>174.73733333333325</v>
      </c>
      <c r="BE55" s="13">
        <f>BD55*VLOOKUP('Données projet'!$B$11,Paramètres!$A$1:$I$89,3,0)*VLOOKUP('Données projet'!$B$11,Paramètres!$A$1:$I$89,5,0)</f>
        <v>177.18365599999993</v>
      </c>
      <c r="BF55" s="13">
        <f t="shared" si="37"/>
        <v>44.695027585438865</v>
      </c>
      <c r="BG55" s="20">
        <f t="shared" si="7"/>
        <v>386.43870724463926</v>
      </c>
      <c r="BH55" s="59">
        <f t="shared" si="8"/>
        <v>658.74014987221517</v>
      </c>
      <c r="BI55" s="59">
        <f ca="1">AVERAGE(OFFSET($BH$3,0,0,'Données projet'!$E$11+1,1))-AVERAGE(OFFSET($H$3,0,0,'Données projet'!$E$11+1,1))</f>
        <v>559.91818701710872</v>
      </c>
      <c r="BJ55" s="59">
        <f t="shared" si="38"/>
        <v>273.47272623465915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0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64.264029807520686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>
        <f>VLOOKUP(A55,'Données projet'!$A$113:$I$133,2,0)</f>
        <v>173.07692307692307</v>
      </c>
      <c r="BW55" s="12">
        <f>VLOOKUP(A55,'Données projet'!$A$113:$I$133,9,0)</f>
        <v>6.6506410256410255</v>
      </c>
      <c r="BX55" s="12">
        <f t="array" ref="BX55">INDEX(BW:BW,MIN(IF(ISNUMBER(BW55:BW251),ROW(BW55:BW251),"")))</f>
        <v>6.6506410256410255</v>
      </c>
      <c r="BY55" s="12">
        <f>IF('Données projet'!$A$114&gt;35,BY54+BX55-CG54,IF(A55&lt;'Données projet'!$A$114,$BV$205^A55,IF(A55='Données projet'!$A$114,'Données projet'!$B$114,BY54+BX55-CG54)))</f>
        <v>173.07692307692307</v>
      </c>
      <c r="BZ55" s="13">
        <f>BY55*VLOOKUP('Données projet'!$B$12,Paramètres!$A$1:$I$89,3,0)*VLOOKUP('Données projet'!$B$12,Paramètres!$A$1:$I$89,5,0)</f>
        <v>135</v>
      </c>
      <c r="CA55" s="13">
        <f t="shared" si="39"/>
        <v>35.149162595374243</v>
      </c>
      <c r="CB55" s="20">
        <f t="shared" si="10"/>
        <v>296.34312485361016</v>
      </c>
      <c r="CC55" s="59">
        <f t="shared" si="11"/>
        <v>568.64456748118596</v>
      </c>
      <c r="CD55" s="59">
        <f ca="1">AVERAGE(OFFSET($CC$3,0,0,'Données projet'!$E$12+1,1))-AVERAGE(OFFSET($H$3,0,0,'Données projet'!$E$12+1,1))</f>
        <v>208.92677786250815</v>
      </c>
      <c r="CE55" s="59">
        <f t="shared" si="40"/>
        <v>207.54290142772214</v>
      </c>
      <c r="CF55" s="15">
        <f>IF(ISNA(VLOOKUP(A55,'Données projet'!$A$113:$I$133,3,0)),0,VLOOKUP(A55,'Données projet'!$A$113:$I$133,3,0))</f>
        <v>7</v>
      </c>
      <c r="CG55" s="15">
        <f>IF(ISNA(VLOOKUP(A55,'Données projet'!$A$113:$I$133,4,0)),0,VLOOKUP(A55,'Données projet'!$A$113:$I$133,4,0))</f>
        <v>30.769230769230766</v>
      </c>
      <c r="CH55" s="16">
        <f>IF(ISNA(VLOOKUP(A55,'Données projet'!$A$113:$I$133,5,0)),0%,VLOOKUP(A55,'Données projet'!$A$113:$I$133,5,0)*VLOOKUP('Données projet'!$B$12,Paramètres!$A$1:$I$89,7,0))</f>
        <v>0.1075</v>
      </c>
      <c r="CI55" s="16">
        <f>IF(ISNA(VLOOKUP(A55,'Données projet'!$A$113:$I$133,6,0)),0%,VLOOKUP(A55,'Données projet'!$A$113:$I$133,6,0)*VLOOKUP('Données projet'!$B$12,Paramètres!$A$1:$I$89,7,0))</f>
        <v>0.1075</v>
      </c>
      <c r="CJ55" s="16">
        <f>IF(ISNA(VLOOKUP(A55,'Données projet'!$A$113:$I$133,7,0)),0%,VLOOKUP(A55,'Données projet'!$A$113:$I$133,7,0))</f>
        <v>0.25</v>
      </c>
      <c r="CK55" s="21">
        <f>EXP(-LN(2)/35)*CK54+(1-EXP(-LN(2)/35))/(LN(2)/35)*CG55*CH55*VLOOKUP('Données projet'!$B$12,Paramètres!$A$1:$I$89,3,0)*0.475*44/12</f>
        <v>8.033373763279652</v>
      </c>
      <c r="CL55" s="21">
        <f>EXP(-LN(2)/25)*CL54+(1-EXP(-LN(2)/25))/(LN(2)/25)*Calculateur!CG55*Calculateur!CI55*VLOOKUP('Données projet'!$B$12,Paramètres!$A$1:$I$89,3,0)*0.475*44/12</f>
        <v>8.9044214287377805</v>
      </c>
      <c r="CM55" s="21">
        <f>EXP(-LN(2)/2)*CM54+(1-EXP(-LN(2)/2))/(LN(2)/2)*CG55*CJ55*VLOOKUP('Données projet'!$B$12,Paramètres!$A$1:$I$89,3,0)*0.475*44/12</f>
        <v>6.0048356370965799</v>
      </c>
      <c r="CN55" s="22">
        <f t="shared" si="12"/>
        <v>22.942630829114012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64.264029807520686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>
        <f>VLOOKUP(A55,'Données projet'!$A$139:$I$159,2,0)</f>
        <v>178.07</v>
      </c>
      <c r="CR55" s="12">
        <f>VLOOKUP(A55,'Données projet'!$A$139:$I$159,9,0)</f>
        <v>10.001428571428571</v>
      </c>
      <c r="CS55" s="12">
        <f t="array" ref="CS55">INDEX(CR:CR,MIN(IF(ISNUMBER(CR55:CR251),ROW(CR55:CR251),"")))</f>
        <v>10.001428571428571</v>
      </c>
      <c r="CT55" s="12">
        <f>IF('Données projet'!$A$140&gt;35,CT54+CS55-DB54,IF(A55&lt;'Données projet'!$A$140,$CQ$205^A55,IF(A55='Données projet'!$A$140,'Données projet'!$B$140,CT54+CS55-DB54)))</f>
        <v>178.06999999999996</v>
      </c>
      <c r="CU55" s="17">
        <f>CT55*VLOOKUP('Données projet'!$B$13,Paramètres!$A$1:$I$89,3,0)*VLOOKUP('Données projet'!$B$13,Paramètres!$A$1:$I$89,5,0)</f>
        <v>169.45141199999998</v>
      </c>
      <c r="CV55" s="13">
        <f t="shared" si="41"/>
        <v>42.967135019238462</v>
      </c>
      <c r="CW55" s="20">
        <f t="shared" si="13"/>
        <v>369.96230272517363</v>
      </c>
      <c r="CX55" s="59">
        <f t="shared" si="14"/>
        <v>642.26374535274954</v>
      </c>
      <c r="CY55" s="59">
        <f ca="1">AVERAGE(OFFSET($CX$3,0,0,'Données projet'!$E$13+1,1))-AVERAGE(OFFSET($H$3,0,0,'Données projet'!$E$13+1,1))</f>
        <v>470.42022791389275</v>
      </c>
      <c r="CZ55" s="59">
        <f t="shared" si="42"/>
        <v>300.26117330627346</v>
      </c>
      <c r="DA55" s="15">
        <f>IF(ISNA(VLOOKUP(A55,'Données projet'!$A$139:$I$159,3,0)),0,VLOOKUP(A55,'Données projet'!$A$139:$I$159,3,0))</f>
        <v>3</v>
      </c>
      <c r="DB55" s="15">
        <f>IF(ISNA(VLOOKUP(A55,'Données projet'!$A$139:$I$159,4,0)),0,VLOOKUP(A55,'Données projet'!$A$139:$I$159,4,0))</f>
        <v>44.400000000000006</v>
      </c>
      <c r="DC55" s="16">
        <f>IF(ISNA(VLOOKUP(A55,'Données projet'!$A$139:$I$159,5,0)),0%,VLOOKUP(A55,'Données projet'!$A$139:$I$159,5,0)*VLOOKUP('Données projet'!$B$13,Paramètres!$A$1:$I$89,7,0))</f>
        <v>0.1075</v>
      </c>
      <c r="DD55" s="16">
        <f>IF(ISNA(VLOOKUP(A55,'Données projet'!$A$139:$I$159,6,0)),0%,VLOOKUP(A55,'Données projet'!$A$139:$I$159,6,0)*VLOOKUP('Données projet'!$B$13,Paramètres!$A$1:$I$89,7,0))</f>
        <v>0.1075</v>
      </c>
      <c r="DE55" s="16">
        <f>IF(ISNA(VLOOKUP(A55,'Données projet'!$A$139:$I$159,7,0)),0%,VLOOKUP(A55,'Données projet'!$A$139:$I$159,7,0))</f>
        <v>0.25</v>
      </c>
      <c r="DF55" s="21">
        <f>EXP(-LN(2)/35)*DF54+(1-EXP(-LN(2)/35))/(LN(2)/35)*DB55*DC55*VLOOKUP('Données projet'!$B$13,Paramètres!$A$1:$I$89,3,0)*0.475*44/12</f>
        <v>5.02103187162965</v>
      </c>
      <c r="DG55" s="21">
        <f>EXP(-LN(2)/25)*DG54+(1-EXP(-LN(2)/25))/(LN(2)/25)*Calculateur!DB55*Calculateur!DD55*VLOOKUP('Données projet'!$B$13,Paramètres!$A$1:$I$89,3,0)*0.475*44/12</f>
        <v>14.337131217696948</v>
      </c>
      <c r="DH55" s="21">
        <f>EXP(-LN(2)/2)*DH54+(1-EXP(-LN(2)/2))/(LN(2)/2)*DB55*DE55*VLOOKUP('Données projet'!$B$13,Paramètres!$A$1:$I$89,3,0)*0.475*44/12</f>
        <v>10.918889448841206</v>
      </c>
      <c r="DI55" s="22">
        <f t="shared" si="15"/>
        <v>30.277052538167805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64.264029807520686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3.3603333333333336</v>
      </c>
      <c r="DO55" s="12">
        <f>IF('Données projet'!$A$166&gt;35,DO54+DN55-DW54,IF(A55&lt;'Données projet'!$A$166,$DL$205^A55,IF(A55='Données projet'!$A$166,'Données projet'!$B$166,DO54+DN55-DW54)))</f>
        <v>174.73733333333325</v>
      </c>
      <c r="DP55" s="17">
        <f>DO55*VLOOKUP('Données projet'!$B$14,Paramètres!$A$1:$I$89,3,0)*VLOOKUP('Données projet'!$B$14,Paramètres!$A$1:$I$89,5,0)</f>
        <v>169.00594879999991</v>
      </c>
      <c r="DQ55" s="13">
        <f t="shared" si="43"/>
        <v>42.867313252762536</v>
      </c>
      <c r="DR55" s="20">
        <f t="shared" si="16"/>
        <v>369.01259807522791</v>
      </c>
      <c r="DS55" s="59">
        <f t="shared" si="17"/>
        <v>641.31404070280382</v>
      </c>
      <c r="DT55" s="59">
        <f ca="1">AVERAGE(OFFSET($DS$3,0,0,'Données projet'!$E$14+1,1))-AVERAGE(OFFSET($H$3,0,0,'Données projet'!$E$14+1,1))</f>
        <v>537.37164071064103</v>
      </c>
      <c r="DU55" s="59">
        <f t="shared" si="44"/>
        <v>263.29777321132235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0</v>
      </c>
      <c r="EB55" s="21">
        <f>EXP(-LN(2)/25)*EB54+(1-EXP(-LN(2)/25))/(LN(2)/25)*Calculateur!DW55*Calculateur!DY55*VLOOKUP('Données projet'!$B$14,Paramètres!$A$1:$I$89,3,0)*0.475*44/12</f>
        <v>0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0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64.264029807520686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64.264029807520686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64.264029807520686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64.264029807520686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45">
      <c r="A56" s="10">
        <f t="shared" si="31"/>
        <v>53</v>
      </c>
      <c r="B56" s="73">
        <f>'Scénario référence'!$B$16*5+'Scénario référence'!$B$17*0+'Scénario référence'!$B$18*5</f>
        <v>2.8499999999999996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10.449999999999998</v>
      </c>
      <c r="H56" s="67">
        <f t="shared" si="1"/>
        <v>214.86666666666667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64.363536066651974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14.073749999999997</v>
      </c>
      <c r="N56" s="13">
        <f>IF('Données projet'!$A$36&gt;35,N55+M56-V55,IF(A56&lt;'Données projet'!$A$36,$K$205^A56,IF(A56='Données projet'!$A$36,'Données projet'!$B$36,N55+M56-V55)))</f>
        <v>276.21125000000006</v>
      </c>
      <c r="O56" s="13">
        <f>N56*VLOOKUP('Données projet'!$B$9,Paramètres!$A$1:$I$89,3,0)*VLOOKUP('Données projet'!$B$9,Paramètres!$A$1:$I$89,5,0)</f>
        <v>249.91593900000007</v>
      </c>
      <c r="P56" s="13">
        <f t="shared" si="33"/>
        <v>60.567940102066487</v>
      </c>
      <c r="Q56" s="20">
        <f t="shared" si="53"/>
        <v>540.7594227694326</v>
      </c>
      <c r="R56" s="59">
        <f t="shared" si="0"/>
        <v>813.42572168048991</v>
      </c>
      <c r="S56" s="59">
        <f ca="1">AVERAGE(OFFSET($R$3,0,0,'Données projet'!$E$9+1,1))-AVERAGE(OFFSET($H$3,0,0,'Données projet'!$E$9+1,1))</f>
        <v>719.20816951277925</v>
      </c>
      <c r="T56" s="59">
        <f t="shared" si="34"/>
        <v>237.1127421841087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0</v>
      </c>
      <c r="AA56" s="21">
        <f>EXP(-LN(2)/25)*AA55+(1-EXP(-LN(2)/25))/(LN(2)/25)*Calculateur!V56*Calculateur!X56*VLOOKUP('Données projet'!$B$9,Paramètres!$A$1:$I$89,3,0)*0.475*44/12</f>
        <v>44.407392625163531</v>
      </c>
      <c r="AB56" s="21">
        <f>EXP(-LN(2)/2)*AB55+(1-EXP(-LN(2)/2))/(LN(2)/2)*V56*Y56*VLOOKUP('Données projet'!$B$9,Paramètres!$A$1:$I$89,3,0)*0.475*44/12</f>
        <v>4.4975352297309632</v>
      </c>
      <c r="AC56" s="22">
        <f t="shared" si="3"/>
        <v>48.904927854894495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64.363536066651974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14.12857142857143</v>
      </c>
      <c r="AI56" s="13">
        <f>IF('Données projet'!$A$62&gt;35,AI55+AH56-AQ55,IF(A56&lt;'Données projet'!$A$62,$AF$205^A56,IF(A56='Données projet'!$A$62,'Données projet'!$B$62,AI55+AH56-AQ55)))</f>
        <v>234.47714285714287</v>
      </c>
      <c r="AJ56" s="13">
        <f>AI56*VLOOKUP('Données projet'!$B$10,Paramètres!$A$1:$I$89,3,0)*VLOOKUP('Données projet'!$B$10,Paramètres!$A$1:$I$89,5,0)</f>
        <v>197.52354514285716</v>
      </c>
      <c r="AK56" s="13">
        <f t="shared" si="35"/>
        <v>49.199523870679094</v>
      </c>
      <c r="AL56" s="20">
        <f t="shared" si="4"/>
        <v>429.70934519857565</v>
      </c>
      <c r="AM56" s="59">
        <f t="shared" si="5"/>
        <v>702.37564410963296</v>
      </c>
      <c r="AN56" s="59">
        <f ca="1">AVERAGE(OFFSET($AM$3,0,0,'Données projet'!$E$10+1,1))-AVERAGE(OFFSET($H$3,0,0,'Données projet'!$E$10+1,1))</f>
        <v>442.79037205372367</v>
      </c>
      <c r="AO56" s="59">
        <f t="shared" si="36"/>
        <v>288.23553637727969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14.084117142089035</v>
      </c>
      <c r="AV56" s="21">
        <f>EXP(-LN(2)/25)*AV55+(1-EXP(-LN(2)/25))/(LN(2)/25)*Calculateur!AQ56*Calculateur!AS56*VLOOKUP('Données projet'!$B$10,Paramètres!$A$1:$I$89,3,0)*0.475*44/12</f>
        <v>28.080663023189409</v>
      </c>
      <c r="AW56" s="21">
        <f>EXP(-LN(2)/2)*AW55+(1-EXP(-LN(2)/2))/(LN(2)/2)*AQ56*AT56*VLOOKUP('Données projet'!$B$10,Paramètres!$A$1:$I$89,3,0)*0.475*44/12</f>
        <v>2.4323554172870985</v>
      </c>
      <c r="AX56" s="21">
        <f t="shared" si="6"/>
        <v>44.597135582565542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64.363536066651974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3.3603333333333336</v>
      </c>
      <c r="BD56" s="12">
        <f>IF('Données projet'!$A$88&gt;35,BD55+BC56-BL55,IF(A56&lt;'Données projet'!$A$88,$BA$205^A56,IF(A56='Données projet'!$A$88,'Données projet'!$B$88,BD55+BC56-BL55)))</f>
        <v>178.09766666666658</v>
      </c>
      <c r="BE56" s="13">
        <f>BD56*VLOOKUP('Données projet'!$B$11,Paramètres!$A$1:$I$89,3,0)*VLOOKUP('Données projet'!$B$11,Paramètres!$A$1:$I$89,5,0)</f>
        <v>180.59103399999992</v>
      </c>
      <c r="BF56" s="13">
        <f t="shared" si="37"/>
        <v>45.453655244392749</v>
      </c>
      <c r="BG56" s="20">
        <f t="shared" si="7"/>
        <v>393.69450043398388</v>
      </c>
      <c r="BH56" s="59">
        <f t="shared" si="8"/>
        <v>666.36079934504119</v>
      </c>
      <c r="BI56" s="59">
        <f ca="1">AVERAGE(OFFSET($BH$3,0,0,'Données projet'!$E$11+1,1))-AVERAGE(OFFSET($H$3,0,0,'Données projet'!$E$11+1,1))</f>
        <v>559.91818701710872</v>
      </c>
      <c r="BJ56" s="59">
        <f t="shared" si="38"/>
        <v>273.47272623465915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0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64.363536066651974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6.0096153846153868</v>
      </c>
      <c r="BY56" s="12">
        <f>IF('Données projet'!$A$114&gt;35,BY55+BX56-CG55,IF(A56&lt;'Données projet'!$A$114,$BV$205^A56,IF(A56='Données projet'!$A$114,'Données projet'!$B$114,BY55+BX56-CG55)))</f>
        <v>148.31730769230768</v>
      </c>
      <c r="BZ56" s="13">
        <f>BY56*VLOOKUP('Données projet'!$B$12,Paramètres!$A$1:$I$89,3,0)*VLOOKUP('Données projet'!$B$12,Paramètres!$A$1:$I$89,5,0)</f>
        <v>115.6875</v>
      </c>
      <c r="CA56" s="13">
        <f t="shared" si="39"/>
        <v>30.667047071789558</v>
      </c>
      <c r="CB56" s="20">
        <f t="shared" si="10"/>
        <v>254.90083615003348</v>
      </c>
      <c r="CC56" s="59">
        <f t="shared" si="11"/>
        <v>527.56713506109077</v>
      </c>
      <c r="CD56" s="59">
        <f ca="1">AVERAGE(OFFSET($CC$3,0,0,'Données projet'!$E$12+1,1))-AVERAGE(OFFSET($H$3,0,0,'Données projet'!$E$12+1,1))</f>
        <v>208.92677786250815</v>
      </c>
      <c r="CE56" s="59">
        <f t="shared" si="40"/>
        <v>207.54290142772214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7.8758442036559115</v>
      </c>
      <c r="CL56" s="21">
        <f>EXP(-LN(2)/25)*CL55+(1-EXP(-LN(2)/25))/(LN(2)/25)*Calculateur!CG56*Calculateur!CI56*VLOOKUP('Données projet'!$B$12,Paramètres!$A$1:$I$89,3,0)*0.475*44/12</f>
        <v>8.6609295565057742</v>
      </c>
      <c r="CM56" s="21">
        <f>EXP(-LN(2)/2)*CM55+(1-EXP(-LN(2)/2))/(LN(2)/2)*CG56*CJ56*VLOOKUP('Données projet'!$B$12,Paramètres!$A$1:$I$89,3,0)*0.475*44/12</f>
        <v>4.2460599989016341</v>
      </c>
      <c r="CN56" s="22">
        <f t="shared" si="12"/>
        <v>20.782833759063323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64.363536066651974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9.8828571428571443</v>
      </c>
      <c r="CT56" s="12">
        <f>IF('Données projet'!$A$140&gt;35,CT55+CS56-DB55,IF(A56&lt;'Données projet'!$A$140,$CQ$205^A56,IF(A56='Données projet'!$A$140,'Données projet'!$B$140,CT55+CS56-DB55)))</f>
        <v>143.55285714285711</v>
      </c>
      <c r="CU56" s="17">
        <f>CT56*VLOOKUP('Données projet'!$B$13,Paramètres!$A$1:$I$89,3,0)*VLOOKUP('Données projet'!$B$13,Paramètres!$A$1:$I$89,5,0)</f>
        <v>136.60489885714281</v>
      </c>
      <c r="CV56" s="13">
        <f t="shared" si="41"/>
        <v>35.518127724762081</v>
      </c>
      <c r="CW56" s="20">
        <f t="shared" si="13"/>
        <v>299.78093796348435</v>
      </c>
      <c r="CX56" s="59">
        <f t="shared" si="14"/>
        <v>572.44723687454166</v>
      </c>
      <c r="CY56" s="59">
        <f ca="1">AVERAGE(OFFSET($CX$3,0,0,'Données projet'!$E$13+1,1))-AVERAGE(OFFSET($H$3,0,0,'Données projet'!$E$13+1,1))</f>
        <v>470.42022791389275</v>
      </c>
      <c r="CZ56" s="59">
        <f t="shared" si="42"/>
        <v>300.26117330627346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4.9225724991540352</v>
      </c>
      <c r="DG56" s="21">
        <f>EXP(-LN(2)/25)*DG55+(1-EXP(-LN(2)/25))/(LN(2)/25)*Calculateur!DB56*Calculateur!DD56*VLOOKUP('Données projet'!$B$13,Paramètres!$A$1:$I$89,3,0)*0.475*44/12</f>
        <v>13.945081610592062</v>
      </c>
      <c r="DH56" s="21">
        <f>EXP(-LN(2)/2)*DH55+(1-EXP(-LN(2)/2))/(LN(2)/2)*DB56*DE56*VLOOKUP('Données projet'!$B$13,Paramètres!$A$1:$I$89,3,0)*0.475*44/12</f>
        <v>7.7208207723018614</v>
      </c>
      <c r="DI56" s="22">
        <f t="shared" si="15"/>
        <v>26.588474882047962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64.363536066651974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3.3603333333333336</v>
      </c>
      <c r="DO56" s="12">
        <f>IF('Données projet'!$A$166&gt;35,DO55+DN56-DW55,IF(A56&lt;'Données projet'!$A$166,$DL$205^A56,IF(A56='Données projet'!$A$166,'Données projet'!$B$166,DO55+DN56-DW55)))</f>
        <v>178.09766666666658</v>
      </c>
      <c r="DP56" s="17">
        <f>DO56*VLOOKUP('Données projet'!$B$14,Paramètres!$A$1:$I$89,3,0)*VLOOKUP('Données projet'!$B$14,Paramètres!$A$1:$I$89,5,0)</f>
        <v>172.25606319999994</v>
      </c>
      <c r="DQ56" s="13">
        <f t="shared" si="43"/>
        <v>43.594918341190329</v>
      </c>
      <c r="DR56" s="20">
        <f t="shared" si="16"/>
        <v>375.94045951757306</v>
      </c>
      <c r="DS56" s="59">
        <f t="shared" si="17"/>
        <v>648.60675842863031</v>
      </c>
      <c r="DT56" s="59">
        <f ca="1">AVERAGE(OFFSET($DS$3,0,0,'Données projet'!$E$14+1,1))-AVERAGE(OFFSET($H$3,0,0,'Données projet'!$E$14+1,1))</f>
        <v>537.37164071064103</v>
      </c>
      <c r="DU56" s="59">
        <f t="shared" si="44"/>
        <v>263.29777321132235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0</v>
      </c>
      <c r="EB56" s="21">
        <f>EXP(-LN(2)/25)*EB55+(1-EXP(-LN(2)/25))/(LN(2)/25)*Calculateur!DW56*Calculateur!DY56*VLOOKUP('Données projet'!$B$14,Paramètres!$A$1:$I$89,3,0)*0.475*44/12</f>
        <v>0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0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64.363536066651974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64.363536066651974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64.363536066651974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64.363536066651974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45">
      <c r="A57" s="10">
        <f t="shared" si="31"/>
        <v>54</v>
      </c>
      <c r="B57" s="73">
        <f>'Scénario référence'!$B$16*5+'Scénario référence'!$B$17*0+'Scénario référence'!$B$18*5</f>
        <v>2.8499999999999996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10.449999999999998</v>
      </c>
      <c r="H57" s="67">
        <f t="shared" si="1"/>
        <v>214.86666666666667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64.461316114650018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14.073749999999997</v>
      </c>
      <c r="N57" s="13">
        <f>IF('Données projet'!$A$36&gt;35,N56+M57-V56,IF(A57&lt;'Données projet'!$A$36,$K$205^A57,IF(A57='Données projet'!$A$36,'Données projet'!$B$36,N56+M57-V56)))</f>
        <v>290.28500000000008</v>
      </c>
      <c r="O57" s="13">
        <f>N57*VLOOKUP('Données projet'!$B$9,Paramètres!$A$1:$I$89,3,0)*VLOOKUP('Données projet'!$B$9,Paramètres!$A$1:$I$89,5,0)</f>
        <v>262.64986800000008</v>
      </c>
      <c r="P57" s="13">
        <f t="shared" si="33"/>
        <v>63.286888949205185</v>
      </c>
      <c r="Q57" s="20">
        <f t="shared" si="53"/>
        <v>567.67318501986585</v>
      </c>
      <c r="R57" s="59">
        <f t="shared" si="0"/>
        <v>840.69801077358261</v>
      </c>
      <c r="S57" s="59">
        <f ca="1">AVERAGE(OFFSET($R$3,0,0,'Données projet'!$E$9+1,1))-AVERAGE(OFFSET($H$3,0,0,'Données projet'!$E$9+1,1))</f>
        <v>719.20816951277925</v>
      </c>
      <c r="T57" s="59">
        <f t="shared" si="34"/>
        <v>237.1127421841087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0</v>
      </c>
      <c r="AA57" s="21">
        <f>EXP(-LN(2)/25)*AA56+(1-EXP(-LN(2)/25))/(LN(2)/25)*Calculateur!V57*Calculateur!X57*VLOOKUP('Données projet'!$B$9,Paramètres!$A$1:$I$89,3,0)*0.475*44/12</f>
        <v>43.193070138545153</v>
      </c>
      <c r="AB57" s="21">
        <f>EXP(-LN(2)/2)*AB56+(1-EXP(-LN(2)/2))/(LN(2)/2)*V57*Y57*VLOOKUP('Données projet'!$B$9,Paramètres!$A$1:$I$89,3,0)*0.475*44/12</f>
        <v>3.180237659568161</v>
      </c>
      <c r="AC57" s="22">
        <f t="shared" si="3"/>
        <v>46.373307798113316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64.461316114650018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14.12857142857143</v>
      </c>
      <c r="AI57" s="13">
        <f>IF('Données projet'!$A$62&gt;35,AI56+AH57-AQ56,IF(A57&lt;'Données projet'!$A$62,$AF$205^A57,IF(A57='Données projet'!$A$62,'Données projet'!$B$62,AI56+AH57-AQ56)))</f>
        <v>248.6057142857143</v>
      </c>
      <c r="AJ57" s="13">
        <f>AI57*VLOOKUP('Données projet'!$B$10,Paramètres!$A$1:$I$89,3,0)*VLOOKUP('Données projet'!$B$10,Paramètres!$A$1:$I$89,5,0)</f>
        <v>209.42545371428574</v>
      </c>
      <c r="AK57" s="13">
        <f t="shared" si="35"/>
        <v>51.810012867163444</v>
      </c>
      <c r="AL57" s="20">
        <f t="shared" si="4"/>
        <v>454.98510429602402</v>
      </c>
      <c r="AM57" s="59">
        <f t="shared" si="5"/>
        <v>728.00993004974066</v>
      </c>
      <c r="AN57" s="59">
        <f ca="1">AVERAGE(OFFSET($AM$3,0,0,'Données projet'!$E$10+1,1))-AVERAGE(OFFSET($H$3,0,0,'Données projet'!$E$10+1,1))</f>
        <v>442.79037205372367</v>
      </c>
      <c r="AO57" s="59">
        <f t="shared" si="36"/>
        <v>288.23553637727969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13.807936195395888</v>
      </c>
      <c r="AV57" s="21">
        <f>EXP(-LN(2)/25)*AV56+(1-EXP(-LN(2)/25))/(LN(2)/25)*Calculateur!AQ57*Calculateur!AS57*VLOOKUP('Données projet'!$B$10,Paramètres!$A$1:$I$89,3,0)*0.475*44/12</f>
        <v>27.312795816122406</v>
      </c>
      <c r="AW57" s="21">
        <f>EXP(-LN(2)/2)*AW56+(1-EXP(-LN(2)/2))/(LN(2)/2)*AQ57*AT57*VLOOKUP('Données projet'!$B$10,Paramètres!$A$1:$I$89,3,0)*0.475*44/12</f>
        <v>1.7199350098195421</v>
      </c>
      <c r="AX57" s="21">
        <f t="shared" si="6"/>
        <v>42.840667021337836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64.461316114650018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3.3603333333333336</v>
      </c>
      <c r="BD57" s="12">
        <f>IF('Données projet'!$A$88&gt;35,BD56+BC57-BL56,IF(A57&lt;'Données projet'!$A$88,$BA$205^A57,IF(A57='Données projet'!$A$88,'Données projet'!$B$88,BD56+BC57-BL56)))</f>
        <v>181.45799999999991</v>
      </c>
      <c r="BE57" s="13">
        <f>BD57*VLOOKUP('Données projet'!$B$11,Paramètres!$A$1:$I$89,3,0)*VLOOKUP('Données projet'!$B$11,Paramètres!$A$1:$I$89,5,0)</f>
        <v>183.99841199999992</v>
      </c>
      <c r="BF57" s="13">
        <f t="shared" si="37"/>
        <v>46.210618509095013</v>
      </c>
      <c r="BG57" s="20">
        <f t="shared" si="7"/>
        <v>400.94739480334033</v>
      </c>
      <c r="BH57" s="59">
        <f t="shared" si="8"/>
        <v>673.97222055705697</v>
      </c>
      <c r="BI57" s="59">
        <f ca="1">AVERAGE(OFFSET($BH$3,0,0,'Données projet'!$E$11+1,1))-AVERAGE(OFFSET($H$3,0,0,'Données projet'!$E$11+1,1))</f>
        <v>559.91818701710872</v>
      </c>
      <c r="BJ57" s="59">
        <f t="shared" si="38"/>
        <v>273.47272623465915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0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64.461316114650018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6.0096153846153868</v>
      </c>
      <c r="BY57" s="12">
        <f>IF('Données projet'!$A$114&gt;35,BY56+BX57-CG56,IF(A57&lt;'Données projet'!$A$114,$BV$205^A57,IF(A57='Données projet'!$A$114,'Données projet'!$B$114,BY56+BX57-CG56)))</f>
        <v>154.32692307692307</v>
      </c>
      <c r="BZ57" s="13">
        <f>BY57*VLOOKUP('Données projet'!$B$12,Paramètres!$A$1:$I$89,3,0)*VLOOKUP('Données projet'!$B$12,Paramètres!$A$1:$I$89,5,0)</f>
        <v>120.375</v>
      </c>
      <c r="CA57" s="13">
        <f t="shared" si="39"/>
        <v>31.762445997133341</v>
      </c>
      <c r="CB57" s="20">
        <f t="shared" si="10"/>
        <v>264.97271844500727</v>
      </c>
      <c r="CC57" s="59">
        <f t="shared" si="11"/>
        <v>537.99754419872397</v>
      </c>
      <c r="CD57" s="59">
        <f ca="1">AVERAGE(OFFSET($CC$3,0,0,'Données projet'!$E$12+1,1))-AVERAGE(OFFSET($H$3,0,0,'Données projet'!$E$12+1,1))</f>
        <v>208.92677786250815</v>
      </c>
      <c r="CE57" s="59">
        <f t="shared" si="40"/>
        <v>207.54290142772214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7.7214037026128484</v>
      </c>
      <c r="CL57" s="21">
        <f>EXP(-LN(2)/25)*CL56+(1-EXP(-LN(2)/25))/(LN(2)/25)*Calculateur!CG57*Calculateur!CI57*VLOOKUP('Données projet'!$B$12,Paramètres!$A$1:$I$89,3,0)*0.475*44/12</f>
        <v>8.4240959823246335</v>
      </c>
      <c r="CM57" s="21">
        <f>EXP(-LN(2)/2)*CM56+(1-EXP(-LN(2)/2))/(LN(2)/2)*CG57*CJ57*VLOOKUP('Données projet'!$B$12,Paramètres!$A$1:$I$89,3,0)*0.475*44/12</f>
        <v>3.0024178185482904</v>
      </c>
      <c r="CN57" s="22">
        <f t="shared" si="12"/>
        <v>19.147917503485775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64.461316114650018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9.8828571428571443</v>
      </c>
      <c r="CT57" s="12">
        <f>IF('Données projet'!$A$140&gt;35,CT56+CS57-DB56,IF(A57&lt;'Données projet'!$A$140,$CQ$205^A57,IF(A57='Données projet'!$A$140,'Données projet'!$B$140,CT56+CS57-DB56)))</f>
        <v>153.43571428571425</v>
      </c>
      <c r="CU57" s="17">
        <f>CT57*VLOOKUP('Données projet'!$B$13,Paramètres!$A$1:$I$89,3,0)*VLOOKUP('Données projet'!$B$13,Paramètres!$A$1:$I$89,5,0)</f>
        <v>146.0094257142857</v>
      </c>
      <c r="CV57" s="13">
        <f t="shared" si="41"/>
        <v>37.670295045235548</v>
      </c>
      <c r="CW57" s="20">
        <f t="shared" si="13"/>
        <v>319.90884698949952</v>
      </c>
      <c r="CX57" s="59">
        <f t="shared" si="14"/>
        <v>592.93367274321622</v>
      </c>
      <c r="CY57" s="59">
        <f ca="1">AVERAGE(OFFSET($CX$3,0,0,'Données projet'!$E$13+1,1))-AVERAGE(OFFSET($H$3,0,0,'Données projet'!$E$13+1,1))</f>
        <v>470.42022791389275</v>
      </c>
      <c r="CZ57" s="59">
        <f t="shared" si="42"/>
        <v>300.26117330627346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4.8260438549183791</v>
      </c>
      <c r="DG57" s="21">
        <f>EXP(-LN(2)/25)*DG56+(1-EXP(-LN(2)/25))/(LN(2)/25)*Calculateur!DB57*Calculateur!DD57*VLOOKUP('Données projet'!$B$13,Paramètres!$A$1:$I$89,3,0)*0.475*44/12</f>
        <v>13.563752620610453</v>
      </c>
      <c r="DH57" s="21">
        <f>EXP(-LN(2)/2)*DH56+(1-EXP(-LN(2)/2))/(LN(2)/2)*DB57*DE57*VLOOKUP('Données projet'!$B$13,Paramètres!$A$1:$I$89,3,0)*0.475*44/12</f>
        <v>5.4594447244206039</v>
      </c>
      <c r="DI57" s="22">
        <f t="shared" si="15"/>
        <v>23.849241199949436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64.461316114650018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3.3603333333333336</v>
      </c>
      <c r="DO57" s="12">
        <f>IF('Données projet'!$A$166&gt;35,DO56+DN57-DW56,IF(A57&lt;'Données projet'!$A$166,$DL$205^A57,IF(A57='Données projet'!$A$166,'Données projet'!$B$166,DO56+DN57-DW56)))</f>
        <v>181.45799999999991</v>
      </c>
      <c r="DP57" s="17">
        <f>DO57*VLOOKUP('Données projet'!$B$14,Paramètres!$A$1:$I$89,3,0)*VLOOKUP('Données projet'!$B$14,Paramètres!$A$1:$I$89,5,0)</f>
        <v>175.50617759999992</v>
      </c>
      <c r="DQ57" s="13">
        <f t="shared" si="43"/>
        <v>44.320927097461883</v>
      </c>
      <c r="DR57" s="20">
        <f t="shared" si="16"/>
        <v>382.8655406814126</v>
      </c>
      <c r="DS57" s="59">
        <f t="shared" si="17"/>
        <v>655.89036643512929</v>
      </c>
      <c r="DT57" s="59">
        <f ca="1">AVERAGE(OFFSET($DS$3,0,0,'Données projet'!$E$14+1,1))-AVERAGE(OFFSET($H$3,0,0,'Données projet'!$E$14+1,1))</f>
        <v>537.37164071064103</v>
      </c>
      <c r="DU57" s="59">
        <f t="shared" si="44"/>
        <v>263.29777321132235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0</v>
      </c>
      <c r="EB57" s="21">
        <f>EXP(-LN(2)/25)*EB56+(1-EXP(-LN(2)/25))/(LN(2)/25)*Calculateur!DW57*Calculateur!DY57*VLOOKUP('Données projet'!$B$14,Paramètres!$A$1:$I$89,3,0)*0.475*44/12</f>
        <v>0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0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64.461316114650018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64.461316114650018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64.461316114650018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64.461316114650018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45">
      <c r="A58" s="10">
        <f t="shared" si="31"/>
        <v>55</v>
      </c>
      <c r="B58" s="73">
        <f>'Scénario référence'!$B$16*5+'Scénario référence'!$B$17*0+'Scénario référence'!$B$18*5</f>
        <v>2.8499999999999996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10.449999999999998</v>
      </c>
      <c r="H58" s="67">
        <f t="shared" si="1"/>
        <v>214.86666666666667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64.557399897418719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14.073749999999997</v>
      </c>
      <c r="N58" s="13">
        <f>IF('Données projet'!$A$36&gt;35,N57+M58-V57,IF(A58&lt;'Données projet'!$A$36,$K$205^A58,IF(A58='Données projet'!$A$36,'Données projet'!$B$36,N57+M58-V57)))</f>
        <v>304.3587500000001</v>
      </c>
      <c r="O58" s="13">
        <f>N58*VLOOKUP('Données projet'!$B$9,Paramètres!$A$1:$I$89,3,0)*VLOOKUP('Données projet'!$B$9,Paramètres!$A$1:$I$89,5,0)</f>
        <v>275.38379700000007</v>
      </c>
      <c r="P58" s="13">
        <f t="shared" si="33"/>
        <v>65.990530656055242</v>
      </c>
      <c r="Q58" s="20">
        <f t="shared" si="53"/>
        <v>594.56028733429628</v>
      </c>
      <c r="R58" s="59">
        <f t="shared" si="0"/>
        <v>867.93742029149826</v>
      </c>
      <c r="S58" s="59">
        <f ca="1">AVERAGE(OFFSET($R$3,0,0,'Données projet'!$E$9+1,1))-AVERAGE(OFFSET($H$3,0,0,'Données projet'!$E$9+1,1))</f>
        <v>719.20816951277925</v>
      </c>
      <c r="T58" s="59">
        <f t="shared" si="34"/>
        <v>237.1127421841087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0</v>
      </c>
      <c r="AA58" s="21">
        <f>EXP(-LN(2)/25)*AA57+(1-EXP(-LN(2)/25))/(LN(2)/25)*Calculateur!V58*Calculateur!X58*VLOOKUP('Données projet'!$B$9,Paramètres!$A$1:$I$89,3,0)*0.475*44/12</f>
        <v>42.011953364181799</v>
      </c>
      <c r="AB58" s="21">
        <f>EXP(-LN(2)/2)*AB57+(1-EXP(-LN(2)/2))/(LN(2)/2)*V58*Y58*VLOOKUP('Données projet'!$B$9,Paramètres!$A$1:$I$89,3,0)*0.475*44/12</f>
        <v>2.2487676148654816</v>
      </c>
      <c r="AC58" s="22">
        <f t="shared" si="3"/>
        <v>44.260720979047278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64.557399897418719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14.12857142857143</v>
      </c>
      <c r="AI58" s="13">
        <f>IF('Données projet'!$A$62&gt;35,AI57+AH58-AQ57,IF(A58&lt;'Données projet'!$A$62,$AF$205^A58,IF(A58='Données projet'!$A$62,'Données projet'!$B$62,AI57+AH58-AQ57)))</f>
        <v>262.7342857142857</v>
      </c>
      <c r="AJ58" s="13">
        <f>AI58*VLOOKUP('Données projet'!$B$10,Paramètres!$A$1:$I$89,3,0)*VLOOKUP('Données projet'!$B$10,Paramètres!$A$1:$I$89,5,0)</f>
        <v>221.32736228571429</v>
      </c>
      <c r="AK58" s="13">
        <f t="shared" si="35"/>
        <v>54.403280277320995</v>
      </c>
      <c r="AL58" s="20">
        <f t="shared" si="4"/>
        <v>480.23086913061974</v>
      </c>
      <c r="AM58" s="59">
        <f t="shared" si="5"/>
        <v>753.60800208782166</v>
      </c>
      <c r="AN58" s="59">
        <f ca="1">AVERAGE(OFFSET($AM$3,0,0,'Données projet'!$E$10+1,1))-AVERAGE(OFFSET($H$3,0,0,'Données projet'!$E$10+1,1))</f>
        <v>442.79037205372367</v>
      </c>
      <c r="AO58" s="59">
        <f t="shared" si="36"/>
        <v>288.23553637727969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13.537170988613649</v>
      </c>
      <c r="AV58" s="21">
        <f>EXP(-LN(2)/25)*AV57+(1-EXP(-LN(2)/25))/(LN(2)/25)*Calculateur!AQ58*Calculateur!AS58*VLOOKUP('Données projet'!$B$10,Paramètres!$A$1:$I$89,3,0)*0.475*44/12</f>
        <v>26.565925978213031</v>
      </c>
      <c r="AW58" s="21">
        <f>EXP(-LN(2)/2)*AW57+(1-EXP(-LN(2)/2))/(LN(2)/2)*AQ58*AT58*VLOOKUP('Données projet'!$B$10,Paramètres!$A$1:$I$89,3,0)*0.475*44/12</f>
        <v>1.2161777086435495</v>
      </c>
      <c r="AX58" s="21">
        <f t="shared" si="6"/>
        <v>41.319274675470233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64.557399897418719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3.3603333333333336</v>
      </c>
      <c r="BD58" s="12">
        <f>IF('Données projet'!$A$88&gt;35,BD57+BC58-BL57,IF(A58&lt;'Données projet'!$A$88,$BA$205^A58,IF(A58='Données projet'!$A$88,'Données projet'!$B$88,BD57+BC58-BL57)))</f>
        <v>184.81833333333324</v>
      </c>
      <c r="BE58" s="13">
        <f>BD58*VLOOKUP('Données projet'!$B$11,Paramètres!$A$1:$I$89,3,0)*VLOOKUP('Données projet'!$B$11,Paramètres!$A$1:$I$89,5,0)</f>
        <v>187.40578999999991</v>
      </c>
      <c r="BF58" s="13">
        <f t="shared" si="37"/>
        <v>46.96595175625901</v>
      </c>
      <c r="BG58" s="20">
        <f t="shared" si="7"/>
        <v>408.19745022548432</v>
      </c>
      <c r="BH58" s="59">
        <f t="shared" si="8"/>
        <v>681.5745831826863</v>
      </c>
      <c r="BI58" s="59">
        <f ca="1">AVERAGE(OFFSET($BH$3,0,0,'Données projet'!$E$11+1,1))-AVERAGE(OFFSET($H$3,0,0,'Données projet'!$E$11+1,1))</f>
        <v>559.91818701710872</v>
      </c>
      <c r="BJ58" s="59">
        <f t="shared" si="38"/>
        <v>273.47272623465915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0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64.557399897418719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6.0096153846153868</v>
      </c>
      <c r="BY58" s="12">
        <f>IF('Données projet'!$A$114&gt;35,BY57+BX58-CG57,IF(A58&lt;'Données projet'!$A$114,$BV$205^A58,IF(A58='Données projet'!$A$114,'Données projet'!$B$114,BY57+BX58-CG57)))</f>
        <v>160.33653846153845</v>
      </c>
      <c r="BZ58" s="13">
        <f>BY58*VLOOKUP('Données projet'!$B$12,Paramètres!$A$1:$I$89,3,0)*VLOOKUP('Données projet'!$B$12,Paramètres!$A$1:$I$89,5,0)</f>
        <v>125.0625</v>
      </c>
      <c r="CA58" s="13">
        <f t="shared" si="39"/>
        <v>32.852889709555718</v>
      </c>
      <c r="CB58" s="20">
        <f t="shared" si="10"/>
        <v>275.03597041080951</v>
      </c>
      <c r="CC58" s="59">
        <f t="shared" si="11"/>
        <v>548.41310336801143</v>
      </c>
      <c r="CD58" s="59">
        <f ca="1">AVERAGE(OFFSET($CC$3,0,0,'Données projet'!$E$12+1,1))-AVERAGE(OFFSET($H$3,0,0,'Données projet'!$E$12+1,1))</f>
        <v>208.92677786250815</v>
      </c>
      <c r="CE58" s="59">
        <f t="shared" si="40"/>
        <v>207.54290142772214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7.5699916855958351</v>
      </c>
      <c r="CL58" s="21">
        <f>EXP(-LN(2)/25)*CL57+(1-EXP(-LN(2)/25))/(LN(2)/25)*Calculateur!CG58*Calculateur!CI58*VLOOKUP('Données projet'!$B$12,Paramètres!$A$1:$I$89,3,0)*0.475*44/12</f>
        <v>8.1937386346840118</v>
      </c>
      <c r="CM58" s="21">
        <f>EXP(-LN(2)/2)*CM57+(1-EXP(-LN(2)/2))/(LN(2)/2)*CG58*CJ58*VLOOKUP('Données projet'!$B$12,Paramètres!$A$1:$I$89,3,0)*0.475*44/12</f>
        <v>2.1230299994508175</v>
      </c>
      <c r="CN58" s="22">
        <f t="shared" si="12"/>
        <v>17.886760319730666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64.557399897418719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9.8828571428571443</v>
      </c>
      <c r="CT58" s="12">
        <f>IF('Données projet'!$A$140&gt;35,CT57+CS58-DB57,IF(A58&lt;'Données projet'!$A$140,$CQ$205^A58,IF(A58='Données projet'!$A$140,'Données projet'!$B$140,CT57+CS58-DB57)))</f>
        <v>163.3185714285714</v>
      </c>
      <c r="CU58" s="17">
        <f>CT58*VLOOKUP('Données projet'!$B$13,Paramètres!$A$1:$I$89,3,0)*VLOOKUP('Données projet'!$B$13,Paramètres!$A$1:$I$89,5,0)</f>
        <v>155.41395257142855</v>
      </c>
      <c r="CV58" s="13">
        <f t="shared" si="41"/>
        <v>39.806375365418063</v>
      </c>
      <c r="CW58" s="20">
        <f t="shared" si="13"/>
        <v>340.00873782334116</v>
      </c>
      <c r="CX58" s="59">
        <f t="shared" si="14"/>
        <v>613.3858707805432</v>
      </c>
      <c r="CY58" s="59">
        <f ca="1">AVERAGE(OFFSET($CX$3,0,0,'Données projet'!$E$13+1,1))-AVERAGE(OFFSET($H$3,0,0,'Données projet'!$E$13+1,1))</f>
        <v>470.42022791389275</v>
      </c>
      <c r="CZ58" s="59">
        <f t="shared" si="42"/>
        <v>300.26117330627346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4.7314080785195252</v>
      </c>
      <c r="DG58" s="21">
        <f>EXP(-LN(2)/25)*DG57+(1-EXP(-LN(2)/25))/(LN(2)/25)*Calculateur!DB58*Calculateur!DD58*VLOOKUP('Données projet'!$B$13,Paramètres!$A$1:$I$89,3,0)*0.475*44/12</f>
        <v>13.192851091913109</v>
      </c>
      <c r="DH58" s="21">
        <f>EXP(-LN(2)/2)*DH57+(1-EXP(-LN(2)/2))/(LN(2)/2)*DB58*DE58*VLOOKUP('Données projet'!$B$13,Paramètres!$A$1:$I$89,3,0)*0.475*44/12</f>
        <v>3.8604103861509316</v>
      </c>
      <c r="DI58" s="22">
        <f t="shared" si="15"/>
        <v>21.784669556583566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64.557399897418719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3.3603333333333336</v>
      </c>
      <c r="DO58" s="12">
        <f>IF('Données projet'!$A$166&gt;35,DO57+DN58-DW57,IF(A58&lt;'Données projet'!$A$166,$DL$205^A58,IF(A58='Données projet'!$A$166,'Données projet'!$B$166,DO57+DN58-DW57)))</f>
        <v>184.81833333333324</v>
      </c>
      <c r="DP58" s="17">
        <f>DO58*VLOOKUP('Données projet'!$B$14,Paramètres!$A$1:$I$89,3,0)*VLOOKUP('Données projet'!$B$14,Paramètres!$A$1:$I$89,5,0)</f>
        <v>178.75629199999992</v>
      </c>
      <c r="DQ58" s="13">
        <f t="shared" si="43"/>
        <v>45.045372492523107</v>
      </c>
      <c r="DR58" s="20">
        <f t="shared" si="16"/>
        <v>389.78789899114423</v>
      </c>
      <c r="DS58" s="59">
        <f t="shared" si="17"/>
        <v>663.16503194834627</v>
      </c>
      <c r="DT58" s="59">
        <f ca="1">AVERAGE(OFFSET($DS$3,0,0,'Données projet'!$E$14+1,1))-AVERAGE(OFFSET($H$3,0,0,'Données projet'!$E$14+1,1))</f>
        <v>537.37164071064103</v>
      </c>
      <c r="DU58" s="59">
        <f t="shared" si="44"/>
        <v>263.29777321132235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0</v>
      </c>
      <c r="EB58" s="21">
        <f>EXP(-LN(2)/25)*EB57+(1-EXP(-LN(2)/25))/(LN(2)/25)*Calculateur!DW58*Calculateur!DY58*VLOOKUP('Données projet'!$B$14,Paramètres!$A$1:$I$89,3,0)*0.475*44/12</f>
        <v>0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0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64.557399897418719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64.557399897418719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64.557399897418719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64.557399897418719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45">
      <c r="A59" s="10">
        <f t="shared" si="31"/>
        <v>56</v>
      </c>
      <c r="B59" s="73">
        <f>'Scénario référence'!$B$16*5+'Scénario référence'!$B$17*0+'Scénario référence'!$B$18*5</f>
        <v>2.8499999999999996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10.449999999999998</v>
      </c>
      <c r="H59" s="67">
        <f t="shared" si="1"/>
        <v>214.86666666666667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64.651816841367548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14.073749999999997</v>
      </c>
      <c r="N59" s="13">
        <f>IF('Données projet'!$A$36&gt;35,N58+M59-V58,IF(A59&lt;'Données projet'!$A$36,$K$205^A59,IF(A59='Données projet'!$A$36,'Données projet'!$B$36,N58+M59-V58)))</f>
        <v>318.43250000000012</v>
      </c>
      <c r="O59" s="13">
        <f>N59*VLOOKUP('Données projet'!$B$9,Paramètres!$A$1:$I$89,3,0)*VLOOKUP('Données projet'!$B$9,Paramètres!$A$1:$I$89,5,0)</f>
        <v>288.11772600000012</v>
      </c>
      <c r="P59" s="13">
        <f t="shared" si="33"/>
        <v>68.679653876016673</v>
      </c>
      <c r="Q59" s="20">
        <f t="shared" si="53"/>
        <v>621.42210328406259</v>
      </c>
      <c r="R59" s="59">
        <f t="shared" si="0"/>
        <v>895.14543170241018</v>
      </c>
      <c r="S59" s="59">
        <f ca="1">AVERAGE(OFFSET($R$3,0,0,'Données projet'!$E$9+1,1))-AVERAGE(OFFSET($H$3,0,0,'Données projet'!$E$9+1,1))</f>
        <v>719.20816951277925</v>
      </c>
      <c r="T59" s="59">
        <f t="shared" si="34"/>
        <v>237.1127421841087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</v>
      </c>
      <c r="AA59" s="21">
        <f>EXP(-LN(2)/25)*AA58+(1-EXP(-LN(2)/25))/(LN(2)/25)*Calculateur!V59*Calculateur!X59*VLOOKUP('Données projet'!$B$9,Paramètres!$A$1:$I$89,3,0)*0.475*44/12</f>
        <v>40.863134290125643</v>
      </c>
      <c r="AB59" s="21">
        <f>EXP(-LN(2)/2)*AB58+(1-EXP(-LN(2)/2))/(LN(2)/2)*V59*Y59*VLOOKUP('Données projet'!$B$9,Paramètres!$A$1:$I$89,3,0)*0.475*44/12</f>
        <v>1.5901188297840805</v>
      </c>
      <c r="AC59" s="22">
        <f t="shared" si="3"/>
        <v>42.453253119909725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64.651816841367548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14.12857142857143</v>
      </c>
      <c r="AI59" s="13">
        <f>IF('Données projet'!$A$62&gt;35,AI58+AH59-AQ58,IF(A59&lt;'Données projet'!$A$62,$AF$205^A59,IF(A59='Données projet'!$A$62,'Données projet'!$B$62,AI58+AH59-AQ58)))</f>
        <v>276.86285714285714</v>
      </c>
      <c r="AJ59" s="13">
        <f>AI59*VLOOKUP('Données projet'!$B$10,Paramètres!$A$1:$I$89,3,0)*VLOOKUP('Données projet'!$B$10,Paramètres!$A$1:$I$89,5,0)</f>
        <v>233.22927085714286</v>
      </c>
      <c r="AK59" s="13">
        <f t="shared" si="35"/>
        <v>56.980357782875821</v>
      </c>
      <c r="AL59" s="20">
        <f t="shared" si="4"/>
        <v>505.44843654803253</v>
      </c>
      <c r="AM59" s="59">
        <f t="shared" si="5"/>
        <v>779.17176496638012</v>
      </c>
      <c r="AN59" s="59">
        <f ca="1">AVERAGE(OFFSET($AM$3,0,0,'Données projet'!$E$10+1,1))-AVERAGE(OFFSET($H$3,0,0,'Données projet'!$E$10+1,1))</f>
        <v>442.79037205372367</v>
      </c>
      <c r="AO59" s="59">
        <f t="shared" si="36"/>
        <v>288.23553637727969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13.271715322385942</v>
      </c>
      <c r="AV59" s="21">
        <f>EXP(-LN(2)/25)*AV58+(1-EXP(-LN(2)/25))/(LN(2)/25)*Calculateur!AQ59*Calculateur!AS59*VLOOKUP('Données projet'!$B$10,Paramètres!$A$1:$I$89,3,0)*0.475*44/12</f>
        <v>25.839479335297465</v>
      </c>
      <c r="AW59" s="21">
        <f>EXP(-LN(2)/2)*AW58+(1-EXP(-LN(2)/2))/(LN(2)/2)*AQ59*AT59*VLOOKUP('Données projet'!$B$10,Paramètres!$A$1:$I$89,3,0)*0.475*44/12</f>
        <v>0.85996750490977114</v>
      </c>
      <c r="AX59" s="21">
        <f t="shared" si="6"/>
        <v>39.971162162593174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64.651816841367548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3.3603333333333336</v>
      </c>
      <c r="BD59" s="12">
        <f>IF('Données projet'!$A$88&gt;35,BD58+BC59-BL58,IF(A59&lt;'Données projet'!$A$88,$BA$205^A59,IF(A59='Données projet'!$A$88,'Données projet'!$B$88,BD58+BC59-BL58)))</f>
        <v>188.17866666666657</v>
      </c>
      <c r="BE59" s="13">
        <f>BD59*VLOOKUP('Données projet'!$B$11,Paramètres!$A$1:$I$89,3,0)*VLOOKUP('Données projet'!$B$11,Paramètres!$A$1:$I$89,5,0)</f>
        <v>190.81316799999991</v>
      </c>
      <c r="BF59" s="13">
        <f t="shared" si="37"/>
        <v>47.719688040962872</v>
      </c>
      <c r="BG59" s="20">
        <f t="shared" si="7"/>
        <v>415.44472427134343</v>
      </c>
      <c r="BH59" s="59">
        <f t="shared" si="8"/>
        <v>689.16805268969108</v>
      </c>
      <c r="BI59" s="59">
        <f ca="1">AVERAGE(OFFSET($BH$3,0,0,'Données projet'!$E$11+1,1))-AVERAGE(OFFSET($H$3,0,0,'Données projet'!$E$11+1,1))</f>
        <v>559.91818701710872</v>
      </c>
      <c r="BJ59" s="59">
        <f t="shared" si="38"/>
        <v>273.47272623465915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0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64.651816841367548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6.0096153846153868</v>
      </c>
      <c r="BY59" s="12">
        <f>IF('Données projet'!$A$114&gt;35,BY58+BX59-CG58,IF(A59&lt;'Données projet'!$A$114,$BV$205^A59,IF(A59='Données projet'!$A$114,'Données projet'!$B$114,BY58+BX59-CG58)))</f>
        <v>166.34615384615384</v>
      </c>
      <c r="BZ59" s="13">
        <f>BY59*VLOOKUP('Données projet'!$B$12,Paramètres!$A$1:$I$89,3,0)*VLOOKUP('Données projet'!$B$12,Paramètres!$A$1:$I$89,5,0)</f>
        <v>129.75</v>
      </c>
      <c r="CA59" s="13">
        <f t="shared" si="39"/>
        <v>33.938585202364465</v>
      </c>
      <c r="CB59" s="20">
        <f t="shared" si="10"/>
        <v>285.09095256078473</v>
      </c>
      <c r="CC59" s="59">
        <f t="shared" si="11"/>
        <v>558.81428097913238</v>
      </c>
      <c r="CD59" s="59">
        <f ca="1">AVERAGE(OFFSET($CC$3,0,0,'Données projet'!$E$12+1,1))-AVERAGE(OFFSET($H$3,0,0,'Données projet'!$E$12+1,1))</f>
        <v>208.92677786250815</v>
      </c>
      <c r="CE59" s="59">
        <f t="shared" si="40"/>
        <v>207.54290142772214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7.4215487658803143</v>
      </c>
      <c r="CL59" s="21">
        <f>EXP(-LN(2)/25)*CL58+(1-EXP(-LN(2)/25))/(LN(2)/25)*Calculateur!CG59*Calculateur!CI59*VLOOKUP('Données projet'!$B$12,Paramètres!$A$1:$I$89,3,0)*0.475*44/12</f>
        <v>7.9696804208285901</v>
      </c>
      <c r="CM59" s="21">
        <f>EXP(-LN(2)/2)*CM58+(1-EXP(-LN(2)/2))/(LN(2)/2)*CG59*CJ59*VLOOKUP('Données projet'!$B$12,Paramètres!$A$1:$I$89,3,0)*0.475*44/12</f>
        <v>1.5012089092741454</v>
      </c>
      <c r="CN59" s="22">
        <f t="shared" si="12"/>
        <v>16.892438095983049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64.651816841367548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9.8828571428571443</v>
      </c>
      <c r="CT59" s="12">
        <f>IF('Données projet'!$A$140&gt;35,CT58+CS59-DB58,IF(A59&lt;'Données projet'!$A$140,$CQ$205^A59,IF(A59='Données projet'!$A$140,'Données projet'!$B$140,CT58+CS59-DB58)))</f>
        <v>173.20142857142855</v>
      </c>
      <c r="CU59" s="17">
        <f>CT59*VLOOKUP('Données projet'!$B$13,Paramètres!$A$1:$I$89,3,0)*VLOOKUP('Données projet'!$B$13,Paramètres!$A$1:$I$89,5,0)</f>
        <v>164.81847942857141</v>
      </c>
      <c r="CV59" s="13">
        <f t="shared" si="41"/>
        <v>41.927453010205141</v>
      </c>
      <c r="CW59" s="20">
        <f t="shared" si="13"/>
        <v>360.08249899753582</v>
      </c>
      <c r="CX59" s="59">
        <f t="shared" si="14"/>
        <v>633.80582741588341</v>
      </c>
      <c r="CY59" s="59">
        <f ca="1">AVERAGE(OFFSET($CX$3,0,0,'Données projet'!$E$13+1,1))-AVERAGE(OFFSET($H$3,0,0,'Données projet'!$E$13+1,1))</f>
        <v>470.42022791389275</v>
      </c>
      <c r="CZ59" s="59">
        <f t="shared" si="42"/>
        <v>300.26117330627346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4.6386280519737291</v>
      </c>
      <c r="DG59" s="21">
        <f>EXP(-LN(2)/25)*DG58+(1-EXP(-LN(2)/25))/(LN(2)/25)*Calculateur!DB59*Calculateur!DD59*VLOOKUP('Données projet'!$B$13,Paramètres!$A$1:$I$89,3,0)*0.475*44/12</f>
        <v>12.832091885022859</v>
      </c>
      <c r="DH59" s="21">
        <f>EXP(-LN(2)/2)*DH58+(1-EXP(-LN(2)/2))/(LN(2)/2)*DB59*DE59*VLOOKUP('Données projet'!$B$13,Paramètres!$A$1:$I$89,3,0)*0.475*44/12</f>
        <v>2.7297223622103024</v>
      </c>
      <c r="DI59" s="22">
        <f t="shared" si="15"/>
        <v>20.200442299206891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64.651816841367548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3.3603333333333336</v>
      </c>
      <c r="DO59" s="12">
        <f>IF('Données projet'!$A$166&gt;35,DO58+DN59-DW58,IF(A59&lt;'Données projet'!$A$166,$DL$205^A59,IF(A59='Données projet'!$A$166,'Données projet'!$B$166,DO58+DN59-DW58)))</f>
        <v>188.17866666666657</v>
      </c>
      <c r="DP59" s="17">
        <f>DO59*VLOOKUP('Données projet'!$B$14,Paramètres!$A$1:$I$89,3,0)*VLOOKUP('Données projet'!$B$14,Paramètres!$A$1:$I$89,5,0)</f>
        <v>182.00640639999992</v>
      </c>
      <c r="DQ59" s="13">
        <f t="shared" si="43"/>
        <v>45.768286229730428</v>
      </c>
      <c r="DR59" s="20">
        <f t="shared" si="16"/>
        <v>396.70758966344698</v>
      </c>
      <c r="DS59" s="59">
        <f t="shared" si="17"/>
        <v>670.43091808179463</v>
      </c>
      <c r="DT59" s="59">
        <f ca="1">AVERAGE(OFFSET($DS$3,0,0,'Données projet'!$E$14+1,1))-AVERAGE(OFFSET($H$3,0,0,'Données projet'!$E$14+1,1))</f>
        <v>537.37164071064103</v>
      </c>
      <c r="DU59" s="59">
        <f t="shared" si="44"/>
        <v>263.29777321132235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0</v>
      </c>
      <c r="EB59" s="21">
        <f>EXP(-LN(2)/25)*EB58+(1-EXP(-LN(2)/25))/(LN(2)/25)*Calculateur!DW59*Calculateur!DY59*VLOOKUP('Données projet'!$B$14,Paramètres!$A$1:$I$89,3,0)*0.475*44/12</f>
        <v>0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0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64.651816841367548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64.651816841367548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64.651816841367548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64.651816841367548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45">
      <c r="A60" s="10">
        <f t="shared" si="31"/>
        <v>57</v>
      </c>
      <c r="B60" s="73">
        <f>'Scénario référence'!$B$16*5+'Scénario référence'!$B$17*0+'Scénario référence'!$B$18*5</f>
        <v>2.8499999999999996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10.449999999999998</v>
      </c>
      <c r="H60" s="67">
        <f t="shared" si="1"/>
        <v>214.86666666666667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64.744595862423523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14.073749999999997</v>
      </c>
      <c r="N60" s="13">
        <f>IF('Données projet'!$A$36&gt;35,N59+M60-V59,IF(A60&lt;'Données projet'!$A$36,$K$205^A60,IF(A60='Données projet'!$A$36,'Données projet'!$B$36,N59+M60-V59)))</f>
        <v>332.50625000000014</v>
      </c>
      <c r="O60" s="13">
        <f>N60*VLOOKUP('Données projet'!$B$9,Paramètres!$A$1:$I$89,3,0)*VLOOKUP('Données projet'!$B$9,Paramètres!$A$1:$I$89,5,0)</f>
        <v>300.85165500000011</v>
      </c>
      <c r="P60" s="13">
        <f t="shared" si="33"/>
        <v>71.354973608730333</v>
      </c>
      <c r="Q60" s="20">
        <f t="shared" si="53"/>
        <v>648.25987816020552</v>
      </c>
      <c r="R60" s="59">
        <f t="shared" si="0"/>
        <v>922.3233963224252</v>
      </c>
      <c r="S60" s="59">
        <f ca="1">AVERAGE(OFFSET($R$3,0,0,'Données projet'!$E$9+1,1))-AVERAGE(OFFSET($H$3,0,0,'Données projet'!$E$9+1,1))</f>
        <v>719.20816951277925</v>
      </c>
      <c r="T60" s="59">
        <f t="shared" si="34"/>
        <v>237.1127421841087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</v>
      </c>
      <c r="AA60" s="21">
        <f>EXP(-LN(2)/25)*AA59+(1-EXP(-LN(2)/25))/(LN(2)/25)*Calculateur!V60*Calculateur!X60*VLOOKUP('Données projet'!$B$9,Paramètres!$A$1:$I$89,3,0)*0.475*44/12</f>
        <v>39.745729734063318</v>
      </c>
      <c r="AB60" s="21">
        <f>EXP(-LN(2)/2)*AB59+(1-EXP(-LN(2)/2))/(LN(2)/2)*V60*Y60*VLOOKUP('Données projet'!$B$9,Paramètres!$A$1:$I$89,3,0)*0.475*44/12</f>
        <v>1.1243838074327408</v>
      </c>
      <c r="AC60" s="22">
        <f t="shared" si="3"/>
        <v>40.87011354149606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64.744595862423523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14.12857142857143</v>
      </c>
      <c r="AI60" s="13">
        <f>IF('Données projet'!$A$62&gt;35,AI59+AH60-AQ59,IF(A60&lt;'Données projet'!$A$62,$AF$205^A60,IF(A60='Données projet'!$A$62,'Données projet'!$B$62,AI59+AH60-AQ59)))</f>
        <v>290.99142857142857</v>
      </c>
      <c r="AJ60" s="13">
        <f>AI60*VLOOKUP('Données projet'!$B$10,Paramètres!$A$1:$I$89,3,0)*VLOOKUP('Données projet'!$B$10,Paramètres!$A$1:$I$89,5,0)</f>
        <v>245.13117942857144</v>
      </c>
      <c r="AK60" s="13">
        <f t="shared" si="35"/>
        <v>59.542165822606094</v>
      </c>
      <c r="AL60" s="20">
        <f t="shared" si="4"/>
        <v>530.63940964580081</v>
      </c>
      <c r="AM60" s="59">
        <f t="shared" si="5"/>
        <v>804.70292780802038</v>
      </c>
      <c r="AN60" s="59">
        <f ca="1">AVERAGE(OFFSET($AM$3,0,0,'Données projet'!$E$10+1,1))-AVERAGE(OFFSET($H$3,0,0,'Données projet'!$E$10+1,1))</f>
        <v>442.79037205372367</v>
      </c>
      <c r="AO60" s="59">
        <f t="shared" si="36"/>
        <v>288.23553637727969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13.011465079860992</v>
      </c>
      <c r="AV60" s="21">
        <f>EXP(-LN(2)/25)*AV59+(1-EXP(-LN(2)/25))/(LN(2)/25)*Calculateur!AQ60*Calculateur!AS60*VLOOKUP('Données projet'!$B$10,Paramètres!$A$1:$I$89,3,0)*0.475*44/12</f>
        <v>25.132897414034595</v>
      </c>
      <c r="AW60" s="21">
        <f>EXP(-LN(2)/2)*AW59+(1-EXP(-LN(2)/2))/(LN(2)/2)*AQ60*AT60*VLOOKUP('Données projet'!$B$10,Paramètres!$A$1:$I$89,3,0)*0.475*44/12</f>
        <v>0.60808885432177484</v>
      </c>
      <c r="AX60" s="21">
        <f t="shared" si="6"/>
        <v>38.752451348217363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64.744595862423523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3.3603333333333336</v>
      </c>
      <c r="BD60" s="12">
        <f>IF('Données projet'!$A$88&gt;35,BD59+BC60-BL59,IF(A60&lt;'Données projet'!$A$88,$BA$205^A60,IF(A60='Données projet'!$A$88,'Données projet'!$B$88,BD59+BC60-BL59)))</f>
        <v>191.5389999999999</v>
      </c>
      <c r="BE60" s="13">
        <f>BD60*VLOOKUP('Données projet'!$B$11,Paramètres!$A$1:$I$89,3,0)*VLOOKUP('Données projet'!$B$11,Paramètres!$A$1:$I$89,5,0)</f>
        <v>194.22054599999993</v>
      </c>
      <c r="BF60" s="13">
        <f t="shared" si="37"/>
        <v>48.471859170137883</v>
      </c>
      <c r="BG60" s="20">
        <f t="shared" si="7"/>
        <v>422.68927233798996</v>
      </c>
      <c r="BH60" s="59">
        <f t="shared" si="8"/>
        <v>696.75279050020958</v>
      </c>
      <c r="BI60" s="59">
        <f ca="1">AVERAGE(OFFSET($BH$3,0,0,'Données projet'!$E$11+1,1))-AVERAGE(OFFSET($H$3,0,0,'Données projet'!$E$11+1,1))</f>
        <v>559.91818701710872</v>
      </c>
      <c r="BJ60" s="59">
        <f t="shared" si="38"/>
        <v>273.47272623465915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0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64.744595862423523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6.0096153846153868</v>
      </c>
      <c r="BY60" s="12">
        <f>IF('Données projet'!$A$114&gt;35,BY59+BX60-CG59,IF(A60&lt;'Données projet'!$A$114,$BV$205^A60,IF(A60='Données projet'!$A$114,'Données projet'!$B$114,BY59+BX60-CG59)))</f>
        <v>172.35576923076923</v>
      </c>
      <c r="BZ60" s="13">
        <f>BY60*VLOOKUP('Données projet'!$B$12,Paramètres!$A$1:$I$89,3,0)*VLOOKUP('Données projet'!$B$12,Paramètres!$A$1:$I$89,5,0)</f>
        <v>134.4375</v>
      </c>
      <c r="CA60" s="13">
        <f t="shared" si="39"/>
        <v>35.019723665000747</v>
      </c>
      <c r="CB60" s="20">
        <f t="shared" si="10"/>
        <v>295.13799788320961</v>
      </c>
      <c r="CC60" s="59">
        <f t="shared" si="11"/>
        <v>569.20151604542923</v>
      </c>
      <c r="CD60" s="59">
        <f ca="1">AVERAGE(OFFSET($CC$3,0,0,'Données projet'!$E$12+1,1))-AVERAGE(OFFSET($H$3,0,0,'Données projet'!$E$12+1,1))</f>
        <v>208.92677786250815</v>
      </c>
      <c r="CE60" s="59">
        <f t="shared" si="40"/>
        <v>207.54290142772214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7.2760167212791744</v>
      </c>
      <c r="CL60" s="21">
        <f>EXP(-LN(2)/25)*CL59+(1-EXP(-LN(2)/25))/(LN(2)/25)*Calculateur!CG60*Calculateur!CI60*VLOOKUP('Données projet'!$B$12,Paramètres!$A$1:$I$89,3,0)*0.475*44/12</f>
        <v>7.7517490906137541</v>
      </c>
      <c r="CM60" s="21">
        <f>EXP(-LN(2)/2)*CM59+(1-EXP(-LN(2)/2))/(LN(2)/2)*CG60*CJ60*VLOOKUP('Données projet'!$B$12,Paramètres!$A$1:$I$89,3,0)*0.475*44/12</f>
        <v>1.061514999725409</v>
      </c>
      <c r="CN60" s="22">
        <f t="shared" si="12"/>
        <v>16.089280811618337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64.744595862423523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9.8828571428571443</v>
      </c>
      <c r="CT60" s="12">
        <f>IF('Données projet'!$A$140&gt;35,CT59+CS60-DB59,IF(A60&lt;'Données projet'!$A$140,$CQ$205^A60,IF(A60='Données projet'!$A$140,'Données projet'!$B$140,CT59+CS60-DB59)))</f>
        <v>183.0842857142857</v>
      </c>
      <c r="CU60" s="17">
        <f>CT60*VLOOKUP('Données projet'!$B$13,Paramètres!$A$1:$I$89,3,0)*VLOOKUP('Données projet'!$B$13,Paramètres!$A$1:$I$89,5,0)</f>
        <v>174.22300628571426</v>
      </c>
      <c r="CV60" s="13">
        <f t="shared" si="41"/>
        <v>44.034481572204157</v>
      </c>
      <c r="CW60" s="20">
        <f t="shared" si="13"/>
        <v>380.13179135254126</v>
      </c>
      <c r="CX60" s="59">
        <f t="shared" si="14"/>
        <v>654.19530951476088</v>
      </c>
      <c r="CY60" s="59">
        <f ca="1">AVERAGE(OFFSET($CX$3,0,0,'Données projet'!$E$13+1,1))-AVERAGE(OFFSET($H$3,0,0,'Données projet'!$E$13+1,1))</f>
        <v>470.42022791389275</v>
      </c>
      <c r="CZ60" s="59">
        <f t="shared" si="42"/>
        <v>300.26117330627346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4.5476673851582676</v>
      </c>
      <c r="DG60" s="21">
        <f>EXP(-LN(2)/25)*DG59+(1-EXP(-LN(2)/25))/(LN(2)/25)*Calculateur!DB60*Calculateur!DD60*VLOOKUP('Données projet'!$B$13,Paramètres!$A$1:$I$89,3,0)*0.475*44/12</f>
        <v>12.481197657616525</v>
      </c>
      <c r="DH60" s="21">
        <f>EXP(-LN(2)/2)*DH59+(1-EXP(-LN(2)/2))/(LN(2)/2)*DB60*DE60*VLOOKUP('Données projet'!$B$13,Paramètres!$A$1:$I$89,3,0)*0.475*44/12</f>
        <v>1.930205193075466</v>
      </c>
      <c r="DI60" s="22">
        <f t="shared" si="15"/>
        <v>18.959070235850259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64.744595862423523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3.3603333333333336</v>
      </c>
      <c r="DO60" s="12">
        <f>IF('Données projet'!$A$166&gt;35,DO59+DN60-DW59,IF(A60&lt;'Données projet'!$A$166,$DL$205^A60,IF(A60='Données projet'!$A$166,'Données projet'!$B$166,DO59+DN60-DW59)))</f>
        <v>191.5389999999999</v>
      </c>
      <c r="DP60" s="17">
        <f>DO60*VLOOKUP('Données projet'!$B$14,Paramètres!$A$1:$I$89,3,0)*VLOOKUP('Données projet'!$B$14,Paramètres!$A$1:$I$89,5,0)</f>
        <v>185.25652079999989</v>
      </c>
      <c r="DQ60" s="13">
        <f t="shared" si="43"/>
        <v>46.489698815333881</v>
      </c>
      <c r="DR60" s="20">
        <f t="shared" si="16"/>
        <v>403.62466583003965</v>
      </c>
      <c r="DS60" s="59">
        <f t="shared" si="17"/>
        <v>677.68818399225927</v>
      </c>
      <c r="DT60" s="59">
        <f ca="1">AVERAGE(OFFSET($DS$3,0,0,'Données projet'!$E$14+1,1))-AVERAGE(OFFSET($H$3,0,0,'Données projet'!$E$14+1,1))</f>
        <v>537.37164071064103</v>
      </c>
      <c r="DU60" s="59">
        <f t="shared" si="44"/>
        <v>263.29777321132235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0</v>
      </c>
      <c r="EB60" s="21">
        <f>EXP(-LN(2)/25)*EB59+(1-EXP(-LN(2)/25))/(LN(2)/25)*Calculateur!DW60*Calculateur!DY60*VLOOKUP('Données projet'!$B$14,Paramètres!$A$1:$I$89,3,0)*0.475*44/12</f>
        <v>0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0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64.744595862423523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64.744595862423523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64.744595862423523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64.744595862423523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45">
      <c r="A61" s="10">
        <f t="shared" si="31"/>
        <v>58</v>
      </c>
      <c r="B61" s="73">
        <f>'Scénario référence'!$B$16*5+'Scénario référence'!$B$17*0+'Scénario référence'!$B$18*5</f>
        <v>2.8499999999999996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10.449999999999998</v>
      </c>
      <c r="H61" s="67">
        <f t="shared" si="1"/>
        <v>214.86666666666667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64.835765374887004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>
        <f>VLOOKUP(A61,'Données projet'!$A$35:$I$55,2,0)</f>
        <v>346.58</v>
      </c>
      <c r="L61" s="12">
        <f>VLOOKUP(A61,'Données projet'!$A$35:$I$55,9,0)</f>
        <v>14.073749999999997</v>
      </c>
      <c r="M61" s="12">
        <f t="array" ref="M61">INDEX(L:L,MIN(IF(ISNUMBER(L61:L257),ROW(L61:L257),"")))</f>
        <v>14.073749999999997</v>
      </c>
      <c r="N61" s="13">
        <f>IF('Données projet'!$A$36&gt;35,N60+M61-V60,IF(A61&lt;'Données projet'!$A$36,$K$205^A61,IF(A61='Données projet'!$A$36,'Données projet'!$B$36,N60+M61-V60)))</f>
        <v>346.58000000000015</v>
      </c>
      <c r="O61" s="13">
        <f>N61*VLOOKUP('Données projet'!$B$9,Paramètres!$A$1:$I$89,3,0)*VLOOKUP('Données projet'!$B$9,Paramètres!$A$1:$I$89,5,0)</f>
        <v>313.58558400000015</v>
      </c>
      <c r="P61" s="13">
        <f t="shared" si="33"/>
        <v>74.017140903550782</v>
      </c>
      <c r="Q61" s="20">
        <f t="shared" si="53"/>
        <v>675.07474587368461</v>
      </c>
      <c r="R61" s="59">
        <f t="shared" si="0"/>
        <v>949.47255224827029</v>
      </c>
      <c r="S61" s="59">
        <f ca="1">AVERAGE(OFFSET($R$3,0,0,'Données projet'!$E$9+1,1))-AVERAGE(OFFSET($H$3,0,0,'Données projet'!$E$9+1,1))</f>
        <v>719.20816951277925</v>
      </c>
      <c r="T61" s="59">
        <f t="shared" si="34"/>
        <v>237.1127421841087</v>
      </c>
      <c r="U61" s="15">
        <f>IF(ISNA(VLOOKUP(A61,'Données projet'!$A$35:$I$55,3,0)),0,VLOOKUP(A61,'Données projet'!$A$35:$I$55,3,0))</f>
        <v>4</v>
      </c>
      <c r="V61" s="15">
        <f>IF(ISNA(VLOOKUP(A61,'Données projet'!$A$35:$I$55,4,0)),0,VLOOKUP(A61,'Données projet'!$A$35:$I$55,4,0))</f>
        <v>65.819999999999993</v>
      </c>
      <c r="W61" s="16">
        <f>IF(ISNA(VLOOKUP(A61,'Données projet'!$A$35:$I$55,5,0)),0%,VLOOKUP(A61,'Données projet'!$A$35:$I$55,5,0)*VLOOKUP('Données projet'!$B$9,Paramètres!$A$1:$I$89,7,0))</f>
        <v>0.15049999999999999</v>
      </c>
      <c r="X61" s="16">
        <f>IF(ISNA(VLOOKUP(A61,'Données projet'!$A$35:$I$55,6,0)),0%,VLOOKUP(A61,'Données projet'!$A$35:$I$55,6,0)*VLOOKUP('Données projet'!$B$9,Paramètres!$A$1:$I$89,7,0))</f>
        <v>8.6000000000000007E-2</v>
      </c>
      <c r="Y61" s="16">
        <f>IF(ISNA(VLOOKUP(A61,'Données projet'!$A$35:$I$55,7,0)),0%,VLOOKUP(A61,'Données projet'!$A$35:$I$55,7,0))</f>
        <v>0.1</v>
      </c>
      <c r="Z61" s="21">
        <f>EXP(-LN(2)/35)*Z60+(1-EXP(-LN(2)/35))/(LN(2)/35)*V61*W61*VLOOKUP('Données projet'!$B$9,Paramètres!$A$1:$I$89,3,0)*0.475*44/12</f>
        <v>9.9081843910064524</v>
      </c>
      <c r="AA61" s="21">
        <f>EXP(-LN(2)/25)*AA60+(1-EXP(-LN(2)/25))/(LN(2)/25)*Calculateur!V61*Calculateur!X61*VLOOKUP('Données projet'!$B$9,Paramètres!$A$1:$I$89,3,0)*0.475*44/12</f>
        <v>44.298407575059599</v>
      </c>
      <c r="AB61" s="21">
        <f>EXP(-LN(2)/2)*AB60+(1-EXP(-LN(2)/2))/(LN(2)/2)*V61*Y61*VLOOKUP('Données projet'!$B$9,Paramètres!$A$1:$I$89,3,0)*0.475*44/12</f>
        <v>6.414133563560716</v>
      </c>
      <c r="AC61" s="22">
        <f t="shared" si="3"/>
        <v>60.620725529626768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64.835765374887004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>
        <f>VLOOKUP(A61,'Données projet'!$A$61:$I$81,2,0)</f>
        <v>305.12</v>
      </c>
      <c r="AG61" s="12">
        <f>VLOOKUP(A61,'Données projet'!$A$61:$I$81,9,0)</f>
        <v>14.12857142857143</v>
      </c>
      <c r="AH61" s="12">
        <f t="array" ref="AH61">INDEX(AG:AG,MIN(IF(ISNUMBER(AG61:AG257),ROW(AG61:AG257),"")))</f>
        <v>14.12857142857143</v>
      </c>
      <c r="AI61" s="13">
        <f>IF('Données projet'!$A$62&gt;35,AI60+AH61-AQ60,IF(A61&lt;'Données projet'!$A$62,$AF$205^A61,IF(A61='Données projet'!$A$62,'Données projet'!$B$62,AI60+AH61-AQ60)))</f>
        <v>305.12</v>
      </c>
      <c r="AJ61" s="13">
        <f>AI61*VLOOKUP('Données projet'!$B$10,Paramètres!$A$1:$I$89,3,0)*VLOOKUP('Données projet'!$B$10,Paramètres!$A$1:$I$89,5,0)</f>
        <v>257.03308800000002</v>
      </c>
      <c r="AK61" s="13">
        <f t="shared" si="35"/>
        <v>62.08953040488894</v>
      </c>
      <c r="AL61" s="20">
        <f t="shared" si="4"/>
        <v>555.8052270551816</v>
      </c>
      <c r="AM61" s="59">
        <f t="shared" si="5"/>
        <v>830.20303342976729</v>
      </c>
      <c r="AN61" s="59">
        <f ca="1">AVERAGE(OFFSET($AM$3,0,0,'Données projet'!$E$10+1,1))-AVERAGE(OFFSET($H$3,0,0,'Données projet'!$E$10+1,1))</f>
        <v>442.79037205372367</v>
      </c>
      <c r="AO61" s="59">
        <f t="shared" si="36"/>
        <v>288.23553637727969</v>
      </c>
      <c r="AP61" s="15">
        <f>IF(ISNA(VLOOKUP(A61,'Données projet'!$A$61:$I$81,3,0)),0,VLOOKUP(A61,'Données projet'!$A$61:$I$81,3,0))</f>
        <v>5</v>
      </c>
      <c r="AQ61" s="15">
        <f>IF(ISNA(VLOOKUP(A61,'Données projet'!$A$61:$I$81,4,0)),0,VLOOKUP(A61,'Données projet'!$A$61:$I$81,4,0))</f>
        <v>53.97</v>
      </c>
      <c r="AR61" s="16">
        <f>IF(ISNA(VLOOKUP(A61,'Données projet'!$A$61:$I$81,5,0)),0%,VLOOKUP(A61,'Données projet'!$A$61:$I$81,5,0)*VLOOKUP('Données projet'!$B$10,Paramètres!$A$1:$I$89,7,0))</f>
        <v>0.15049999999999999</v>
      </c>
      <c r="AS61" s="16">
        <f>IF(ISNA(VLOOKUP(A61,'Données projet'!$A$61:$I$81,6,0)),0%,VLOOKUP(A61,'Données projet'!$A$61:$I$81,6,0)*VLOOKUP('Données projet'!$B$10,Paramètres!$A$1:$I$89,7,0))</f>
        <v>8.6000000000000007E-2</v>
      </c>
      <c r="AT61" s="16">
        <f>IF(ISNA(VLOOKUP(A61,'Données projet'!$A$61:$I$81,7,0)),0%,VLOOKUP(A61,'Données projet'!$A$61:$I$81,7,0))</f>
        <v>0.1</v>
      </c>
      <c r="AU61" s="21">
        <f>EXP(-LN(2)/35)*AU60+(1-EXP(-LN(2)/35))/(LN(2)/35)*AQ61*AR61*VLOOKUP('Données projet'!$B$10,Paramètres!$A$1:$I$89,3,0)*0.475*44/12</f>
        <v>20.320368109225246</v>
      </c>
      <c r="AV61" s="21">
        <f>EXP(-LN(2)/25)*AV60+(1-EXP(-LN(2)/25))/(LN(2)/25)*Calculateur!AQ61*Calculateur!AS61*VLOOKUP('Données projet'!$B$10,Paramètres!$A$1:$I$89,3,0)*0.475*44/12</f>
        <v>28.750932656390745</v>
      </c>
      <c r="AW61" s="21">
        <f>EXP(-LN(2)/2)*AW60+(1-EXP(-LN(2)/2))/(LN(2)/2)*AQ61*AT61*VLOOKUP('Données projet'!$B$10,Paramètres!$A$1:$I$89,3,0)*0.475*44/12</f>
        <v>4.7196654646996219</v>
      </c>
      <c r="AX61" s="21">
        <f t="shared" si="6"/>
        <v>53.790966230315611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64.835765374887004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3.3603333333333336</v>
      </c>
      <c r="BD61" s="12">
        <f>IF('Données projet'!$A$88&gt;35,BD60+BC61-BL60,IF(A61&lt;'Données projet'!$A$88,$BA$205^A61,IF(A61='Données projet'!$A$88,'Données projet'!$B$88,BD60+BC61-BL60)))</f>
        <v>194.89933333333323</v>
      </c>
      <c r="BE61" s="13">
        <f>BD61*VLOOKUP('Données projet'!$B$11,Paramètres!$A$1:$I$89,3,0)*VLOOKUP('Données projet'!$B$11,Paramètres!$A$1:$I$89,5,0)</f>
        <v>197.62792399999992</v>
      </c>
      <c r="BF61" s="13">
        <f t="shared" si="37"/>
        <v>49.222495770753348</v>
      </c>
      <c r="BG61" s="20">
        <f t="shared" si="7"/>
        <v>429.93114776739526</v>
      </c>
      <c r="BH61" s="59">
        <f t="shared" si="8"/>
        <v>704.32895414198094</v>
      </c>
      <c r="BI61" s="59">
        <f ca="1">AVERAGE(OFFSET($BH$3,0,0,'Données projet'!$E$11+1,1))-AVERAGE(OFFSET($H$3,0,0,'Données projet'!$E$11+1,1))</f>
        <v>559.91818701710872</v>
      </c>
      <c r="BJ61" s="59">
        <f t="shared" si="38"/>
        <v>273.47272623465915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0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64.835765374887004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6.0096153846153868</v>
      </c>
      <c r="BY61" s="12">
        <f>IF('Données projet'!$A$114&gt;35,BY60+BX61-CG60,IF(A61&lt;'Données projet'!$A$114,$BV$205^A61,IF(A61='Données projet'!$A$114,'Données projet'!$B$114,BY60+BX61-CG60)))</f>
        <v>178.36538461538461</v>
      </c>
      <c r="BZ61" s="13">
        <f>BY61*VLOOKUP('Données projet'!$B$12,Paramètres!$A$1:$I$89,3,0)*VLOOKUP('Données projet'!$B$12,Paramètres!$A$1:$I$89,5,0)</f>
        <v>139.125</v>
      </c>
      <c r="CA61" s="13">
        <f t="shared" si="39"/>
        <v>36.096482198248644</v>
      </c>
      <c r="CB61" s="20">
        <f t="shared" si="10"/>
        <v>305.17741482861635</v>
      </c>
      <c r="CC61" s="59">
        <f t="shared" si="11"/>
        <v>579.57522120320209</v>
      </c>
      <c r="CD61" s="59">
        <f ca="1">AVERAGE(OFFSET($CC$3,0,0,'Données projet'!$E$12+1,1))-AVERAGE(OFFSET($H$3,0,0,'Données projet'!$E$12+1,1))</f>
        <v>208.92677786250815</v>
      </c>
      <c r="CE61" s="59">
        <f t="shared" si="40"/>
        <v>207.54290142772214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7.1333384713068808</v>
      </c>
      <c r="CL61" s="21">
        <f>EXP(-LN(2)/25)*CL60+(1-EXP(-LN(2)/25))/(LN(2)/25)*Calculateur!CG61*Calculateur!CI61*VLOOKUP('Données projet'!$B$12,Paramètres!$A$1:$I$89,3,0)*0.475*44/12</f>
        <v>7.5397771040841528</v>
      </c>
      <c r="CM61" s="21">
        <f>EXP(-LN(2)/2)*CM60+(1-EXP(-LN(2)/2))/(LN(2)/2)*CG61*CJ61*VLOOKUP('Données projet'!$B$12,Paramètres!$A$1:$I$89,3,0)*0.475*44/12</f>
        <v>0.75060445463707282</v>
      </c>
      <c r="CN61" s="22">
        <f t="shared" si="12"/>
        <v>15.423720030028106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64.835765374887004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9.8828571428571443</v>
      </c>
      <c r="CT61" s="12">
        <f>IF('Données projet'!$A$140&gt;35,CT60+CS61-DB60,IF(A61&lt;'Données projet'!$A$140,$CQ$205^A61,IF(A61='Données projet'!$A$140,'Données projet'!$B$140,CT60+CS61-DB60)))</f>
        <v>192.96714285714285</v>
      </c>
      <c r="CU61" s="17">
        <f>CT61*VLOOKUP('Données projet'!$B$13,Paramètres!$A$1:$I$89,3,0)*VLOOKUP('Données projet'!$B$13,Paramètres!$A$1:$I$89,5,0)</f>
        <v>183.62753314285715</v>
      </c>
      <c r="CV61" s="13">
        <f t="shared" si="41"/>
        <v>46.128305880116194</v>
      </c>
      <c r="CW61" s="20">
        <f t="shared" si="13"/>
        <v>400.15808629834527</v>
      </c>
      <c r="CX61" s="59">
        <f t="shared" si="14"/>
        <v>674.5558926729309</v>
      </c>
      <c r="CY61" s="59">
        <f ca="1">AVERAGE(OFFSET($CX$3,0,0,'Données projet'!$E$13+1,1))-AVERAGE(OFFSET($H$3,0,0,'Données projet'!$E$13+1,1))</f>
        <v>470.42022791389275</v>
      </c>
      <c r="CZ61" s="59">
        <f t="shared" si="42"/>
        <v>300.26117330627346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4.4584904015385289</v>
      </c>
      <c r="DG61" s="21">
        <f>EXP(-LN(2)/25)*DG60+(1-EXP(-LN(2)/25))/(LN(2)/25)*Calculateur!DB61*Calculateur!DD61*VLOOKUP('Données projet'!$B$13,Paramètres!$A$1:$I$89,3,0)*0.475*44/12</f>
        <v>12.139898651311341</v>
      </c>
      <c r="DH61" s="21">
        <f>EXP(-LN(2)/2)*DH60+(1-EXP(-LN(2)/2))/(LN(2)/2)*DB61*DE61*VLOOKUP('Données projet'!$B$13,Paramètres!$A$1:$I$89,3,0)*0.475*44/12</f>
        <v>1.3648611811051514</v>
      </c>
      <c r="DI61" s="22">
        <f t="shared" si="15"/>
        <v>17.963250233955023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64.835765374887004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3.3603333333333336</v>
      </c>
      <c r="DO61" s="12">
        <f>IF('Données projet'!$A$166&gt;35,DO60+DN61-DW60,IF(A61&lt;'Données projet'!$A$166,$DL$205^A61,IF(A61='Données projet'!$A$166,'Données projet'!$B$166,DO60+DN61-DW60)))</f>
        <v>194.89933333333323</v>
      </c>
      <c r="DP61" s="17">
        <f>DO61*VLOOKUP('Données projet'!$B$14,Paramètres!$A$1:$I$89,3,0)*VLOOKUP('Données projet'!$B$14,Paramètres!$A$1:$I$89,5,0)</f>
        <v>188.50663519999989</v>
      </c>
      <c r="DQ61" s="13">
        <f t="shared" si="43"/>
        <v>47.209639623873699</v>
      </c>
      <c r="DR61" s="20">
        <f t="shared" si="16"/>
        <v>410.53917865157979</v>
      </c>
      <c r="DS61" s="59">
        <f t="shared" si="17"/>
        <v>684.93698502616553</v>
      </c>
      <c r="DT61" s="59">
        <f ca="1">AVERAGE(OFFSET($DS$3,0,0,'Données projet'!$E$14+1,1))-AVERAGE(OFFSET($H$3,0,0,'Données projet'!$E$14+1,1))</f>
        <v>537.37164071064103</v>
      </c>
      <c r="DU61" s="59">
        <f t="shared" si="44"/>
        <v>263.29777321132235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0</v>
      </c>
      <c r="EB61" s="21">
        <f>EXP(-LN(2)/25)*EB60+(1-EXP(-LN(2)/25))/(LN(2)/25)*Calculateur!DW61*Calculateur!DY61*VLOOKUP('Données projet'!$B$14,Paramètres!$A$1:$I$89,3,0)*0.475*44/12</f>
        <v>0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0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64.835765374887004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64.835765374887004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64.835765374887004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64.835765374887004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45">
      <c r="A62" s="10">
        <f t="shared" si="31"/>
        <v>59</v>
      </c>
      <c r="B62" s="73">
        <f>'Scénario référence'!$B$16*5+'Scénario référence'!$B$17*0+'Scénario référence'!$B$18*5</f>
        <v>2.8499999999999996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10.449999999999998</v>
      </c>
      <c r="H62" s="67">
        <f t="shared" si="1"/>
        <v>214.86666666666667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64.925353300133736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13.520000000000003</v>
      </c>
      <c r="N62" s="13">
        <f>IF('Données projet'!$A$36&gt;35,N61+M62-V61,IF(A62&lt;'Données projet'!$A$36,$K$205^A62,IF(A62='Données projet'!$A$36,'Données projet'!$B$36,N61+M62-V61)))</f>
        <v>294.28000000000014</v>
      </c>
      <c r="O62" s="13">
        <f>N62*VLOOKUP('Données projet'!$B$9,Paramètres!$A$1:$I$89,3,0)*VLOOKUP('Données projet'!$B$9,Paramètres!$A$1:$I$89,5,0)</f>
        <v>266.26454400000011</v>
      </c>
      <c r="P62" s="13">
        <f t="shared" si="33"/>
        <v>64.055869609957142</v>
      </c>
      <c r="Q62" s="20">
        <f t="shared" si="53"/>
        <v>575.30805370400878</v>
      </c>
      <c r="R62" s="59">
        <f t="shared" si="0"/>
        <v>850.03434913783246</v>
      </c>
      <c r="S62" s="59">
        <f ca="1">AVERAGE(OFFSET($R$3,0,0,'Données projet'!$E$9+1,1))-AVERAGE(OFFSET($H$3,0,0,'Données projet'!$E$9+1,1))</f>
        <v>719.20816951277925</v>
      </c>
      <c r="T62" s="59">
        <f t="shared" si="34"/>
        <v>237.1127421841087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9.7138909384945578</v>
      </c>
      <c r="AA62" s="21">
        <f>EXP(-LN(2)/25)*AA61+(1-EXP(-LN(2)/25))/(LN(2)/25)*Calculateur!V62*Calculateur!X62*VLOOKUP('Données projet'!$B$9,Paramètres!$A$1:$I$89,3,0)*0.475*44/12</f>
        <v>43.087065290367583</v>
      </c>
      <c r="AB62" s="21">
        <f>EXP(-LN(2)/2)*AB61+(1-EXP(-LN(2)/2))/(LN(2)/2)*V62*Y62*VLOOKUP('Données projet'!$B$9,Paramètres!$A$1:$I$89,3,0)*0.475*44/12</f>
        <v>4.5354773382300175</v>
      </c>
      <c r="AC62" s="22">
        <f t="shared" si="3"/>
        <v>57.336433567092158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64.925353300133736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13.839999999999995</v>
      </c>
      <c r="AI62" s="13">
        <f>IF('Données projet'!$A$62&gt;35,AI61+AH62-AQ61,IF(A62&lt;'Données projet'!$A$62,$AF$205^A62,IF(A62='Données projet'!$A$62,'Données projet'!$B$62,AI61+AH62-AQ61)))</f>
        <v>264.99</v>
      </c>
      <c r="AJ62" s="13">
        <f>AI62*VLOOKUP('Données projet'!$B$10,Paramètres!$A$1:$I$89,3,0)*VLOOKUP('Données projet'!$B$10,Paramètres!$A$1:$I$89,5,0)</f>
        <v>223.22757600000003</v>
      </c>
      <c r="AK62" s="13">
        <f t="shared" si="35"/>
        <v>54.815787695087607</v>
      </c>
      <c r="AL62" s="20">
        <f t="shared" si="4"/>
        <v>484.25885843561099</v>
      </c>
      <c r="AM62" s="59">
        <f t="shared" si="5"/>
        <v>758.98515386943473</v>
      </c>
      <c r="AN62" s="59">
        <f ca="1">AVERAGE(OFFSET($AM$3,0,0,'Données projet'!$E$10+1,1))-AVERAGE(OFFSET($H$3,0,0,'Données projet'!$E$10+1,1))</f>
        <v>442.79037205372367</v>
      </c>
      <c r="AO62" s="59">
        <f t="shared" si="36"/>
        <v>288.23553637727969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19.921898084804059</v>
      </c>
      <c r="AV62" s="21">
        <f>EXP(-LN(2)/25)*AV61+(1-EXP(-LN(2)/25))/(LN(2)/25)*Calculateur!AQ62*Calculateur!AS62*VLOOKUP('Données projet'!$B$10,Paramètres!$A$1:$I$89,3,0)*0.475*44/12</f>
        <v>27.964736890955901</v>
      </c>
      <c r="AW62" s="21">
        <f>EXP(-LN(2)/2)*AW61+(1-EXP(-LN(2)/2))/(LN(2)/2)*AQ62*AT62*VLOOKUP('Données projet'!$B$10,Paramètres!$A$1:$I$89,3,0)*0.475*44/12</f>
        <v>3.3373074550210609</v>
      </c>
      <c r="AX62" s="21">
        <f t="shared" si="6"/>
        <v>51.223942430781022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64.925353300133736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3.3603333333333336</v>
      </c>
      <c r="BD62" s="12">
        <f>IF('Données projet'!$A$88&gt;35,BD61+BC62-BL61,IF(A62&lt;'Données projet'!$A$88,$BA$205^A62,IF(A62='Données projet'!$A$88,'Données projet'!$B$88,BD61+BC62-BL61)))</f>
        <v>198.25966666666656</v>
      </c>
      <c r="BE62" s="13">
        <f>BD62*VLOOKUP('Données projet'!$B$11,Paramètres!$A$1:$I$89,3,0)*VLOOKUP('Données projet'!$B$11,Paramètres!$A$1:$I$89,5,0)</f>
        <v>201.03530199999992</v>
      </c>
      <c r="BF62" s="13">
        <f t="shared" si="37"/>
        <v>49.971627353166163</v>
      </c>
      <c r="BG62" s="20">
        <f t="shared" si="7"/>
        <v>437.17040195676424</v>
      </c>
      <c r="BH62" s="59">
        <f t="shared" si="8"/>
        <v>711.89669739058786</v>
      </c>
      <c r="BI62" s="59">
        <f ca="1">AVERAGE(OFFSET($BH$3,0,0,'Données projet'!$E$11+1,1))-AVERAGE(OFFSET($H$3,0,0,'Données projet'!$E$11+1,1))</f>
        <v>559.91818701710872</v>
      </c>
      <c r="BJ62" s="59">
        <f t="shared" si="38"/>
        <v>273.47272623465915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0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64.925353300133736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6.0096153846153868</v>
      </c>
      <c r="BY62" s="12">
        <f>IF('Données projet'!$A$114&gt;35,BY61+BX62-CG61,IF(A62&lt;'Données projet'!$A$114,$BV$205^A62,IF(A62='Données projet'!$A$114,'Données projet'!$B$114,BY61+BX62-CG61)))</f>
        <v>184.375</v>
      </c>
      <c r="BZ62" s="13">
        <f>BY62*VLOOKUP('Données projet'!$B$12,Paramètres!$A$1:$I$89,3,0)*VLOOKUP('Données projet'!$B$12,Paramètres!$A$1:$I$89,5,0)</f>
        <v>143.8125</v>
      </c>
      <c r="CA62" s="13">
        <f t="shared" si="39"/>
        <v>37.169025291790518</v>
      </c>
      <c r="CB62" s="20">
        <f t="shared" si="10"/>
        <v>315.2094898832018</v>
      </c>
      <c r="CC62" s="59">
        <f t="shared" si="11"/>
        <v>589.93578531702542</v>
      </c>
      <c r="CD62" s="59">
        <f ca="1">AVERAGE(OFFSET($CC$3,0,0,'Données projet'!$E$12+1,1))-AVERAGE(OFFSET($H$3,0,0,'Données projet'!$E$12+1,1))</f>
        <v>208.92677786250815</v>
      </c>
      <c r="CE62" s="59">
        <f t="shared" si="40"/>
        <v>207.54290142772214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6.9934580547914038</v>
      </c>
      <c r="CL62" s="21">
        <f>EXP(-LN(2)/25)*CL61+(1-EXP(-LN(2)/25))/(LN(2)/25)*Calculateur!CG62*Calculateur!CI62*VLOOKUP('Données projet'!$B$12,Paramètres!$A$1:$I$89,3,0)*0.475*44/12</f>
        <v>7.3336015026733259</v>
      </c>
      <c r="CM62" s="21">
        <f>EXP(-LN(2)/2)*CM61+(1-EXP(-LN(2)/2))/(LN(2)/2)*CG62*CJ62*VLOOKUP('Données projet'!$B$12,Paramètres!$A$1:$I$89,3,0)*0.475*44/12</f>
        <v>0.53075749986270448</v>
      </c>
      <c r="CN62" s="22">
        <f t="shared" si="12"/>
        <v>14.857817057327434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64.925353300133736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>
        <f>VLOOKUP(A62,'Données projet'!$A$139:$I$159,2,0)</f>
        <v>202.85</v>
      </c>
      <c r="CR62" s="12">
        <f>VLOOKUP(A62,'Données projet'!$A$139:$I$159,9,0)</f>
        <v>9.8828571428571443</v>
      </c>
      <c r="CS62" s="12">
        <f t="array" ref="CS62">INDEX(CR:CR,MIN(IF(ISNUMBER(CR62:CR258),ROW(CR62:CR258),"")))</f>
        <v>9.8828571428571443</v>
      </c>
      <c r="CT62" s="12">
        <f>IF('Données projet'!$A$140&gt;35,CT61+CS62-DB61,IF(A62&lt;'Données projet'!$A$140,$CQ$205^A62,IF(A62='Données projet'!$A$140,'Données projet'!$B$140,CT61+CS62-DB61)))</f>
        <v>202.85</v>
      </c>
      <c r="CU62" s="17">
        <f>CT62*VLOOKUP('Données projet'!$B$13,Paramètres!$A$1:$I$89,3,0)*VLOOKUP('Données projet'!$B$13,Paramètres!$A$1:$I$89,5,0)</f>
        <v>193.03206</v>
      </c>
      <c r="CV62" s="13">
        <f t="shared" si="41"/>
        <v>48.20967933854056</v>
      </c>
      <c r="CW62" s="20">
        <f t="shared" si="13"/>
        <v>420.16269601462477</v>
      </c>
      <c r="CX62" s="59">
        <f t="shared" si="14"/>
        <v>694.88899144844845</v>
      </c>
      <c r="CY62" s="59">
        <f ca="1">AVERAGE(OFFSET($CX$3,0,0,'Données projet'!$E$13+1,1))-AVERAGE(OFFSET($H$3,0,0,'Données projet'!$E$13+1,1))</f>
        <v>470.42022791389275</v>
      </c>
      <c r="CZ62" s="59">
        <f t="shared" si="42"/>
        <v>300.26117330627346</v>
      </c>
      <c r="DA62" s="15">
        <f>IF(ISNA(VLOOKUP(A62,'Données projet'!$A$139:$I$159,3,0)),0,VLOOKUP(A62,'Données projet'!$A$139:$I$159,3,0))</f>
        <v>4</v>
      </c>
      <c r="DB62" s="15">
        <f>IF(ISNA(VLOOKUP(A62,'Données projet'!$A$139:$I$159,4,0)),0,VLOOKUP(A62,'Données projet'!$A$139:$I$159,4,0))</f>
        <v>41.81</v>
      </c>
      <c r="DC62" s="16">
        <f>IF(ISNA(VLOOKUP(A62,'Données projet'!$A$139:$I$159,5,0)),0%,VLOOKUP(A62,'Données projet'!$A$139:$I$159,5,0)*VLOOKUP('Données projet'!$B$13,Paramètres!$A$1:$I$89,7,0))</f>
        <v>0.1075</v>
      </c>
      <c r="DD62" s="16">
        <f>IF(ISNA(VLOOKUP(A62,'Données projet'!$A$139:$I$159,6,0)),0%,VLOOKUP(A62,'Données projet'!$A$139:$I$159,6,0)*VLOOKUP('Données projet'!$B$13,Paramètres!$A$1:$I$89,7,0))</f>
        <v>0.1075</v>
      </c>
      <c r="DE62" s="16">
        <f>IF(ISNA(VLOOKUP(A62,'Données projet'!$A$139:$I$159,7,0)),0%,VLOOKUP(A62,'Données projet'!$A$139:$I$159,7,0))</f>
        <v>0.25</v>
      </c>
      <c r="DF62" s="21">
        <f>EXP(-LN(2)/35)*DF61+(1-EXP(-LN(2)/35))/(LN(2)/35)*DB62*DC62*VLOOKUP('Données projet'!$B$13,Paramètres!$A$1:$I$89,3,0)*0.475*44/12</f>
        <v>9.0992004699595697</v>
      </c>
      <c r="DG62" s="21">
        <f>EXP(-LN(2)/25)*DG61+(1-EXP(-LN(2)/25))/(LN(2)/25)*Calculateur!DB62*Calculateur!DD62*VLOOKUP('Données projet'!$B$13,Paramètres!$A$1:$I$89,3,0)*0.475*44/12</f>
        <v>16.517454347836992</v>
      </c>
      <c r="DH62" s="21">
        <f>EXP(-LN(2)/2)*DH61+(1-EXP(-LN(2)/2))/(LN(2)/2)*DB62*DE62*VLOOKUP('Données projet'!$B$13,Paramètres!$A$1:$I$89,3,0)*0.475*44/12</f>
        <v>10.349986461824772</v>
      </c>
      <c r="DI62" s="22">
        <f t="shared" si="15"/>
        <v>35.966641279621335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64.925353300133736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3.3603333333333336</v>
      </c>
      <c r="DO62" s="12">
        <f>IF('Données projet'!$A$166&gt;35,DO61+DN62-DW61,IF(A62&lt;'Données projet'!$A$166,$DL$205^A62,IF(A62='Données projet'!$A$166,'Données projet'!$B$166,DO61+DN62-DW61)))</f>
        <v>198.25966666666656</v>
      </c>
      <c r="DP62" s="17">
        <f>DO62*VLOOKUP('Données projet'!$B$14,Paramètres!$A$1:$I$89,3,0)*VLOOKUP('Données projet'!$B$14,Paramètres!$A$1:$I$89,5,0)</f>
        <v>191.75674959999992</v>
      </c>
      <c r="DQ62" s="13">
        <f t="shared" si="43"/>
        <v>47.928136958939533</v>
      </c>
      <c r="DR62" s="20">
        <f t="shared" si="16"/>
        <v>417.45117742348617</v>
      </c>
      <c r="DS62" s="59">
        <f t="shared" si="17"/>
        <v>692.17747285730979</v>
      </c>
      <c r="DT62" s="59">
        <f ca="1">AVERAGE(OFFSET($DS$3,0,0,'Données projet'!$E$14+1,1))-AVERAGE(OFFSET($H$3,0,0,'Données projet'!$E$14+1,1))</f>
        <v>537.37164071064103</v>
      </c>
      <c r="DU62" s="59">
        <f t="shared" si="44"/>
        <v>263.29777321132235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0</v>
      </c>
      <c r="EB62" s="21">
        <f>EXP(-LN(2)/25)*EB61+(1-EXP(-LN(2)/25))/(LN(2)/25)*Calculateur!DW62*Calculateur!DY62*VLOOKUP('Données projet'!$B$14,Paramètres!$A$1:$I$89,3,0)*0.475*44/12</f>
        <v>0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0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64.925353300133736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64.925353300133736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64.925353300133736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64.925353300133736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45">
      <c r="A63" s="10">
        <f t="shared" si="31"/>
        <v>60</v>
      </c>
      <c r="B63" s="73">
        <f>'Scénario référence'!$B$16*5+'Scénario référence'!$B$17*0+'Scénario référence'!$B$18*5</f>
        <v>2.8499999999999996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10.449999999999998</v>
      </c>
      <c r="H63" s="67">
        <f t="shared" si="1"/>
        <v>214.86666666666667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65.013387075166037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13.520000000000003</v>
      </c>
      <c r="N63" s="13">
        <f>IF('Données projet'!$A$36&gt;35,N62+M63-V62,IF(A63&lt;'Données projet'!$A$36,$K$205^A63,IF(A63='Données projet'!$A$36,'Données projet'!$B$36,N62+M63-V62)))</f>
        <v>307.80000000000013</v>
      </c>
      <c r="O63" s="13">
        <f>N63*VLOOKUP('Données projet'!$B$9,Paramètres!$A$1:$I$89,3,0)*VLOOKUP('Données projet'!$B$9,Paramètres!$A$1:$I$89,5,0)</f>
        <v>278.4974400000001</v>
      </c>
      <c r="P63" s="13">
        <f t="shared" si="33"/>
        <v>66.649375389445709</v>
      </c>
      <c r="Q63" s="20">
        <f t="shared" si="53"/>
        <v>601.13070346995141</v>
      </c>
      <c r="R63" s="59">
        <f t="shared" si="0"/>
        <v>876.17978941222691</v>
      </c>
      <c r="S63" s="59">
        <f ca="1">AVERAGE(OFFSET($R$3,0,0,'Données projet'!$E$9+1,1))-AVERAGE(OFFSET($H$3,0,0,'Données projet'!$E$9+1,1))</f>
        <v>719.20816951277925</v>
      </c>
      <c r="T63" s="59">
        <f t="shared" si="34"/>
        <v>237.1127421841087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9.5234074620791187</v>
      </c>
      <c r="AA63" s="21">
        <f>EXP(-LN(2)/25)*AA62+(1-EXP(-LN(2)/25))/(LN(2)/25)*Calculateur!V63*Calculateur!X63*VLOOKUP('Données projet'!$B$9,Paramètres!$A$1:$I$89,3,0)*0.475*44/12</f>
        <v>41.908847224152197</v>
      </c>
      <c r="AB63" s="21">
        <f>EXP(-LN(2)/2)*AB62+(1-EXP(-LN(2)/2))/(LN(2)/2)*V63*Y63*VLOOKUP('Données projet'!$B$9,Paramètres!$A$1:$I$89,3,0)*0.475*44/12</f>
        <v>3.2070667817803584</v>
      </c>
      <c r="AC63" s="22">
        <f t="shared" si="3"/>
        <v>54.639321468011673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65.013387075166037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13.839999999999995</v>
      </c>
      <c r="AI63" s="13">
        <f>IF('Données projet'!$A$62&gt;35,AI62+AH63-AQ62,IF(A63&lt;'Données projet'!$A$62,$AF$205^A63,IF(A63='Données projet'!$A$62,'Données projet'!$B$62,AI62+AH63-AQ62)))</f>
        <v>278.83</v>
      </c>
      <c r="AJ63" s="13">
        <f>AI63*VLOOKUP('Données projet'!$B$10,Paramètres!$A$1:$I$89,3,0)*VLOOKUP('Données projet'!$B$10,Paramètres!$A$1:$I$89,5,0)</f>
        <v>234.886392</v>
      </c>
      <c r="AK63" s="13">
        <f t="shared" si="35"/>
        <v>57.337937544532004</v>
      </c>
      <c r="AL63" s="20">
        <f t="shared" si="4"/>
        <v>508.95737395672654</v>
      </c>
      <c r="AM63" s="59">
        <f t="shared" si="5"/>
        <v>784.00645989900204</v>
      </c>
      <c r="AN63" s="59">
        <f ca="1">AVERAGE(OFFSET($AM$3,0,0,'Données projet'!$E$10+1,1))-AVERAGE(OFFSET($H$3,0,0,'Données projet'!$E$10+1,1))</f>
        <v>442.79037205372367</v>
      </c>
      <c r="AO63" s="59">
        <f t="shared" si="36"/>
        <v>288.23553637727969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19.531241814519056</v>
      </c>
      <c r="AV63" s="21">
        <f>EXP(-LN(2)/25)*AV62+(1-EXP(-LN(2)/25))/(LN(2)/25)*Calculateur!AQ63*Calculateur!AS63*VLOOKUP('Données projet'!$B$10,Paramètres!$A$1:$I$89,3,0)*0.475*44/12</f>
        <v>27.200039690071112</v>
      </c>
      <c r="AW63" s="21">
        <f>EXP(-LN(2)/2)*AW62+(1-EXP(-LN(2)/2))/(LN(2)/2)*AQ63*AT63*VLOOKUP('Données projet'!$B$10,Paramètres!$A$1:$I$89,3,0)*0.475*44/12</f>
        <v>2.3598327323498114</v>
      </c>
      <c r="AX63" s="21">
        <f t="shared" si="6"/>
        <v>49.09111423693998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65.013387075166037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201.62</v>
      </c>
      <c r="BB63" s="12">
        <f>VLOOKUP(A63,'Données projet'!$A$87:$I$107,9,0)</f>
        <v>3.3603333333333336</v>
      </c>
      <c r="BC63" s="12">
        <f t="array" ref="BC63">INDEX(BB:BB,MIN(IF(ISNUMBER(BB63:BB259),ROW(BB63:BB259),"")))</f>
        <v>3.3603333333333336</v>
      </c>
      <c r="BD63" s="12">
        <f>IF('Données projet'!$A$88&gt;35,BD62+BC63-BL62,IF(A63&lt;'Données projet'!$A$88,$BA$205^A63,IF(A63='Données projet'!$A$88,'Données projet'!$B$88,BD62+BC63-BL62)))</f>
        <v>201.61999999999989</v>
      </c>
      <c r="BE63" s="13">
        <f>BD63*VLOOKUP('Données projet'!$B$11,Paramètres!$A$1:$I$89,3,0)*VLOOKUP('Données projet'!$B$11,Paramètres!$A$1:$I$89,5,0)</f>
        <v>204.44267999999991</v>
      </c>
      <c r="BF63" s="13">
        <f t="shared" si="37"/>
        <v>50.719282370054088</v>
      </c>
      <c r="BG63" s="20">
        <f t="shared" si="7"/>
        <v>444.40708446117736</v>
      </c>
      <c r="BH63" s="59">
        <f t="shared" si="8"/>
        <v>719.4561704034528</v>
      </c>
      <c r="BI63" s="59">
        <f ca="1">AVERAGE(OFFSET($BH$3,0,0,'Données projet'!$E$11+1,1))-AVERAGE(OFFSET($H$3,0,0,'Données projet'!$E$11+1,1))</f>
        <v>559.91818701710872</v>
      </c>
      <c r="BJ63" s="59">
        <f t="shared" si="38"/>
        <v>273.47272623465915</v>
      </c>
      <c r="BK63" s="15">
        <f>IF(ISNA(VLOOKUP(A63,'Données projet'!$A$87:$I$107,3,0)),0,VLOOKUP(A63,'Données projet'!$A$87:$I$107,3,0))</f>
        <v>1</v>
      </c>
      <c r="BL63" s="15">
        <f>IF(ISNA(VLOOKUP(A63,'Données projet'!$A$87:$I$107,4,0)),0,VLOOKUP(A63,'Données projet'!$A$87:$I$107,4,0))</f>
        <v>72.87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0.34400000000000003</v>
      </c>
      <c r="BO63" s="16">
        <f>IF(ISNA(VLOOKUP(A63,'Données projet'!$A$87:$I$107,7,0)),0%,VLOOKUP(A63,'Données projet'!$A$87:$I$107,7,0))</f>
        <v>0.2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27.988454603390398</v>
      </c>
      <c r="BR63" s="21">
        <f>EXP(-LN(2)/2)*BR62+(1-EXP(-LN(2)/2))/(LN(2)/2)*BL63*BO63*VLOOKUP('Données projet'!$B$11,Paramètres!$A$1:$I$89,3,0)*0.475*44/12</f>
        <v>13.943474711007354</v>
      </c>
      <c r="BS63" s="22">
        <f t="shared" si="9"/>
        <v>41.931929314397749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65.013387075166037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190.38461538461539</v>
      </c>
      <c r="BW63" s="12">
        <f>VLOOKUP(A63,'Données projet'!$A$113:$I$133,9,0)</f>
        <v>6.0096153846153868</v>
      </c>
      <c r="BX63" s="12">
        <f t="array" ref="BX63">INDEX(BW:BW,MIN(IF(ISNUMBER(BW63:BW259),ROW(BW63:BW259),"")))</f>
        <v>6.0096153846153868</v>
      </c>
      <c r="BY63" s="12">
        <f>IF('Données projet'!$A$114&gt;35,BY62+BX63-CG62,IF(A63&lt;'Données projet'!$A$114,$BV$205^A63,IF(A63='Données projet'!$A$114,'Données projet'!$B$114,BY62+BX63-CG62)))</f>
        <v>190.38461538461539</v>
      </c>
      <c r="BZ63" s="13">
        <f>BY63*VLOOKUP('Données projet'!$B$12,Paramètres!$A$1:$I$89,3,0)*VLOOKUP('Données projet'!$B$12,Paramètres!$A$1:$I$89,5,0)</f>
        <v>148.5</v>
      </c>
      <c r="CA63" s="13">
        <f t="shared" si="39"/>
        <v>38.237506103710217</v>
      </c>
      <c r="CB63" s="20">
        <f t="shared" si="10"/>
        <v>325.23448979729528</v>
      </c>
      <c r="CC63" s="59">
        <f t="shared" si="11"/>
        <v>600.28357573957078</v>
      </c>
      <c r="CD63" s="59">
        <f ca="1">AVERAGE(OFFSET($CC$3,0,0,'Données projet'!$E$12+1,1))-AVERAGE(OFFSET($H$3,0,0,'Données projet'!$E$12+1,1))</f>
        <v>208.92677786250815</v>
      </c>
      <c r="CE63" s="59">
        <f t="shared" si="40"/>
        <v>207.54290142772214</v>
      </c>
      <c r="CF63" s="15">
        <f>IF(ISNA(VLOOKUP(A63,'Données projet'!$A$113:$I$133,3,0)),0,VLOOKUP(A63,'Données projet'!$A$113:$I$133,3,0))</f>
        <v>8</v>
      </c>
      <c r="CG63" s="15">
        <f>IF(ISNA(VLOOKUP(A63,'Données projet'!$A$113:$I$133,4,0)),0,VLOOKUP(A63,'Données projet'!$A$113:$I$133,4,0))</f>
        <v>30.128205128205128</v>
      </c>
      <c r="CH63" s="16">
        <f>IF(ISNA(VLOOKUP(A63,'Données projet'!$A$113:$I$133,5,0)),0%,VLOOKUP(A63,'Données projet'!$A$113:$I$133,5,0)*VLOOKUP('Données projet'!$B$12,Paramètres!$A$1:$I$89,7,0))</f>
        <v>0.1075</v>
      </c>
      <c r="CI63" s="16">
        <f>IF(ISNA(VLOOKUP(A63,'Données projet'!$A$113:$I$133,6,0)),0%,VLOOKUP(A63,'Données projet'!$A$113:$I$133,6,0)*VLOOKUP('Données projet'!$B$12,Paramètres!$A$1:$I$89,7,0))</f>
        <v>0.1075</v>
      </c>
      <c r="CJ63" s="16">
        <f>IF(ISNA(VLOOKUP(A63,'Données projet'!$A$113:$I$133,7,0)),0%,VLOOKUP(A63,'Données projet'!$A$113:$I$133,7,0))</f>
        <v>0.25</v>
      </c>
      <c r="CK63" s="21">
        <f>EXP(-LN(2)/35)*CK62+(1-EXP(-LN(2)/35))/(LN(2)/35)*CG63*CH63*VLOOKUP('Données projet'!$B$12,Paramètres!$A$1:$I$89,3,0)*0.475*44/12</f>
        <v>9.6490151542202796</v>
      </c>
      <c r="CL63" s="21">
        <f>EXP(-LN(2)/25)*CL62+(1-EXP(-LN(2)/25))/(LN(2)/25)*Calculateur!CG63*Calculateur!CI63*VLOOKUP('Données projet'!$B$12,Paramètres!$A$1:$I$89,3,0)*0.475*44/12</f>
        <v>9.9147624276916879</v>
      </c>
      <c r="CM63" s="21">
        <f>EXP(-LN(2)/2)*CM62+(1-EXP(-LN(2)/2))/(LN(2)/2)*CG63*CJ63*VLOOKUP('Données projet'!$B$12,Paramètres!$A$1:$I$89,3,0)*0.475*44/12</f>
        <v>5.918522850625191</v>
      </c>
      <c r="CN63" s="22">
        <f t="shared" si="12"/>
        <v>25.482300432537158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65.013387075166037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9.7525000000000013</v>
      </c>
      <c r="CT63" s="12">
        <f>IF('Données projet'!$A$140&gt;35,CT62+CS63-DB62,IF(A63&lt;'Données projet'!$A$140,$CQ$205^A63,IF(A63='Données projet'!$A$140,'Données projet'!$B$140,CT62+CS63-DB62)))</f>
        <v>170.79249999999999</v>
      </c>
      <c r="CU63" s="17">
        <f>CT63*VLOOKUP('Données projet'!$B$13,Paramètres!$A$1:$I$89,3,0)*VLOOKUP('Données projet'!$B$13,Paramètres!$A$1:$I$89,5,0)</f>
        <v>162.52614299999999</v>
      </c>
      <c r="CV63" s="13">
        <f t="shared" si="41"/>
        <v>41.411773501591178</v>
      </c>
      <c r="CW63" s="20">
        <f t="shared" si="13"/>
        <v>355.19187124027127</v>
      </c>
      <c r="CX63" s="59">
        <f t="shared" si="14"/>
        <v>630.24095718254671</v>
      </c>
      <c r="CY63" s="59">
        <f ca="1">AVERAGE(OFFSET($CX$3,0,0,'Données projet'!$E$13+1,1))-AVERAGE(OFFSET($H$3,0,0,'Données projet'!$E$13+1,1))</f>
        <v>470.42022791389275</v>
      </c>
      <c r="CZ63" s="59">
        <f t="shared" si="42"/>
        <v>300.26117330627346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8.9207706987079352</v>
      </c>
      <c r="DG63" s="21">
        <f>EXP(-LN(2)/25)*DG62+(1-EXP(-LN(2)/25))/(LN(2)/25)*Calculateur!DB63*Calculateur!DD63*VLOOKUP('Données projet'!$B$13,Paramètres!$A$1:$I$89,3,0)*0.475*44/12</f>
        <v>16.065783690080217</v>
      </c>
      <c r="DH63" s="21">
        <f>EXP(-LN(2)/2)*DH62+(1-EXP(-LN(2)/2))/(LN(2)/2)*DB63*DE63*VLOOKUP('Données projet'!$B$13,Paramètres!$A$1:$I$89,3,0)*0.475*44/12</f>
        <v>7.3185456123452584</v>
      </c>
      <c r="DI63" s="22">
        <f t="shared" si="15"/>
        <v>32.305100001133411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65.013387075166037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201.62</v>
      </c>
      <c r="DM63" s="12">
        <f>VLOOKUP(A63,'Données projet'!$A$165:$I$185,9,0)</f>
        <v>3.3603333333333336</v>
      </c>
      <c r="DN63" s="12">
        <f t="array" ref="DN63">INDEX(DM:DM,MIN(IF(ISNUMBER(DM63:DM259),ROW(DM63:DM259),"")))</f>
        <v>3.3603333333333336</v>
      </c>
      <c r="DO63" s="12">
        <f>IF('Données projet'!$A$166&gt;35,DO62+DN63-DW62,IF(A63&lt;'Données projet'!$A$166,$DL$205^A63,IF(A63='Données projet'!$A$166,'Données projet'!$B$166,DO62+DN63-DW62)))</f>
        <v>201.61999999999989</v>
      </c>
      <c r="DP63" s="17">
        <f>DO63*VLOOKUP('Données projet'!$B$14,Paramètres!$A$1:$I$89,3,0)*VLOOKUP('Données projet'!$B$14,Paramètres!$A$1:$I$89,5,0)</f>
        <v>195.00686399999989</v>
      </c>
      <c r="DQ63" s="13">
        <f t="shared" si="43"/>
        <v>48.645218109693126</v>
      </c>
      <c r="DR63" s="20">
        <f t="shared" si="16"/>
        <v>424.36070967438195</v>
      </c>
      <c r="DS63" s="59">
        <f t="shared" si="17"/>
        <v>699.40979561665745</v>
      </c>
      <c r="DT63" s="59">
        <f ca="1">AVERAGE(OFFSET($DS$3,0,0,'Données projet'!$E$14+1,1))-AVERAGE(OFFSET($H$3,0,0,'Données projet'!$E$14+1,1))</f>
        <v>537.37164071064103</v>
      </c>
      <c r="DU63" s="59">
        <f t="shared" si="44"/>
        <v>263.29777321132235</v>
      </c>
      <c r="DV63" s="15">
        <f>IF(ISNA(VLOOKUP(A63,'Données projet'!$A$165:$I$185,3,0)),0,VLOOKUP(A63,'Données projet'!$A$165:$I$185,3,0))</f>
        <v>1</v>
      </c>
      <c r="DW63" s="15">
        <f>IF(ISNA(VLOOKUP(A63,'Données projet'!$A$165:$I$185,4,0)),0,VLOOKUP(A63,'Données projet'!$A$165:$I$185,4,0))</f>
        <v>72.87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0.1075</v>
      </c>
      <c r="DZ63" s="16">
        <f>IF(ISNA(VLOOKUP(A63,'Données projet'!$A$165:$I$185,7,0)),0%,VLOOKUP(A63,'Données projet'!$A$165:$I$185,7,0))</f>
        <v>0.25</v>
      </c>
      <c r="EA63" s="21">
        <f>EXP(-LN(2)/35)*EA62+(1-EXP(-LN(2)/35))/(LN(2)/35)*DW63*DX63*VLOOKUP('Données projet'!$B$14,Paramètres!$A$1:$I$89,3,0)*0.475*44/12</f>
        <v>0</v>
      </c>
      <c r="EB63" s="21">
        <f>EXP(-LN(2)/25)*EB62+(1-EXP(-LN(2)/25))/(LN(2)/25)*Calculateur!DW63*Calculateur!DY63*VLOOKUP('Données projet'!$B$14,Paramètres!$A$1:$I$89,3,0)*0.475*44/12</f>
        <v>8.3427124298567517</v>
      </c>
      <c r="EC63" s="21">
        <f>EXP(-LN(2)/2)*EC62+(1-EXP(-LN(2)/2))/(LN(2)/2)*DW63*DZ63*VLOOKUP('Données projet'!$B$14,Paramètres!$A$1:$I$89,3,0)*0.475*44/12</f>
        <v>16.624912155431847</v>
      </c>
      <c r="ED63" s="22">
        <f t="shared" si="18"/>
        <v>24.967624585288597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65.013387075166037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65.013387075166037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65.013387075166037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65.013387075166037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45">
      <c r="A64" s="10">
        <f t="shared" si="31"/>
        <v>61</v>
      </c>
      <c r="B64" s="73">
        <f>'Scénario référence'!$B$16*5+'Scénario référence'!$B$17*0+'Scénario référence'!$B$18*5</f>
        <v>2.8499999999999996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10.449999999999998</v>
      </c>
      <c r="H64" s="67">
        <f t="shared" si="1"/>
        <v>214.86666666666667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65.099893661015557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13.520000000000003</v>
      </c>
      <c r="N64" s="13">
        <f>IF('Données projet'!$A$36&gt;35,N63+M64-V63,IF(A64&lt;'Données projet'!$A$36,$K$205^A64,IF(A64='Données projet'!$A$36,'Données projet'!$B$36,N63+M64-V63)))</f>
        <v>321.32000000000011</v>
      </c>
      <c r="O64" s="13">
        <f>N64*VLOOKUP('Données projet'!$B$9,Paramètres!$A$1:$I$89,3,0)*VLOOKUP('Données projet'!$B$9,Paramètres!$A$1:$I$89,5,0)</f>
        <v>290.73033600000008</v>
      </c>
      <c r="P64" s="13">
        <f t="shared" si="33"/>
        <v>69.229650371802393</v>
      </c>
      <c r="Q64" s="20">
        <f t="shared" si="53"/>
        <v>626.93030959755595</v>
      </c>
      <c r="R64" s="59">
        <f t="shared" si="0"/>
        <v>902.29658635461305</v>
      </c>
      <c r="S64" s="59">
        <f ca="1">AVERAGE(OFFSET($R$3,0,0,'Données projet'!$E$9+1,1))-AVERAGE(OFFSET($H$3,0,0,'Données projet'!$E$9+1,1))</f>
        <v>719.20816951277925</v>
      </c>
      <c r="T64" s="59">
        <f t="shared" si="34"/>
        <v>237.1127421841087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9.3366592504527368</v>
      </c>
      <c r="AA64" s="21">
        <f>EXP(-LN(2)/25)*AA63+(1-EXP(-LN(2)/25))/(LN(2)/25)*Calculateur!V64*Calculateur!X64*VLOOKUP('Données projet'!$B$9,Paramètres!$A$1:$I$89,3,0)*0.475*44/12</f>
        <v>40.762847592917261</v>
      </c>
      <c r="AB64" s="21">
        <f>EXP(-LN(2)/2)*AB63+(1-EXP(-LN(2)/2))/(LN(2)/2)*V64*Y64*VLOOKUP('Données projet'!$B$9,Paramètres!$A$1:$I$89,3,0)*0.475*44/12</f>
        <v>2.2677386691150092</v>
      </c>
      <c r="AC64" s="22">
        <f t="shared" si="3"/>
        <v>52.367245512485006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65.099893661015557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13.839999999999995</v>
      </c>
      <c r="AI64" s="13">
        <f>IF('Données projet'!$A$62&gt;35,AI63+AH64-AQ63,IF(A64&lt;'Données projet'!$A$62,$AF$205^A64,IF(A64='Données projet'!$A$62,'Données projet'!$B$62,AI63+AH64-AQ63)))</f>
        <v>292.66999999999996</v>
      </c>
      <c r="AJ64" s="13">
        <f>AI64*VLOOKUP('Données projet'!$B$10,Paramètres!$A$1:$I$89,3,0)*VLOOKUP('Données projet'!$B$10,Paramètres!$A$1:$I$89,5,0)</f>
        <v>246.545208</v>
      </c>
      <c r="AK64" s="13">
        <f t="shared" si="35"/>
        <v>59.845551063630701</v>
      </c>
      <c r="AL64" s="20">
        <f t="shared" si="4"/>
        <v>533.63057203582343</v>
      </c>
      <c r="AM64" s="59">
        <f t="shared" si="5"/>
        <v>808.99684879288043</v>
      </c>
      <c r="AN64" s="59">
        <f ca="1">AVERAGE(OFFSET($AM$3,0,0,'Données projet'!$E$10+1,1))-AVERAGE(OFFSET($H$3,0,0,'Données projet'!$E$10+1,1))</f>
        <v>442.79037205372367</v>
      </c>
      <c r="AO64" s="59">
        <f t="shared" si="36"/>
        <v>288.23553637727969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19.148246075417546</v>
      </c>
      <c r="AV64" s="21">
        <f>EXP(-LN(2)/25)*AV63+(1-EXP(-LN(2)/25))/(LN(2)/25)*Calculateur!AQ64*Calculateur!AS64*VLOOKUP('Données projet'!$B$10,Paramètres!$A$1:$I$89,3,0)*0.475*44/12</f>
        <v>26.456253174358196</v>
      </c>
      <c r="AW64" s="21">
        <f>EXP(-LN(2)/2)*AW63+(1-EXP(-LN(2)/2))/(LN(2)/2)*AQ64*AT64*VLOOKUP('Données projet'!$B$10,Paramètres!$A$1:$I$89,3,0)*0.475*44/12</f>
        <v>1.6686537275105309</v>
      </c>
      <c r="AX64" s="21">
        <f t="shared" si="6"/>
        <v>47.273152977286273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65.099893661015557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6.8933333333333326</v>
      </c>
      <c r="BD64" s="12">
        <f>IF('Données projet'!$A$88&gt;35,BD63+BC64-BL63,IF(A64&lt;'Données projet'!$A$88,$BA$205^A64,IF(A64='Données projet'!$A$88,'Données projet'!$B$88,BD63+BC64-BL63)))</f>
        <v>135.64333333333323</v>
      </c>
      <c r="BE64" s="13">
        <f>BD64*VLOOKUP('Données projet'!$B$11,Paramètres!$A$1:$I$89,3,0)*VLOOKUP('Données projet'!$B$11,Paramètres!$A$1:$I$89,5,0)</f>
        <v>137.54233999999991</v>
      </c>
      <c r="BF64" s="13">
        <f t="shared" si="37"/>
        <v>35.733411083522441</v>
      </c>
      <c r="BG64" s="20">
        <f t="shared" si="7"/>
        <v>301.78859980380139</v>
      </c>
      <c r="BH64" s="59">
        <f t="shared" si="8"/>
        <v>577.15487656085838</v>
      </c>
      <c r="BI64" s="59">
        <f ca="1">AVERAGE(OFFSET($BH$3,0,0,'Données projet'!$E$11+1,1))-AVERAGE(OFFSET($H$3,0,0,'Données projet'!$E$11+1,1))</f>
        <v>559.91818701710872</v>
      </c>
      <c r="BJ64" s="59">
        <f t="shared" si="38"/>
        <v>273.47272623465915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27.223108840411829</v>
      </c>
      <c r="BR64" s="21">
        <f>EXP(-LN(2)/2)*BR63+(1-EXP(-LN(2)/2))/(LN(2)/2)*BL64*BO64*VLOOKUP('Données projet'!$B$11,Paramètres!$A$1:$I$89,3,0)*0.475*44/12</f>
        <v>9.8595255214564368</v>
      </c>
      <c r="BS64" s="22">
        <f t="shared" si="9"/>
        <v>37.082634361868266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65.099893661015557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5.5555555555555554</v>
      </c>
      <c r="BY64" s="12">
        <f>IF('Données projet'!$A$114&gt;35,BY63+BX64-CG63,IF(A64&lt;'Données projet'!$A$114,$BV$205^A64,IF(A64='Données projet'!$A$114,'Données projet'!$B$114,BY63+BX64-CG63)))</f>
        <v>165.81196581196579</v>
      </c>
      <c r="BZ64" s="13">
        <f>BY64*VLOOKUP('Données projet'!$B$12,Paramètres!$A$1:$I$89,3,0)*VLOOKUP('Données projet'!$B$12,Paramètres!$A$1:$I$89,5,0)</f>
        <v>129.33333333333331</v>
      </c>
      <c r="CA64" s="13">
        <f t="shared" si="39"/>
        <v>33.84226617438533</v>
      </c>
      <c r="CB64" s="20">
        <f t="shared" si="10"/>
        <v>284.19750247594328</v>
      </c>
      <c r="CC64" s="59">
        <f t="shared" si="11"/>
        <v>559.56377923300033</v>
      </c>
      <c r="CD64" s="59">
        <f ca="1">AVERAGE(OFFSET($CC$3,0,0,'Données projet'!$E$12+1,1))-AVERAGE(OFFSET($H$3,0,0,'Données projet'!$E$12+1,1))</f>
        <v>208.92677786250815</v>
      </c>
      <c r="CE64" s="59">
        <f t="shared" si="40"/>
        <v>207.54290142772214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9.4598038523641375</v>
      </c>
      <c r="CL64" s="21">
        <f>EXP(-LN(2)/25)*CL63+(1-EXP(-LN(2)/25))/(LN(2)/25)*Calculateur!CG64*Calculateur!CI64*VLOOKUP('Données projet'!$B$12,Paramètres!$A$1:$I$89,3,0)*0.475*44/12</f>
        <v>9.6436427277117627</v>
      </c>
      <c r="CM64" s="21">
        <f>EXP(-LN(2)/2)*CM63+(1-EXP(-LN(2)/2))/(LN(2)/2)*CG64*CJ64*VLOOKUP('Données projet'!$B$12,Paramètres!$A$1:$I$89,3,0)*0.475*44/12</f>
        <v>4.1850276422846084</v>
      </c>
      <c r="CN64" s="22">
        <f t="shared" si="12"/>
        <v>23.288474222360509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65.099893661015557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9.7525000000000013</v>
      </c>
      <c r="CT64" s="12">
        <f>IF('Données projet'!$A$140&gt;35,CT63+CS64-DB63,IF(A64&lt;'Données projet'!$A$140,$CQ$205^A64,IF(A64='Données projet'!$A$140,'Données projet'!$B$140,CT63+CS64-DB63)))</f>
        <v>180.54499999999999</v>
      </c>
      <c r="CU64" s="17">
        <f>CT64*VLOOKUP('Données projet'!$B$13,Paramètres!$A$1:$I$89,3,0)*VLOOKUP('Données projet'!$B$13,Paramètres!$A$1:$I$89,5,0)</f>
        <v>171.806622</v>
      </c>
      <c r="CV64" s="13">
        <f t="shared" si="41"/>
        <v>43.494397538625861</v>
      </c>
      <c r="CW64" s="20">
        <f t="shared" si="13"/>
        <v>374.98260902977336</v>
      </c>
      <c r="CX64" s="59">
        <f t="shared" si="14"/>
        <v>650.34888578683035</v>
      </c>
      <c r="CY64" s="59">
        <f ca="1">AVERAGE(OFFSET($CX$3,0,0,'Données projet'!$E$13+1,1))-AVERAGE(OFFSET($H$3,0,0,'Données projet'!$E$13+1,1))</f>
        <v>470.42022791389275</v>
      </c>
      <c r="CZ64" s="59">
        <f t="shared" si="42"/>
        <v>300.26117330627346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8.7458398264391324</v>
      </c>
      <c r="DG64" s="21">
        <f>EXP(-LN(2)/25)*DG63+(1-EXP(-LN(2)/25))/(LN(2)/25)*Calculateur!DB64*Calculateur!DD64*VLOOKUP('Données projet'!$B$13,Paramètres!$A$1:$I$89,3,0)*0.475*44/12</f>
        <v>15.626463990212129</v>
      </c>
      <c r="DH64" s="21">
        <f>EXP(-LN(2)/2)*DH63+(1-EXP(-LN(2)/2))/(LN(2)/2)*DB64*DE64*VLOOKUP('Données projet'!$B$13,Paramètres!$A$1:$I$89,3,0)*0.475*44/12</f>
        <v>5.1749932309123867</v>
      </c>
      <c r="DI64" s="22">
        <f t="shared" si="15"/>
        <v>29.547297047563646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65.099893661015557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6.8933333333333326</v>
      </c>
      <c r="DO64" s="12">
        <f>IF('Données projet'!$A$166&gt;35,DO63+DN64-DW63,IF(A64&lt;'Données projet'!$A$166,$DL$205^A64,IF(A64='Données projet'!$A$166,'Données projet'!$B$166,DO63+DN64-DW63)))</f>
        <v>135.64333333333323</v>
      </c>
      <c r="DP64" s="17">
        <f>DO64*VLOOKUP('Données projet'!$B$14,Paramètres!$A$1:$I$89,3,0)*VLOOKUP('Données projet'!$B$14,Paramètres!$A$1:$I$89,5,0)</f>
        <v>131.19423199999991</v>
      </c>
      <c r="DQ64" s="13">
        <f t="shared" si="43"/>
        <v>34.272164248672141</v>
      </c>
      <c r="DR64" s="20">
        <f t="shared" si="16"/>
        <v>288.18730679977051</v>
      </c>
      <c r="DS64" s="59">
        <f t="shared" si="17"/>
        <v>563.55358355682756</v>
      </c>
      <c r="DT64" s="59">
        <f ca="1">AVERAGE(OFFSET($DS$3,0,0,'Données projet'!$E$14+1,1))-AVERAGE(OFFSET($H$3,0,0,'Données projet'!$E$14+1,1))</f>
        <v>537.37164071064103</v>
      </c>
      <c r="DU64" s="59">
        <f t="shared" si="44"/>
        <v>263.29777321132235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0</v>
      </c>
      <c r="EB64" s="21">
        <f>EXP(-LN(2)/25)*EB63+(1-EXP(-LN(2)/25))/(LN(2)/25)*Calculateur!DW64*Calculateur!DY64*VLOOKUP('Données projet'!$B$14,Paramètres!$A$1:$I$89,3,0)*0.475*44/12</f>
        <v>8.1145805197381389</v>
      </c>
      <c r="EC64" s="21">
        <f>EXP(-LN(2)/2)*EC63+(1-EXP(-LN(2)/2))/(LN(2)/2)*DW64*DZ64*VLOOKUP('Données projet'!$B$14,Paramètres!$A$1:$I$89,3,0)*0.475*44/12</f>
        <v>11.755588121736523</v>
      </c>
      <c r="ED64" s="22">
        <f t="shared" si="18"/>
        <v>19.870168641474663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65.099893661015557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65.099893661015557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65.099893661015557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65.099893661015557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45">
      <c r="A65" s="10">
        <f t="shared" si="31"/>
        <v>62</v>
      </c>
      <c r="B65" s="73">
        <f>'Scénario référence'!$B$16*5+'Scénario référence'!$B$17*0+'Scénario référence'!$B$18*5</f>
        <v>2.8499999999999996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10.449999999999998</v>
      </c>
      <c r="H65" s="67">
        <f t="shared" si="1"/>
        <v>214.86666666666667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65.184899551000342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13.520000000000003</v>
      </c>
      <c r="N65" s="13">
        <f>IF('Données projet'!$A$36&gt;35,N64+M65-V64,IF(A65&lt;'Données projet'!$A$36,$K$205^A65,IF(A65='Données projet'!$A$36,'Données projet'!$B$36,N64+M65-V64)))</f>
        <v>334.84000000000009</v>
      </c>
      <c r="O65" s="13">
        <f>N65*VLOOKUP('Données projet'!$B$9,Paramètres!$A$1:$I$89,3,0)*VLOOKUP('Données projet'!$B$9,Paramètres!$A$1:$I$89,5,0)</f>
        <v>302.96323200000006</v>
      </c>
      <c r="P65" s="13">
        <f t="shared" si="33"/>
        <v>71.797314916159678</v>
      </c>
      <c r="Q65" s="20">
        <f t="shared" si="53"/>
        <v>652.70795254564484</v>
      </c>
      <c r="R65" s="59">
        <f t="shared" si="0"/>
        <v>928.38591756597941</v>
      </c>
      <c r="S65" s="59">
        <f ca="1">AVERAGE(OFFSET($R$3,0,0,'Données projet'!$E$9+1,1))-AVERAGE(OFFSET($H$3,0,0,'Données projet'!$E$9+1,1))</f>
        <v>719.20816951277925</v>
      </c>
      <c r="T65" s="59">
        <f t="shared" si="34"/>
        <v>237.1127421841087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9.1535730573511866</v>
      </c>
      <c r="AA65" s="21">
        <f>EXP(-LN(2)/25)*AA64+(1-EXP(-LN(2)/25))/(LN(2)/25)*Calculateur!V65*Calculateur!X65*VLOOKUP('Données projet'!$B$9,Paramètres!$A$1:$I$89,3,0)*0.475*44/12</f>
        <v>39.648185381863946</v>
      </c>
      <c r="AB65" s="21">
        <f>EXP(-LN(2)/2)*AB64+(1-EXP(-LN(2)/2))/(LN(2)/2)*V65*Y65*VLOOKUP('Données projet'!$B$9,Paramètres!$A$1:$I$89,3,0)*0.475*44/12</f>
        <v>1.6035333908901794</v>
      </c>
      <c r="AC65" s="22">
        <f t="shared" si="3"/>
        <v>50.405291830105313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65.184899551000342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13.839999999999995</v>
      </c>
      <c r="AI65" s="13">
        <f>IF('Données projet'!$A$62&gt;35,AI64+AH65-AQ64,IF(A65&lt;'Données projet'!$A$62,$AF$205^A65,IF(A65='Données projet'!$A$62,'Données projet'!$B$62,AI64+AH65-AQ64)))</f>
        <v>306.50999999999993</v>
      </c>
      <c r="AJ65" s="13">
        <f>AI65*VLOOKUP('Données projet'!$B$10,Paramètres!$A$1:$I$89,3,0)*VLOOKUP('Données projet'!$B$10,Paramètres!$A$1:$I$89,5,0)</f>
        <v>258.20402399999995</v>
      </c>
      <c r="AK65" s="13">
        <f t="shared" si="35"/>
        <v>62.339394146915183</v>
      </c>
      <c r="AL65" s="20">
        <f t="shared" si="4"/>
        <v>558.27978660587723</v>
      </c>
      <c r="AM65" s="59">
        <f t="shared" si="5"/>
        <v>833.9577516262118</v>
      </c>
      <c r="AN65" s="59">
        <f ca="1">AVERAGE(OFFSET($AM$3,0,0,'Données projet'!$E$10+1,1))-AVERAGE(OFFSET($H$3,0,0,'Données projet'!$E$10+1,1))</f>
        <v>442.79037205372367</v>
      </c>
      <c r="AO65" s="59">
        <f t="shared" si="36"/>
        <v>288.23553637727969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18.772760649155483</v>
      </c>
      <c r="AV65" s="21">
        <f>EXP(-LN(2)/25)*AV64+(1-EXP(-LN(2)/25))/(LN(2)/25)*Calculateur!AQ65*Calculateur!AS65*VLOOKUP('Données projet'!$B$10,Paramètres!$A$1:$I$89,3,0)*0.475*44/12</f>
        <v>25.732805540031482</v>
      </c>
      <c r="AW65" s="21">
        <f>EXP(-LN(2)/2)*AW64+(1-EXP(-LN(2)/2))/(LN(2)/2)*AQ65*AT65*VLOOKUP('Données projet'!$B$10,Paramètres!$A$1:$I$89,3,0)*0.475*44/12</f>
        <v>1.1799163661749059</v>
      </c>
      <c r="AX65" s="21">
        <f t="shared" si="6"/>
        <v>45.685482555361872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65.184899551000342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6.8933333333333326</v>
      </c>
      <c r="BD65" s="12">
        <f>IF('Données projet'!$A$88&gt;35,BD64+BC65-BL64,IF(A65&lt;'Données projet'!$A$88,$BA$205^A65,IF(A65='Données projet'!$A$88,'Données projet'!$B$88,BD64+BC65-BL64)))</f>
        <v>142.53666666666658</v>
      </c>
      <c r="BE65" s="13">
        <f>BD65*VLOOKUP('Données projet'!$B$11,Paramètres!$A$1:$I$89,3,0)*VLOOKUP('Données projet'!$B$11,Paramètres!$A$1:$I$89,5,0)</f>
        <v>144.5321799999999</v>
      </c>
      <c r="BF65" s="13">
        <f t="shared" si="37"/>
        <v>37.333331285279648</v>
      </c>
      <c r="BG65" s="20">
        <f t="shared" si="7"/>
        <v>316.74909882186188</v>
      </c>
      <c r="BH65" s="59">
        <f t="shared" si="8"/>
        <v>592.4270638421965</v>
      </c>
      <c r="BI65" s="59">
        <f ca="1">AVERAGE(OFFSET($BH$3,0,0,'Données projet'!$E$11+1,1))-AVERAGE(OFFSET($H$3,0,0,'Données projet'!$E$11+1,1))</f>
        <v>559.91818701710872</v>
      </c>
      <c r="BJ65" s="59">
        <f t="shared" si="38"/>
        <v>273.47272623465915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26.478691497569692</v>
      </c>
      <c r="BR65" s="21">
        <f>EXP(-LN(2)/2)*BR64+(1-EXP(-LN(2)/2))/(LN(2)/2)*BL65*BO65*VLOOKUP('Données projet'!$B$11,Paramètres!$A$1:$I$89,3,0)*0.475*44/12</f>
        <v>6.9717373555036781</v>
      </c>
      <c r="BS65" s="22">
        <f t="shared" si="9"/>
        <v>33.450428853073369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65.184899551000342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5.5555555555555554</v>
      </c>
      <c r="BY65" s="12">
        <f>IF('Données projet'!$A$114&gt;35,BY64+BX65-CG64,IF(A65&lt;'Données projet'!$A$114,$BV$205^A65,IF(A65='Données projet'!$A$114,'Données projet'!$B$114,BY64+BX65-CG64)))</f>
        <v>171.36752136752133</v>
      </c>
      <c r="BZ65" s="13">
        <f>BY65*VLOOKUP('Données projet'!$B$12,Paramètres!$A$1:$I$89,3,0)*VLOOKUP('Données projet'!$B$12,Paramètres!$A$1:$I$89,5,0)</f>
        <v>133.66666666666666</v>
      </c>
      <c r="CA65" s="13">
        <f t="shared" si="39"/>
        <v>34.842241918705284</v>
      </c>
      <c r="CB65" s="20">
        <f t="shared" si="10"/>
        <v>293.4863491195228</v>
      </c>
      <c r="CC65" s="59">
        <f t="shared" si="11"/>
        <v>569.16431413985742</v>
      </c>
      <c r="CD65" s="59">
        <f ca="1">AVERAGE(OFFSET($CC$3,0,0,'Données projet'!$E$12+1,1))-AVERAGE(OFFSET($H$3,0,0,'Données projet'!$E$12+1,1))</f>
        <v>208.92677786250815</v>
      </c>
      <c r="CE65" s="59">
        <f t="shared" si="40"/>
        <v>207.54290142772214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9.2743028687298956</v>
      </c>
      <c r="CL65" s="21">
        <f>EXP(-LN(2)/25)*CL64+(1-EXP(-LN(2)/25))/(LN(2)/25)*Calculateur!CG65*Calculateur!CI65*VLOOKUP('Données projet'!$B$12,Paramètres!$A$1:$I$89,3,0)*0.475*44/12</f>
        <v>9.3799368101853542</v>
      </c>
      <c r="CM65" s="21">
        <f>EXP(-LN(2)/2)*CM64+(1-EXP(-LN(2)/2))/(LN(2)/2)*CG65*CJ65*VLOOKUP('Données projet'!$B$12,Paramètres!$A$1:$I$89,3,0)*0.475*44/12</f>
        <v>2.9592614253125955</v>
      </c>
      <c r="CN65" s="22">
        <f t="shared" si="12"/>
        <v>21.613501104227844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65.184899551000342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9.7525000000000013</v>
      </c>
      <c r="CT65" s="12">
        <f>IF('Données projet'!$A$140&gt;35,CT64+CS65-DB64,IF(A65&lt;'Données projet'!$A$140,$CQ$205^A65,IF(A65='Données projet'!$A$140,'Données projet'!$B$140,CT64+CS65-DB64)))</f>
        <v>190.29749999999999</v>
      </c>
      <c r="CU65" s="17">
        <f>CT65*VLOOKUP('Données projet'!$B$13,Paramètres!$A$1:$I$89,3,0)*VLOOKUP('Données projet'!$B$13,Paramètres!$A$1:$I$89,5,0)</f>
        <v>181.08710099999999</v>
      </c>
      <c r="CV65" s="13">
        <f t="shared" si="41"/>
        <v>45.563961288072498</v>
      </c>
      <c r="CW65" s="20">
        <f t="shared" si="13"/>
        <v>394.7506001517263</v>
      </c>
      <c r="CX65" s="59">
        <f t="shared" si="14"/>
        <v>670.42856517206087</v>
      </c>
      <c r="CY65" s="59">
        <f ca="1">AVERAGE(OFFSET($CX$3,0,0,'Données projet'!$E$13+1,1))-AVERAGE(OFFSET($H$3,0,0,'Données projet'!$E$13+1,1))</f>
        <v>470.42022791389275</v>
      </c>
      <c r="CZ65" s="59">
        <f t="shared" si="42"/>
        <v>300.26117330627346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8.5743392418782225</v>
      </c>
      <c r="DG65" s="21">
        <f>EXP(-LN(2)/25)*DG64+(1-EXP(-LN(2)/25))/(LN(2)/25)*Calculateur!DB65*Calculateur!DD65*VLOOKUP('Données projet'!$B$13,Paramètres!$A$1:$I$89,3,0)*0.475*44/12</f>
        <v>15.199157510639751</v>
      </c>
      <c r="DH65" s="21">
        <f>EXP(-LN(2)/2)*DH64+(1-EXP(-LN(2)/2))/(LN(2)/2)*DB65*DE65*VLOOKUP('Données projet'!$B$13,Paramètres!$A$1:$I$89,3,0)*0.475*44/12</f>
        <v>3.6592728061726301</v>
      </c>
      <c r="DI65" s="22">
        <f t="shared" si="15"/>
        <v>27.432769558690602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65.184899551000342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6.8933333333333326</v>
      </c>
      <c r="DO65" s="12">
        <f>IF('Données projet'!$A$166&gt;35,DO64+DN65-DW64,IF(A65&lt;'Données projet'!$A$166,$DL$205^A65,IF(A65='Données projet'!$A$166,'Données projet'!$B$166,DO64+DN65-DW64)))</f>
        <v>142.53666666666658</v>
      </c>
      <c r="DP65" s="17">
        <f>DO65*VLOOKUP('Données projet'!$B$14,Paramètres!$A$1:$I$89,3,0)*VLOOKUP('Données projet'!$B$14,Paramètres!$A$1:$I$89,5,0)</f>
        <v>137.8614639999999</v>
      </c>
      <c r="DQ65" s="13">
        <f t="shared" si="43"/>
        <v>35.806658893228409</v>
      </c>
      <c r="DR65" s="20">
        <f t="shared" si="16"/>
        <v>302.47198070570596</v>
      </c>
      <c r="DS65" s="59">
        <f t="shared" si="17"/>
        <v>578.14994572604053</v>
      </c>
      <c r="DT65" s="59">
        <f ca="1">AVERAGE(OFFSET($DS$3,0,0,'Données projet'!$E$14+1,1))-AVERAGE(OFFSET($H$3,0,0,'Données projet'!$E$14+1,1))</f>
        <v>537.37164071064103</v>
      </c>
      <c r="DU65" s="59">
        <f t="shared" si="44"/>
        <v>263.29777321132235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0</v>
      </c>
      <c r="EB65" s="21">
        <f>EXP(-LN(2)/25)*EB64+(1-EXP(-LN(2)/25))/(LN(2)/25)*Calculateur!DW65*Calculateur!DY65*VLOOKUP('Données projet'!$B$14,Paramètres!$A$1:$I$89,3,0)*0.475*44/12</f>
        <v>7.8926868886986563</v>
      </c>
      <c r="EC65" s="21">
        <f>EXP(-LN(2)/2)*EC64+(1-EXP(-LN(2)/2))/(LN(2)/2)*DW65*DZ65*VLOOKUP('Données projet'!$B$14,Paramètres!$A$1:$I$89,3,0)*0.475*44/12</f>
        <v>8.3124560777159253</v>
      </c>
      <c r="ED65" s="22">
        <f t="shared" si="18"/>
        <v>16.205142966414581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65.184899551000342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65.184899551000342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65.184899551000342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65.184899551000342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45">
      <c r="A66" s="10">
        <f t="shared" si="31"/>
        <v>63</v>
      </c>
      <c r="B66" s="73">
        <f>'Scénario référence'!$B$16*5+'Scénario référence'!$B$17*0+'Scénario référence'!$B$18*5</f>
        <v>2.8499999999999996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10.449999999999998</v>
      </c>
      <c r="H66" s="67">
        <f t="shared" si="1"/>
        <v>214.86666666666667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65.268430778838578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13.520000000000003</v>
      </c>
      <c r="N66" s="13">
        <f>IF('Données projet'!$A$36&gt;35,N65+M66-V65,IF(A66&lt;'Données projet'!$A$36,$K$205^A66,IF(A66='Données projet'!$A$36,'Données projet'!$B$36,N65+M66-V65)))</f>
        <v>348.36000000000007</v>
      </c>
      <c r="O66" s="13">
        <f>N66*VLOOKUP('Données projet'!$B$9,Paramètres!$A$1:$I$89,3,0)*VLOOKUP('Données projet'!$B$9,Paramètres!$A$1:$I$89,5,0)</f>
        <v>315.19612800000004</v>
      </c>
      <c r="P66" s="13">
        <f t="shared" si="33"/>
        <v>74.352936449224345</v>
      </c>
      <c r="Q66" s="20">
        <f t="shared" si="53"/>
        <v>678.46462058239911</v>
      </c>
      <c r="R66" s="59">
        <f t="shared" si="0"/>
        <v>954.44886677147383</v>
      </c>
      <c r="S66" s="59">
        <f ca="1">AVERAGE(OFFSET($R$3,0,0,'Données projet'!$E$9+1,1))-AVERAGE(OFFSET($H$3,0,0,'Données projet'!$E$9+1,1))</f>
        <v>719.20816951277925</v>
      </c>
      <c r="T66" s="59">
        <f t="shared" si="34"/>
        <v>237.1127421841087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8.9740770728248069</v>
      </c>
      <c r="AA66" s="21">
        <f>EXP(-LN(2)/25)*AA65+(1-EXP(-LN(2)/25))/(LN(2)/25)*Calculateur!V66*Calculateur!X66*VLOOKUP('Données projet'!$B$9,Paramètres!$A$1:$I$89,3,0)*0.475*44/12</f>
        <v>38.564003667589425</v>
      </c>
      <c r="AB66" s="21">
        <f>EXP(-LN(2)/2)*AB65+(1-EXP(-LN(2)/2))/(LN(2)/2)*V66*Y66*VLOOKUP('Données projet'!$B$9,Paramètres!$A$1:$I$89,3,0)*0.475*44/12</f>
        <v>1.1338693345575048</v>
      </c>
      <c r="AC66" s="22">
        <f t="shared" si="3"/>
        <v>48.671950074971733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65.268430778838578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13.839999999999995</v>
      </c>
      <c r="AI66" s="13">
        <f>IF('Données projet'!$A$62&gt;35,AI65+AH66-AQ65,IF(A66&lt;'Données projet'!$A$62,$AF$205^A66,IF(A66='Données projet'!$A$62,'Données projet'!$B$62,AI65+AH66-AQ65)))</f>
        <v>320.34999999999991</v>
      </c>
      <c r="AJ66" s="13">
        <f>AI66*VLOOKUP('Données projet'!$B$10,Paramètres!$A$1:$I$89,3,0)*VLOOKUP('Données projet'!$B$10,Paramètres!$A$1:$I$89,5,0)</f>
        <v>269.86283999999995</v>
      </c>
      <c r="AK66" s="13">
        <f t="shared" si="35"/>
        <v>64.820159613370294</v>
      </c>
      <c r="AL66" s="20">
        <f t="shared" si="4"/>
        <v>582.90622432661985</v>
      </c>
      <c r="AM66" s="59">
        <f t="shared" si="5"/>
        <v>858.89047051569469</v>
      </c>
      <c r="AN66" s="59">
        <f ca="1">AVERAGE(OFFSET($AM$3,0,0,'Données projet'!$E$10+1,1))-AVERAGE(OFFSET($H$3,0,0,'Données projet'!$E$10+1,1))</f>
        <v>442.79037205372367</v>
      </c>
      <c r="AO66" s="59">
        <f t="shared" si="36"/>
        <v>288.23553637727969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18.404638263078922</v>
      </c>
      <c r="AV66" s="21">
        <f>EXP(-LN(2)/25)*AV65+(1-EXP(-LN(2)/25))/(LN(2)/25)*Calculateur!AQ66*Calculateur!AS66*VLOOKUP('Données projet'!$B$10,Paramètres!$A$1:$I$89,3,0)*0.475*44/12</f>
        <v>25.029140619309892</v>
      </c>
      <c r="AW66" s="21">
        <f>EXP(-LN(2)/2)*AW65+(1-EXP(-LN(2)/2))/(LN(2)/2)*AQ66*AT66*VLOOKUP('Données projet'!$B$10,Paramètres!$A$1:$I$89,3,0)*0.475*44/12</f>
        <v>0.83432686375526555</v>
      </c>
      <c r="AX66" s="21">
        <f t="shared" si="6"/>
        <v>44.26810574614408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65.268430778838578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6.8933333333333326</v>
      </c>
      <c r="BD66" s="12">
        <f>IF('Données projet'!$A$88&gt;35,BD65+BC66-BL65,IF(A66&lt;'Données projet'!$A$88,$BA$205^A66,IF(A66='Données projet'!$A$88,'Données projet'!$B$88,BD65+BC66-BL65)))</f>
        <v>149.42999999999992</v>
      </c>
      <c r="BE66" s="13">
        <f>BD66*VLOOKUP('Données projet'!$B$11,Paramètres!$A$1:$I$89,3,0)*VLOOKUP('Données projet'!$B$11,Paramètres!$A$1:$I$89,5,0)</f>
        <v>151.52201999999994</v>
      </c>
      <c r="BF66" s="13">
        <f t="shared" si="37"/>
        <v>38.924266634641384</v>
      </c>
      <c r="BG66" s="20">
        <f t="shared" si="7"/>
        <v>331.6939492220003</v>
      </c>
      <c r="BH66" s="59">
        <f t="shared" si="8"/>
        <v>607.67819541107508</v>
      </c>
      <c r="BI66" s="59">
        <f ca="1">AVERAGE(OFFSET($BH$3,0,0,'Données projet'!$E$11+1,1))-AVERAGE(OFFSET($H$3,0,0,'Données projet'!$E$11+1,1))</f>
        <v>559.91818701710872</v>
      </c>
      <c r="BJ66" s="59">
        <f t="shared" si="38"/>
        <v>273.47272623465915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25.754630286114779</v>
      </c>
      <c r="BR66" s="21">
        <f>EXP(-LN(2)/2)*BR65+(1-EXP(-LN(2)/2))/(LN(2)/2)*BL66*BO66*VLOOKUP('Données projet'!$B$11,Paramètres!$A$1:$I$89,3,0)*0.475*44/12</f>
        <v>4.9297627607282193</v>
      </c>
      <c r="BS66" s="22">
        <f t="shared" si="9"/>
        <v>30.684393046842999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65.268430778838578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5.5555555555555554</v>
      </c>
      <c r="BY66" s="12">
        <f>IF('Données projet'!$A$114&gt;35,BY65+BX66-CG65,IF(A66&lt;'Données projet'!$A$114,$BV$205^A66,IF(A66='Données projet'!$A$114,'Données projet'!$B$114,BY65+BX66-CG65)))</f>
        <v>176.92307692307688</v>
      </c>
      <c r="BZ66" s="13">
        <f>BY66*VLOOKUP('Données projet'!$B$12,Paramètres!$A$1:$I$89,3,0)*VLOOKUP('Données projet'!$B$12,Paramètres!$A$1:$I$89,5,0)</f>
        <v>137.99999999999997</v>
      </c>
      <c r="CA66" s="13">
        <f t="shared" si="39"/>
        <v>35.838450602130571</v>
      </c>
      <c r="CB66" s="20">
        <f t="shared" si="10"/>
        <v>302.76863479871071</v>
      </c>
      <c r="CC66" s="59">
        <f t="shared" si="11"/>
        <v>578.75288098778549</v>
      </c>
      <c r="CD66" s="59">
        <f ca="1">AVERAGE(OFFSET($CC$3,0,0,'Données projet'!$E$12+1,1))-AVERAGE(OFFSET($H$3,0,0,'Données projet'!$E$12+1,1))</f>
        <v>208.92677786250815</v>
      </c>
      <c r="CE66" s="59">
        <f t="shared" si="40"/>
        <v>207.54290142772214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9.0924394462402933</v>
      </c>
      <c r="CL66" s="21">
        <f>EXP(-LN(2)/25)*CL65+(1-EXP(-LN(2)/25))/(LN(2)/25)*Calculateur!CG66*Calculateur!CI66*VLOOKUP('Données projet'!$B$12,Paramètres!$A$1:$I$89,3,0)*0.475*44/12</f>
        <v>9.1234419448413977</v>
      </c>
      <c r="CM66" s="21">
        <f>EXP(-LN(2)/2)*CM65+(1-EXP(-LN(2)/2))/(LN(2)/2)*CG66*CJ66*VLOOKUP('Données projet'!$B$12,Paramètres!$A$1:$I$89,3,0)*0.475*44/12</f>
        <v>2.0925138211423042</v>
      </c>
      <c r="CN66" s="22">
        <f t="shared" si="12"/>
        <v>20.308395212223996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65.268430778838578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9.7525000000000013</v>
      </c>
      <c r="CT66" s="12">
        <f>IF('Données projet'!$A$140&gt;35,CT65+CS66-DB65,IF(A66&lt;'Données projet'!$A$140,$CQ$205^A66,IF(A66='Données projet'!$A$140,'Données projet'!$B$140,CT65+CS66-DB65)))</f>
        <v>200.04999999999998</v>
      </c>
      <c r="CU66" s="17">
        <f>CT66*VLOOKUP('Données projet'!$B$13,Paramètres!$A$1:$I$89,3,0)*VLOOKUP('Données projet'!$B$13,Paramètres!$A$1:$I$89,5,0)</f>
        <v>190.36758</v>
      </c>
      <c r="CV66" s="13">
        <f t="shared" si="41"/>
        <v>47.621210426557901</v>
      </c>
      <c r="CW66" s="20">
        <f t="shared" si="13"/>
        <v>414.49714332625496</v>
      </c>
      <c r="CX66" s="59">
        <f t="shared" si="14"/>
        <v>690.48138951532974</v>
      </c>
      <c r="CY66" s="59">
        <f ca="1">AVERAGE(OFFSET($CX$3,0,0,'Données projet'!$E$13+1,1))-AVERAGE(OFFSET($H$3,0,0,'Données projet'!$E$13+1,1))</f>
        <v>470.42022791389275</v>
      </c>
      <c r="CZ66" s="59">
        <f t="shared" si="42"/>
        <v>300.26117330627346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8.4062016791755259</v>
      </c>
      <c r="DG66" s="21">
        <f>EXP(-LN(2)/25)*DG65+(1-EXP(-LN(2)/25))/(LN(2)/25)*Calculateur!DB66*Calculateur!DD66*VLOOKUP('Données projet'!$B$13,Paramètres!$A$1:$I$89,3,0)*0.475*44/12</f>
        <v>14.78353574922235</v>
      </c>
      <c r="DH66" s="21">
        <f>EXP(-LN(2)/2)*DH65+(1-EXP(-LN(2)/2))/(LN(2)/2)*DB66*DE66*VLOOKUP('Données projet'!$B$13,Paramètres!$A$1:$I$89,3,0)*0.475*44/12</f>
        <v>2.5874966154561938</v>
      </c>
      <c r="DI66" s="22">
        <f t="shared" si="15"/>
        <v>25.777234043854069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65.268430778838578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6.8933333333333326</v>
      </c>
      <c r="DO66" s="12">
        <f>IF('Données projet'!$A$166&gt;35,DO65+DN66-DW65,IF(A66&lt;'Données projet'!$A$166,$DL$205^A66,IF(A66='Données projet'!$A$166,'Données projet'!$B$166,DO65+DN66-DW65)))</f>
        <v>149.42999999999992</v>
      </c>
      <c r="DP66" s="17">
        <f>DO66*VLOOKUP('Données projet'!$B$14,Paramètres!$A$1:$I$89,3,0)*VLOOKUP('Données projet'!$B$14,Paramètres!$A$1:$I$89,5,0)</f>
        <v>144.52869599999994</v>
      </c>
      <c r="DQ66" s="13">
        <f t="shared" si="43"/>
        <v>37.332536103072727</v>
      </c>
      <c r="DR66" s="20">
        <f t="shared" si="16"/>
        <v>316.74164591285154</v>
      </c>
      <c r="DS66" s="59">
        <f t="shared" si="17"/>
        <v>592.72589210192632</v>
      </c>
      <c r="DT66" s="59">
        <f ca="1">AVERAGE(OFFSET($DS$3,0,0,'Données projet'!$E$14+1,1))-AVERAGE(OFFSET($H$3,0,0,'Données projet'!$E$14+1,1))</f>
        <v>537.37164071064103</v>
      </c>
      <c r="DU66" s="59">
        <f t="shared" si="44"/>
        <v>263.29777321132235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0</v>
      </c>
      <c r="EB66" s="21">
        <f>EXP(-LN(2)/25)*EB65+(1-EXP(-LN(2)/25))/(LN(2)/25)*Calculateur!DW66*Calculateur!DY66*VLOOKUP('Données projet'!$B$14,Paramètres!$A$1:$I$89,3,0)*0.475*44/12</f>
        <v>7.6768609506688268</v>
      </c>
      <c r="EC66" s="21">
        <f>EXP(-LN(2)/2)*EC65+(1-EXP(-LN(2)/2))/(LN(2)/2)*DW66*DZ66*VLOOKUP('Données projet'!$B$14,Paramètres!$A$1:$I$89,3,0)*0.475*44/12</f>
        <v>5.8777940608682622</v>
      </c>
      <c r="ED66" s="22">
        <f t="shared" si="18"/>
        <v>13.55465501153709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65.268430778838578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65.268430778838578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65.268430778838578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65.268430778838578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45">
      <c r="A67" s="10">
        <f t="shared" si="31"/>
        <v>64</v>
      </c>
      <c r="B67" s="73">
        <f>'Scénario référence'!$B$16*5+'Scénario référence'!$B$17*0+'Scénario référence'!$B$18*5</f>
        <v>2.8499999999999996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10.449999999999998</v>
      </c>
      <c r="H67" s="67">
        <f t="shared" si="1"/>
        <v>214.86666666666667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65.35051292662169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13.520000000000003</v>
      </c>
      <c r="N67" s="13">
        <f>IF('Données projet'!$A$36&gt;35,N66+M67-V66,IF(A67&lt;'Données projet'!$A$36,$K$205^A67,IF(A67='Données projet'!$A$36,'Données projet'!$B$36,N66+M67-V66)))</f>
        <v>361.88000000000005</v>
      </c>
      <c r="O67" s="13">
        <f>N67*VLOOKUP('Données projet'!$B$9,Paramètres!$A$1:$I$89,3,0)*VLOOKUP('Données projet'!$B$9,Paramètres!$A$1:$I$89,5,0)</f>
        <v>327.42902400000003</v>
      </c>
      <c r="P67" s="13">
        <f t="shared" si="33"/>
        <v>76.897035859574302</v>
      </c>
      <c r="Q67" s="20">
        <f t="shared" ref="Q67:Q98" si="54">(O67+P67)*0.475*44/12</f>
        <v>704.20122092209192</v>
      </c>
      <c r="R67" s="59">
        <f t="shared" ref="R67:R130" si="55">Q67+(I67+J67)*44/12</f>
        <v>980.48643498637148</v>
      </c>
      <c r="S67" s="59">
        <f ca="1">AVERAGE(OFFSET($R$3,0,0,'Données projet'!$E$9+1,1))-AVERAGE(OFFSET($H$3,0,0,'Données projet'!$E$9+1,1))</f>
        <v>719.20816951277925</v>
      </c>
      <c r="T67" s="59">
        <f t="shared" si="34"/>
        <v>237.1127421841087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8.7981008950732491</v>
      </c>
      <c r="AA67" s="21">
        <f>EXP(-LN(2)/25)*AA66+(1-EXP(-LN(2)/25))/(LN(2)/25)*Calculateur!V67*Calculateur!X67*VLOOKUP('Données projet'!$B$9,Paramètres!$A$1:$I$89,3,0)*0.475*44/12</f>
        <v>37.509468959306382</v>
      </c>
      <c r="AB67" s="21">
        <f>EXP(-LN(2)/2)*AB66+(1-EXP(-LN(2)/2))/(LN(2)/2)*V67*Y67*VLOOKUP('Données projet'!$B$9,Paramètres!$A$1:$I$89,3,0)*0.475*44/12</f>
        <v>0.80176669544508983</v>
      </c>
      <c r="AC67" s="22">
        <f t="shared" si="3"/>
        <v>47.109336549824718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65.35051292662169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13.839999999999995</v>
      </c>
      <c r="AI67" s="13">
        <f>IF('Données projet'!$A$62&gt;35,AI66+AH67-AQ66,IF(A67&lt;'Données projet'!$A$62,$AF$205^A67,IF(A67='Données projet'!$A$62,'Données projet'!$B$62,AI66+AH67-AQ66)))</f>
        <v>334.18999999999988</v>
      </c>
      <c r="AJ67" s="13">
        <f>AI67*VLOOKUP('Données projet'!$B$10,Paramètres!$A$1:$I$89,3,0)*VLOOKUP('Données projet'!$B$10,Paramètres!$A$1:$I$89,5,0)</f>
        <v>281.52165599999995</v>
      </c>
      <c r="AK67" s="13">
        <f t="shared" si="35"/>
        <v>67.288477033117942</v>
      </c>
      <c r="AL67" s="20">
        <f t="shared" si="4"/>
        <v>607.51098169934687</v>
      </c>
      <c r="AM67" s="59">
        <f t="shared" si="5"/>
        <v>883.79619576362643</v>
      </c>
      <c r="AN67" s="59">
        <f ca="1">AVERAGE(OFFSET($AM$3,0,0,'Données projet'!$E$10+1,1))-AVERAGE(OFFSET($H$3,0,0,'Données projet'!$E$10+1,1))</f>
        <v>442.79037205372367</v>
      </c>
      <c r="AO67" s="59">
        <f t="shared" si="36"/>
        <v>288.23553637727969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18.043734532460839</v>
      </c>
      <c r="AV67" s="21">
        <f>EXP(-LN(2)/25)*AV66+(1-EXP(-LN(2)/25))/(LN(2)/25)*Calculateur!AQ67*Calculateur!AS67*VLOOKUP('Données projet'!$B$10,Paramètres!$A$1:$I$89,3,0)*0.475*44/12</f>
        <v>24.344717452849562</v>
      </c>
      <c r="AW67" s="21">
        <f>EXP(-LN(2)/2)*AW66+(1-EXP(-LN(2)/2))/(LN(2)/2)*AQ67*AT67*VLOOKUP('Données projet'!$B$10,Paramètres!$A$1:$I$89,3,0)*0.475*44/12</f>
        <v>0.58995818308745307</v>
      </c>
      <c r="AX67" s="21">
        <f t="shared" si="6"/>
        <v>42.978410168397851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65.35051292662169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6.8933333333333326</v>
      </c>
      <c r="BD67" s="12">
        <f>IF('Données projet'!$A$88&gt;35,BD66+BC67-BL66,IF(A67&lt;'Données projet'!$A$88,$BA$205^A67,IF(A67='Données projet'!$A$88,'Données projet'!$B$88,BD66+BC67-BL66)))</f>
        <v>156.32333333333327</v>
      </c>
      <c r="BE67" s="13">
        <f>BD67*VLOOKUP('Données projet'!$B$11,Paramètres!$A$1:$I$89,3,0)*VLOOKUP('Données projet'!$B$11,Paramètres!$A$1:$I$89,5,0)</f>
        <v>158.51185999999996</v>
      </c>
      <c r="BF67" s="13">
        <f t="shared" si="37"/>
        <v>40.506678950569523</v>
      </c>
      <c r="BG67" s="20">
        <f t="shared" si="7"/>
        <v>346.6239553389085</v>
      </c>
      <c r="BH67" s="59">
        <f t="shared" si="8"/>
        <v>622.909169403188</v>
      </c>
      <c r="BI67" s="59">
        <f ca="1">AVERAGE(OFFSET($BH$3,0,0,'Données projet'!$E$11+1,1))-AVERAGE(OFFSET($H$3,0,0,'Données projet'!$E$11+1,1))</f>
        <v>559.91818701710872</v>
      </c>
      <c r="BJ67" s="59">
        <f t="shared" si="38"/>
        <v>273.47272623465915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25.050368566563826</v>
      </c>
      <c r="BR67" s="21">
        <f>EXP(-LN(2)/2)*BR66+(1-EXP(-LN(2)/2))/(LN(2)/2)*BL67*BO67*VLOOKUP('Données projet'!$B$11,Paramètres!$A$1:$I$89,3,0)*0.475*44/12</f>
        <v>3.4858686777518395</v>
      </c>
      <c r="BS67" s="22">
        <f t="shared" si="9"/>
        <v>28.536237244315664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65.35051292662169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5.5555555555555554</v>
      </c>
      <c r="BY67" s="12">
        <f>IF('Données projet'!$A$114&gt;35,BY66+BX67-CG66,IF(A67&lt;'Données projet'!$A$114,$BV$205^A67,IF(A67='Données projet'!$A$114,'Données projet'!$B$114,BY66+BX67-CG66)))</f>
        <v>182.47863247863242</v>
      </c>
      <c r="BZ67" s="13">
        <f>BY67*VLOOKUP('Données projet'!$B$12,Paramètres!$A$1:$I$89,3,0)*VLOOKUP('Données projet'!$B$12,Paramètres!$A$1:$I$89,5,0)</f>
        <v>142.33333333333329</v>
      </c>
      <c r="CA67" s="13">
        <f t="shared" si="39"/>
        <v>36.831024085819266</v>
      </c>
      <c r="CB67" s="20">
        <f t="shared" si="10"/>
        <v>312.04458917169069</v>
      </c>
      <c r="CC67" s="59">
        <f t="shared" si="11"/>
        <v>588.32980323597019</v>
      </c>
      <c r="CD67" s="59">
        <f ca="1">AVERAGE(OFFSET($CC$3,0,0,'Données projet'!$E$12+1,1))-AVERAGE(OFFSET($H$3,0,0,'Données projet'!$E$12+1,1))</f>
        <v>208.92677786250815</v>
      </c>
      <c r="CE67" s="59">
        <f t="shared" si="40"/>
        <v>207.54290142772214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8.9141422545399767</v>
      </c>
      <c r="CL67" s="21">
        <f>EXP(-LN(2)/25)*CL66+(1-EXP(-LN(2)/25))/(LN(2)/25)*Calculateur!CG67*Calculateur!CI67*VLOOKUP('Données projet'!$B$12,Paramètres!$A$1:$I$89,3,0)*0.475*44/12</f>
        <v>8.8739609450787498</v>
      </c>
      <c r="CM67" s="21">
        <f>EXP(-LN(2)/2)*CM66+(1-EXP(-LN(2)/2))/(LN(2)/2)*CG67*CJ67*VLOOKUP('Données projet'!$B$12,Paramètres!$A$1:$I$89,3,0)*0.475*44/12</f>
        <v>1.4796307126562978</v>
      </c>
      <c r="CN67" s="22">
        <f t="shared" si="12"/>
        <v>19.267733912275023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65.35051292662169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9.7525000000000013</v>
      </c>
      <c r="CT67" s="12">
        <f>IF('Données projet'!$A$140&gt;35,CT66+CS67-DB66,IF(A67&lt;'Données projet'!$A$140,$CQ$205^A67,IF(A67='Données projet'!$A$140,'Données projet'!$B$140,CT66+CS67-DB66)))</f>
        <v>209.80249999999998</v>
      </c>
      <c r="CU67" s="17">
        <f>CT67*VLOOKUP('Données projet'!$B$13,Paramètres!$A$1:$I$89,3,0)*VLOOKUP('Données projet'!$B$13,Paramètres!$A$1:$I$89,5,0)</f>
        <v>199.64805899999999</v>
      </c>
      <c r="CV67" s="13">
        <f t="shared" si="41"/>
        <v>49.666813819210098</v>
      </c>
      <c r="CW67" s="20">
        <f t="shared" si="13"/>
        <v>434.22340349345751</v>
      </c>
      <c r="CX67" s="59">
        <f t="shared" si="14"/>
        <v>710.50861755773701</v>
      </c>
      <c r="CY67" s="59">
        <f ca="1">AVERAGE(OFFSET($CX$3,0,0,'Données projet'!$E$13+1,1))-AVERAGE(OFFSET($H$3,0,0,'Données projet'!$E$13+1,1))</f>
        <v>470.42022791389275</v>
      </c>
      <c r="CZ67" s="59">
        <f t="shared" si="42"/>
        <v>300.26117330627346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8.2413611915236409</v>
      </c>
      <c r="DG67" s="21">
        <f>EXP(-LN(2)/25)*DG66+(1-EXP(-LN(2)/25))/(LN(2)/25)*Calculateur!DB67*Calculateur!DD67*VLOOKUP('Données projet'!$B$13,Paramètres!$A$1:$I$89,3,0)*0.475*44/12</f>
        <v>14.379279186727508</v>
      </c>
      <c r="DH67" s="21">
        <f>EXP(-LN(2)/2)*DH66+(1-EXP(-LN(2)/2))/(LN(2)/2)*DB67*DE67*VLOOKUP('Données projet'!$B$13,Paramètres!$A$1:$I$89,3,0)*0.475*44/12</f>
        <v>1.8296364030863153</v>
      </c>
      <c r="DI67" s="22">
        <f t="shared" si="15"/>
        <v>24.450276781337465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65.35051292662169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6.8933333333333326</v>
      </c>
      <c r="DO67" s="12">
        <f>IF('Données projet'!$A$166&gt;35,DO66+DN67-DW66,IF(A67&lt;'Données projet'!$A$166,$DL$205^A67,IF(A67='Données projet'!$A$166,'Données projet'!$B$166,DO66+DN67-DW66)))</f>
        <v>156.32333333333327</v>
      </c>
      <c r="DP67" s="17">
        <f>DO67*VLOOKUP('Données projet'!$B$14,Paramètres!$A$1:$I$89,3,0)*VLOOKUP('Données projet'!$B$14,Paramètres!$A$1:$I$89,5,0)</f>
        <v>151.19592799999995</v>
      </c>
      <c r="DQ67" s="13">
        <f t="shared" si="43"/>
        <v>38.850238811998203</v>
      </c>
      <c r="DR67" s="20">
        <f t="shared" si="16"/>
        <v>330.99707386423012</v>
      </c>
      <c r="DS67" s="59">
        <f t="shared" si="17"/>
        <v>607.28228792850962</v>
      </c>
      <c r="DT67" s="59">
        <f ca="1">AVERAGE(OFFSET($DS$3,0,0,'Données projet'!$E$14+1,1))-AVERAGE(OFFSET($H$3,0,0,'Données projet'!$E$14+1,1))</f>
        <v>537.37164071064103</v>
      </c>
      <c r="DU67" s="59">
        <f t="shared" si="44"/>
        <v>263.29777321132235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0</v>
      </c>
      <c r="EB67" s="21">
        <f>EXP(-LN(2)/25)*EB66+(1-EXP(-LN(2)/25))/(LN(2)/25)*Calculateur!DW67*Calculateur!DY67*VLOOKUP('Données projet'!$B$14,Paramètres!$A$1:$I$89,3,0)*0.475*44/12</f>
        <v>7.4669367842642158</v>
      </c>
      <c r="EC67" s="21">
        <f>EXP(-LN(2)/2)*EC66+(1-EXP(-LN(2)/2))/(LN(2)/2)*DW67*DZ67*VLOOKUP('Données projet'!$B$14,Paramètres!$A$1:$I$89,3,0)*0.475*44/12</f>
        <v>4.1562280388579635</v>
      </c>
      <c r="ED67" s="22">
        <f t="shared" si="18"/>
        <v>11.623164823122179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65.35051292662169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65.35051292662169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65.35051292662169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65.35051292662169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45">
      <c r="A68" s="10">
        <f t="shared" si="31"/>
        <v>65</v>
      </c>
      <c r="B68" s="73">
        <f>'Scénario référence'!$B$16*5+'Scénario référence'!$B$17*0+'Scénario référence'!$B$18*5</f>
        <v>2.8499999999999996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10.449999999999998</v>
      </c>
      <c r="H68" s="67">
        <f t="shared" ref="H68:H131" si="56">(B68+E68+F68)*44/12+(C68+D68)*0.475*44/12</f>
        <v>214.86666666666667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65.431171132648942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13.520000000000003</v>
      </c>
      <c r="N68" s="13">
        <f>IF('Données projet'!$A$36&gt;35,N67+M68-V67,IF(A68&lt;'Données projet'!$A$36,$K$205^A68,IF(A68='Données projet'!$A$36,'Données projet'!$B$36,N67+M68-V67)))</f>
        <v>375.40000000000003</v>
      </c>
      <c r="O68" s="13">
        <f>N68*VLOOKUP('Données projet'!$B$9,Paramètres!$A$1:$I$89,3,0)*VLOOKUP('Données projet'!$B$9,Paramètres!$A$1:$I$89,5,0)</f>
        <v>339.66192000000001</v>
      </c>
      <c r="P68" s="13">
        <f t="shared" si="33"/>
        <v>79.430092909514357</v>
      </c>
      <c r="Q68" s="20">
        <f t="shared" si="54"/>
        <v>729.91858915073738</v>
      </c>
      <c r="R68" s="59">
        <f t="shared" si="55"/>
        <v>1006.4995499704502</v>
      </c>
      <c r="S68" s="59">
        <f ca="1">AVERAGE(OFFSET($R$3,0,0,'Données projet'!$E$9+1,1))-AVERAGE(OFFSET($H$3,0,0,'Données projet'!$E$9+1,1))</f>
        <v>719.20816951277925</v>
      </c>
      <c r="T68" s="59">
        <f t="shared" si="34"/>
        <v>237.1127421841087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8.6255755028325289</v>
      </c>
      <c r="AA68" s="21">
        <f>EXP(-LN(2)/25)*AA67+(1-EXP(-LN(2)/25))/(LN(2)/25)*Calculateur!V68*Calculateur!X68*VLOOKUP('Données projet'!$B$9,Paramètres!$A$1:$I$89,3,0)*0.475*44/12</f>
        <v>36.483770558076905</v>
      </c>
      <c r="AB68" s="21">
        <f>EXP(-LN(2)/2)*AB67+(1-EXP(-LN(2)/2))/(LN(2)/2)*V68*Y68*VLOOKUP('Données projet'!$B$9,Paramètres!$A$1:$I$89,3,0)*0.475*44/12</f>
        <v>0.56693466727875241</v>
      </c>
      <c r="AC68" s="22">
        <f t="shared" ref="AC68:AC131" si="57">SUM(Z68:AB68)</f>
        <v>45.676280728188182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65.431171132648942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348.03</v>
      </c>
      <c r="AG68" s="12">
        <f>VLOOKUP(A68,'Données projet'!$A$61:$I$81,9,0)</f>
        <v>13.839999999999995</v>
      </c>
      <c r="AH68" s="12">
        <f t="array" ref="AH68">INDEX(AG:AG,MIN(IF(ISNUMBER(AG68:AG264),ROW(AG68:AG264),"")))</f>
        <v>13.839999999999995</v>
      </c>
      <c r="AI68" s="13">
        <f>IF('Données projet'!$A$62&gt;35,AI67+AH68-AQ67,IF(A68&lt;'Données projet'!$A$62,$AF$205^A68,IF(A68='Données projet'!$A$62,'Données projet'!$B$62,AI67+AH68-AQ67)))</f>
        <v>348.02999999999986</v>
      </c>
      <c r="AJ68" s="13">
        <f>AI68*VLOOKUP('Données projet'!$B$10,Paramètres!$A$1:$I$89,3,0)*VLOOKUP('Données projet'!$B$10,Paramètres!$A$1:$I$89,5,0)</f>
        <v>293.1804719999999</v>
      </c>
      <c r="AK68" s="13">
        <f t="shared" si="35"/>
        <v>69.744920880406227</v>
      </c>
      <c r="AL68" s="20">
        <f t="shared" ref="AL68:AL131" si="58">(AJ68+AK68)*0.475*44/12</f>
        <v>632.09505926670727</v>
      </c>
      <c r="AM68" s="59">
        <f t="shared" ref="AM68:AM131" si="59">AL68+(AD68+AE68)*44/12</f>
        <v>908.67602008642007</v>
      </c>
      <c r="AN68" s="59">
        <f ca="1">AVERAGE(OFFSET($AM$3,0,0,'Données projet'!$E$10+1,1))-AVERAGE(OFFSET($H$3,0,0,'Données projet'!$E$10+1,1))</f>
        <v>442.79037205372367</v>
      </c>
      <c r="AO68" s="59">
        <f t="shared" si="36"/>
        <v>288.23553637727969</v>
      </c>
      <c r="AP68" s="15">
        <f>IF(ISNA(VLOOKUP(A68,'Données projet'!$A$61:$I$81,3,0)),0,VLOOKUP(A68,'Données projet'!$A$61:$I$81,3,0))</f>
        <v>6</v>
      </c>
      <c r="AQ68" s="15">
        <f>IF(ISNA(VLOOKUP(A68,'Données projet'!$A$61:$I$81,4,0)),0,VLOOKUP(A68,'Données projet'!$A$61:$I$81,4,0))</f>
        <v>56.629999999999995</v>
      </c>
      <c r="AR68" s="16">
        <f>IF(ISNA(VLOOKUP(A68,'Données projet'!$A$61:$I$81,5,0)),0%,VLOOKUP(A68,'Données projet'!$A$61:$I$81,5,0)*VLOOKUP('Données projet'!$B$10,Paramètres!$A$1:$I$89,7,0))</f>
        <v>0.15049999999999999</v>
      </c>
      <c r="AS68" s="16">
        <f>IF(ISNA(VLOOKUP(A68,'Données projet'!$A$61:$I$81,6,0)),0%,VLOOKUP(A68,'Données projet'!$A$61:$I$81,6,0)*VLOOKUP('Données projet'!$B$10,Paramètres!$A$1:$I$89,7,0))</f>
        <v>8.6000000000000007E-2</v>
      </c>
      <c r="AT68" s="16">
        <f>IF(ISNA(VLOOKUP(A68,'Données projet'!$A$61:$I$81,7,0)),0%,VLOOKUP(A68,'Données projet'!$A$61:$I$81,7,0))</f>
        <v>0.1</v>
      </c>
      <c r="AU68" s="21">
        <f>EXP(-LN(2)/35)*AU67+(1-EXP(-LN(2)/35))/(LN(2)/35)*AQ68*AR68*VLOOKUP('Données projet'!$B$10,Paramètres!$A$1:$I$89,3,0)*0.475*44/12</f>
        <v>25.626764438250071</v>
      </c>
      <c r="AV68" s="21">
        <f>EXP(-LN(2)/25)*AV67+(1-EXP(-LN(2)/25))/(LN(2)/25)*Calculateur!AQ68*Calculateur!AS68*VLOOKUP('Données projet'!$B$10,Paramètres!$A$1:$I$89,3,0)*0.475*44/12</f>
        <v>28.196499077310712</v>
      </c>
      <c r="AW68" s="21">
        <f>EXP(-LN(2)/2)*AW67+(1-EXP(-LN(2)/2))/(LN(2)/2)*AQ68*AT68*VLOOKUP('Données projet'!$B$10,Paramètres!$A$1:$I$89,3,0)*0.475*44/12</f>
        <v>4.9182691455040812</v>
      </c>
      <c r="AX68" s="21">
        <f t="shared" ref="AX68:AX131" si="60">SUM(AU68:AW68)</f>
        <v>58.741532661064866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65.431171132648942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6.8933333333333326</v>
      </c>
      <c r="BD68" s="12">
        <f>IF('Données projet'!$A$88&gt;35,BD67+BC68-BL67,IF(A68&lt;'Données projet'!$A$88,$BA$205^A68,IF(A68='Données projet'!$A$88,'Données projet'!$B$88,BD67+BC68-BL67)))</f>
        <v>163.21666666666661</v>
      </c>
      <c r="BE68" s="13">
        <f>BD68*VLOOKUP('Données projet'!$B$11,Paramètres!$A$1:$I$89,3,0)*VLOOKUP('Données projet'!$B$11,Paramètres!$A$1:$I$89,5,0)</f>
        <v>165.50169999999997</v>
      </c>
      <c r="BF68" s="13">
        <f t="shared" si="37"/>
        <v>42.080987019777631</v>
      </c>
      <c r="BG68" s="20">
        <f t="shared" ref="BG68:BG131" si="61">(BE68+BF68)*0.475*44/12</f>
        <v>361.539846559446</v>
      </c>
      <c r="BH68" s="59">
        <f t="shared" ref="BH68:BH131" si="62">BG68+(AY68+AZ68)*44/12</f>
        <v>638.1208073791588</v>
      </c>
      <c r="BI68" s="59">
        <f ca="1">AVERAGE(OFFSET($BH$3,0,0,'Données projet'!$E$11+1,1))-AVERAGE(OFFSET($H$3,0,0,'Données projet'!$E$11+1,1))</f>
        <v>559.91818701710872</v>
      </c>
      <c r="BJ68" s="59">
        <f t="shared" si="38"/>
        <v>273.47272623465915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</v>
      </c>
      <c r="BQ68" s="21">
        <f>EXP(-LN(2)/25)*BQ67+(1-EXP(-LN(2)/25))/(LN(2)/25)*Calculateur!BL68*Calculateur!BN68*VLOOKUP('Données projet'!$B$11,Paramètres!$A$1:$I$89,3,0)*0.475*44/12</f>
        <v>24.365364920769508</v>
      </c>
      <c r="BR68" s="21">
        <f>EXP(-LN(2)/2)*BR67+(1-EXP(-LN(2)/2))/(LN(2)/2)*BL68*BO68*VLOOKUP('Données projet'!$B$11,Paramètres!$A$1:$I$89,3,0)*0.475*44/12</f>
        <v>2.4648813803641101</v>
      </c>
      <c r="BS68" s="22">
        <f t="shared" ref="BS68:BS131" si="63">SUM(BP68:BR68)</f>
        <v>26.83024630113362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65.431171132648942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5.5555555555555554</v>
      </c>
      <c r="BY68" s="12">
        <f>IF('Données projet'!$A$114&gt;35,BY67+BX68-CG67,IF(A68&lt;'Données projet'!$A$114,$BV$205^A68,IF(A68='Données projet'!$A$114,'Données projet'!$B$114,BY67+BX68-CG67)))</f>
        <v>188.03418803418796</v>
      </c>
      <c r="BZ68" s="13">
        <f>BY68*VLOOKUP('Données projet'!$B$12,Paramètres!$A$1:$I$89,3,0)*VLOOKUP('Données projet'!$B$12,Paramètres!$A$1:$I$89,5,0)</f>
        <v>146.66666666666663</v>
      </c>
      <c r="CA68" s="13">
        <f t="shared" si="39"/>
        <v>37.82008574568669</v>
      </c>
      <c r="CB68" s="20">
        <f t="shared" ref="CB68:CB131" si="64">(BZ68+CA68)*0.475*44/12</f>
        <v>321.31442711818204</v>
      </c>
      <c r="CC68" s="59">
        <f t="shared" ref="CC68:CC131" si="65">CB68+(BT68+BU68)*44/12</f>
        <v>597.89538793789484</v>
      </c>
      <c r="CD68" s="59">
        <f ca="1">AVERAGE(OFFSET($CC$3,0,0,'Données projet'!$E$12+1,1))-AVERAGE(OFFSET($H$3,0,0,'Données projet'!$E$12+1,1))</f>
        <v>208.92677786250815</v>
      </c>
      <c r="CE68" s="59">
        <f t="shared" si="40"/>
        <v>207.54290142772214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8.7393413620183544</v>
      </c>
      <c r="CL68" s="21">
        <f>EXP(-LN(2)/25)*CL67+(1-EXP(-LN(2)/25))/(LN(2)/25)*Calculateur!CG68*Calculateur!CI68*VLOOKUP('Données projet'!$B$12,Paramètres!$A$1:$I$89,3,0)*0.475*44/12</f>
        <v>8.6313020163742475</v>
      </c>
      <c r="CM68" s="21">
        <f>EXP(-LN(2)/2)*CM67+(1-EXP(-LN(2)/2))/(LN(2)/2)*CG68*CJ68*VLOOKUP('Données projet'!$B$12,Paramètres!$A$1:$I$89,3,0)*0.475*44/12</f>
        <v>1.0462569105711521</v>
      </c>
      <c r="CN68" s="22">
        <f t="shared" ref="CN68:CN131" si="66">SUM(CK68:CM68)</f>
        <v>18.416900288963753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65.431171132648942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9.7525000000000013</v>
      </c>
      <c r="CT68" s="12">
        <f>IF('Données projet'!$A$140&gt;35,CT67+CS68-DB67,IF(A68&lt;'Données projet'!$A$140,$CQ$205^A68,IF(A68='Données projet'!$A$140,'Données projet'!$B$140,CT67+CS68-DB67)))</f>
        <v>219.55499999999998</v>
      </c>
      <c r="CU68" s="17">
        <f>CT68*VLOOKUP('Données projet'!$B$13,Paramètres!$A$1:$I$89,3,0)*VLOOKUP('Données projet'!$B$13,Paramètres!$A$1:$I$89,5,0)</f>
        <v>208.92853799999997</v>
      </c>
      <c r="CV68" s="13">
        <f t="shared" si="41"/>
        <v>51.701374633508699</v>
      </c>
      <c r="CW68" s="20">
        <f t="shared" ref="CW68:CW131" si="67">(CU68+CV68)*0.475*44/12</f>
        <v>453.93043117002759</v>
      </c>
      <c r="CX68" s="59">
        <f t="shared" ref="CX68:CX131" si="68">CW68+(CO68+CP68)*44/12</f>
        <v>730.51139198974033</v>
      </c>
      <c r="CY68" s="59">
        <f ca="1">AVERAGE(OFFSET($CX$3,0,0,'Données projet'!$E$13+1,1))-AVERAGE(OFFSET($H$3,0,0,'Données projet'!$E$13+1,1))</f>
        <v>470.42022791389275</v>
      </c>
      <c r="CZ68" s="59">
        <f t="shared" si="42"/>
        <v>300.26117330627346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8.0797531252918411</v>
      </c>
      <c r="DG68" s="21">
        <f>EXP(-LN(2)/25)*DG67+(1-EXP(-LN(2)/25))/(LN(2)/25)*Calculateur!DB68*Calculateur!DD68*VLOOKUP('Données projet'!$B$13,Paramètres!$A$1:$I$89,3,0)*0.475*44/12</f>
        <v>13.986077041193017</v>
      </c>
      <c r="DH68" s="21">
        <f>EXP(-LN(2)/2)*DH67+(1-EXP(-LN(2)/2))/(LN(2)/2)*DB68*DE68*VLOOKUP('Données projet'!$B$13,Paramètres!$A$1:$I$89,3,0)*0.475*44/12</f>
        <v>1.2937483077280971</v>
      </c>
      <c r="DI68" s="22">
        <f t="shared" ref="DI68:DI131" si="69">SUM(DF68:DH68)</f>
        <v>23.359578474212956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65.431171132648942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6.8933333333333326</v>
      </c>
      <c r="DO68" s="12">
        <f>IF('Données projet'!$A$166&gt;35,DO67+DN68-DW67,IF(A68&lt;'Données projet'!$A$166,$DL$205^A68,IF(A68='Données projet'!$A$166,'Données projet'!$B$166,DO67+DN68-DW67)))</f>
        <v>163.21666666666661</v>
      </c>
      <c r="DP68" s="17">
        <f>DO68*VLOOKUP('Données projet'!$B$14,Paramètres!$A$1:$I$89,3,0)*VLOOKUP('Données projet'!$B$14,Paramètres!$A$1:$I$89,5,0)</f>
        <v>157.86315999999997</v>
      </c>
      <c r="DQ68" s="13">
        <f t="shared" si="43"/>
        <v>40.360168681268135</v>
      </c>
      <c r="DR68" s="20">
        <f t="shared" ref="DR68:DR131" si="70">(DP68+DQ68)*0.475*44/12</f>
        <v>345.23896411987533</v>
      </c>
      <c r="DS68" s="59">
        <f t="shared" ref="DS68:DS131" si="71">DR68+(DJ68+DK68)*44/12</f>
        <v>621.81992493958819</v>
      </c>
      <c r="DT68" s="59">
        <f ca="1">AVERAGE(OFFSET($DS$3,0,0,'Données projet'!$E$14+1,1))-AVERAGE(OFFSET($H$3,0,0,'Données projet'!$E$14+1,1))</f>
        <v>537.37164071064103</v>
      </c>
      <c r="DU68" s="59">
        <f t="shared" si="44"/>
        <v>263.29777321132235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0</v>
      </c>
      <c r="EB68" s="21">
        <f>EXP(-LN(2)/25)*EB67+(1-EXP(-LN(2)/25))/(LN(2)/25)*Calculateur!DW68*Calculateur!DY68*VLOOKUP('Données projet'!$B$14,Paramètres!$A$1:$I$89,3,0)*0.475*44/12</f>
        <v>7.2627530052293716</v>
      </c>
      <c r="EC68" s="21">
        <f>EXP(-LN(2)/2)*EC67+(1-EXP(-LN(2)/2))/(LN(2)/2)*DW68*DZ68*VLOOKUP('Données projet'!$B$14,Paramètres!$A$1:$I$89,3,0)*0.475*44/12</f>
        <v>2.938897030434132</v>
      </c>
      <c r="ED68" s="22">
        <f t="shared" ref="ED68:ED131" si="72">SUM(EA68:EC68)</f>
        <v>10.201650035663503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65.431171132648942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65.431171132648942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65.431171132648942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65.431171132648942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45">
      <c r="A69" s="10">
        <f t="shared" ref="A69:A132" si="85">A68+1</f>
        <v>66</v>
      </c>
      <c r="B69" s="73">
        <f>'Scénario référence'!$B$16*5+'Scénario référence'!$B$17*0+'Scénario référence'!$B$18*5</f>
        <v>2.8499999999999996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10.449999999999998</v>
      </c>
      <c r="H69" s="67">
        <f t="shared" si="56"/>
        <v>214.86666666666667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65.510430099126353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>
        <f>VLOOKUP(A69,'Données projet'!$A$35:$I$55,2,0)</f>
        <v>388.92</v>
      </c>
      <c r="L69" s="12">
        <f>VLOOKUP(A69,'Données projet'!$A$35:$I$55,9,0)</f>
        <v>13.520000000000003</v>
      </c>
      <c r="M69" s="12">
        <f t="array" ref="M69">INDEX(L:L,MIN(IF(ISNUMBER(L69:L265),ROW(L69:L265),"")))</f>
        <v>13.520000000000003</v>
      </c>
      <c r="N69" s="13">
        <f>IF('Données projet'!$A$36&gt;35,N68+M69-V68,IF(A69&lt;'Données projet'!$A$36,$K$205^A69,IF(A69='Données projet'!$A$36,'Données projet'!$B$36,N68+M69-V68)))</f>
        <v>388.92</v>
      </c>
      <c r="O69" s="13">
        <f>N69*VLOOKUP('Données projet'!$B$9,Paramètres!$A$1:$I$89,3,0)*VLOOKUP('Données projet'!$B$9,Paramètres!$A$1:$I$89,5,0)</f>
        <v>351.89481599999999</v>
      </c>
      <c r="P69" s="13">
        <f t="shared" ref="P69:P132" si="87">EXP(-1.0587+0.8836*LN(O69)+0.284)</f>
        <v>81.952550845391471</v>
      </c>
      <c r="Q69" s="20">
        <f t="shared" si="54"/>
        <v>755.61749725572326</v>
      </c>
      <c r="R69" s="59">
        <f t="shared" si="55"/>
        <v>1032.4890742858533</v>
      </c>
      <c r="S69" s="59">
        <f ca="1">AVERAGE(OFFSET($R$3,0,0,'Données projet'!$E$9+1,1))-AVERAGE(OFFSET($H$3,0,0,'Données projet'!$E$9+1,1))</f>
        <v>719.20816951277925</v>
      </c>
      <c r="T69" s="59">
        <f t="shared" ref="T69:T132" si="88">$T$3</f>
        <v>237.1127421841087</v>
      </c>
      <c r="U69" s="15">
        <f>IF(ISNA(VLOOKUP(A69,'Données projet'!$A$35:$I$55,3,0)),0,VLOOKUP(A69,'Données projet'!$A$35:$I$55,3,0))</f>
        <v>5</v>
      </c>
      <c r="V69" s="15">
        <f>IF(ISNA(VLOOKUP(A69,'Données projet'!$A$35:$I$55,4,0)),0,VLOOKUP(A69,'Données projet'!$A$35:$I$55,4,0))</f>
        <v>76.480000000000018</v>
      </c>
      <c r="W69" s="16">
        <f>IF(ISNA(VLOOKUP(A69,'Données projet'!$A$35:$I$55,5,0)),0%,VLOOKUP(A69,'Données projet'!$A$35:$I$55,5,0)*VLOOKUP('Données projet'!$B$9,Paramètres!$A$1:$I$89,7,0))</f>
        <v>0.15049999999999999</v>
      </c>
      <c r="X69" s="16">
        <f>IF(ISNA(VLOOKUP(A69,'Données projet'!$A$35:$I$55,6,0)),0%,VLOOKUP(A69,'Données projet'!$A$35:$I$55,6,0)*VLOOKUP('Données projet'!$B$9,Paramètres!$A$1:$I$89,7,0))</f>
        <v>8.6000000000000007E-2</v>
      </c>
      <c r="Y69" s="16">
        <f>IF(ISNA(VLOOKUP(A69,'Données projet'!$A$35:$I$55,7,0)),0%,VLOOKUP(A69,'Données projet'!$A$35:$I$55,7,0))</f>
        <v>0.1</v>
      </c>
      <c r="Z69" s="21">
        <f>EXP(-LN(2)/35)*Z68+(1-EXP(-LN(2)/35))/(LN(2)/35)*V69*W69*VLOOKUP('Données projet'!$B$9,Paramètres!$A$1:$I$89,3,0)*0.475*44/12</f>
        <v>19.969315972517677</v>
      </c>
      <c r="AA69" s="21">
        <f>EXP(-LN(2)/25)*AA68+(1-EXP(-LN(2)/25))/(LN(2)/25)*Calculateur!V69*Calculateur!X69*VLOOKUP('Données projet'!$B$9,Paramètres!$A$1:$I$89,3,0)*0.475*44/12</f>
        <v>42.039006869624131</v>
      </c>
      <c r="AB69" s="21">
        <f>EXP(-LN(2)/2)*AB68+(1-EXP(-LN(2)/2))/(LN(2)/2)*V69*Y69*VLOOKUP('Données projet'!$B$9,Paramètres!$A$1:$I$89,3,0)*0.475*44/12</f>
        <v>6.9300050567802831</v>
      </c>
      <c r="AC69" s="22">
        <f t="shared" si="57"/>
        <v>68.938327898922097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65.510430099126353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13.374285714285715</v>
      </c>
      <c r="AI69" s="13">
        <f>IF('Données projet'!$A$62&gt;35,AI68+AH69-AQ68,IF(A69&lt;'Données projet'!$A$62,$AF$205^A69,IF(A69='Données projet'!$A$62,'Données projet'!$B$62,AI68+AH69-AQ68)))</f>
        <v>304.77428571428555</v>
      </c>
      <c r="AJ69" s="13">
        <f>AI69*VLOOKUP('Données projet'!$B$10,Paramètres!$A$1:$I$89,3,0)*VLOOKUP('Données projet'!$B$10,Paramètres!$A$1:$I$89,5,0)</f>
        <v>256.74185828571416</v>
      </c>
      <c r="AK69" s="13">
        <f t="shared" ref="AK69:AK132" si="89">EXP(-1.0587+0.8836*LN(AJ69)+0.284)</f>
        <v>62.027364911831434</v>
      </c>
      <c r="AL69" s="20">
        <f t="shared" si="58"/>
        <v>555.18973040239189</v>
      </c>
      <c r="AM69" s="59">
        <f t="shared" si="59"/>
        <v>832.06130743252186</v>
      </c>
      <c r="AN69" s="59">
        <f ca="1">AVERAGE(OFFSET($AM$3,0,0,'Données projet'!$E$10+1,1))-AVERAGE(OFFSET($H$3,0,0,'Données projet'!$E$10+1,1))</f>
        <v>442.79037205372367</v>
      </c>
      <c r="AO69" s="59">
        <f t="shared" ref="AO69:AO132" si="90">$AO$3</f>
        <v>288.23553637727969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25.124239218398884</v>
      </c>
      <c r="AV69" s="21">
        <f>EXP(-LN(2)/25)*AV68+(1-EXP(-LN(2)/25))/(LN(2)/25)*Calculateur!AQ69*Calculateur!AS69*VLOOKUP('Données projet'!$B$10,Paramètres!$A$1:$I$89,3,0)*0.475*44/12</f>
        <v>27.425464327252207</v>
      </c>
      <c r="AW69" s="21">
        <f>EXP(-LN(2)/2)*AW68+(1-EXP(-LN(2)/2))/(LN(2)/2)*AQ69*AT69*VLOOKUP('Données projet'!$B$10,Paramètres!$A$1:$I$89,3,0)*0.475*44/12</f>
        <v>3.4777414644865026</v>
      </c>
      <c r="AX69" s="21">
        <f t="shared" si="60"/>
        <v>56.027445010137598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65.510430099126353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6.8933333333333326</v>
      </c>
      <c r="BD69" s="12">
        <f>IF('Données projet'!$A$88&gt;35,BD68+BC69-BL68,IF(A69&lt;'Données projet'!$A$88,$BA$205^A69,IF(A69='Données projet'!$A$88,'Données projet'!$B$88,BD68+BC69-BL68)))</f>
        <v>170.10999999999996</v>
      </c>
      <c r="BE69" s="13">
        <f>BD69*VLOOKUP('Données projet'!$B$11,Paramètres!$A$1:$I$89,3,0)*VLOOKUP('Données projet'!$B$11,Paramètres!$A$1:$I$89,5,0)</f>
        <v>172.49153999999996</v>
      </c>
      <c r="BF69" s="13">
        <f t="shared" ref="BF69:BF132" si="91">EXP(-1.0587+0.8836*LN(BE69)+0.284)</f>
        <v>43.64757225366332</v>
      </c>
      <c r="BG69" s="20">
        <f t="shared" si="61"/>
        <v>376.44228717513016</v>
      </c>
      <c r="BH69" s="59">
        <f t="shared" si="62"/>
        <v>653.31386420526019</v>
      </c>
      <c r="BI69" s="59">
        <f ca="1">AVERAGE(OFFSET($BH$3,0,0,'Données projet'!$E$11+1,1))-AVERAGE(OFFSET($H$3,0,0,'Données projet'!$E$11+1,1))</f>
        <v>559.91818701710872</v>
      </c>
      <c r="BJ69" s="59">
        <f t="shared" ref="BJ69:BJ132" si="92">$BJ$3</f>
        <v>273.47272623465915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0</v>
      </c>
      <c r="BQ69" s="21">
        <f>EXP(-LN(2)/25)*BQ68+(1-EXP(-LN(2)/25))/(LN(2)/25)*Calculateur!BL69*Calculateur!BN69*VLOOKUP('Données projet'!$B$11,Paramètres!$A$1:$I$89,3,0)*0.475*44/12</f>
        <v>23.699092735692211</v>
      </c>
      <c r="BR69" s="21">
        <f>EXP(-LN(2)/2)*BR68+(1-EXP(-LN(2)/2))/(LN(2)/2)*BL69*BO69*VLOOKUP('Données projet'!$B$11,Paramètres!$A$1:$I$89,3,0)*0.475*44/12</f>
        <v>1.7429343388759202</v>
      </c>
      <c r="BS69" s="22">
        <f t="shared" si="63"/>
        <v>25.442027074568131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65.510430099126353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5.5555555555555554</v>
      </c>
      <c r="BY69" s="12">
        <f>IF('Données projet'!$A$114&gt;35,BY68+BX69-CG68,IF(A69&lt;'Données projet'!$A$114,$BV$205^A69,IF(A69='Données projet'!$A$114,'Données projet'!$B$114,BY68+BX69-CG68)))</f>
        <v>193.58974358974351</v>
      </c>
      <c r="BZ69" s="13">
        <f>BY69*VLOOKUP('Données projet'!$B$12,Paramètres!$A$1:$I$89,3,0)*VLOOKUP('Données projet'!$B$12,Paramètres!$A$1:$I$89,5,0)</f>
        <v>150.99999999999994</v>
      </c>
      <c r="CA69" s="13">
        <f t="shared" ref="CA69:CA132" si="93">EXP(-1.0587+0.8836*LN(BZ69)+0.284)</f>
        <v>38.805751252807752</v>
      </c>
      <c r="CB69" s="20">
        <f t="shared" si="64"/>
        <v>330.57835009864004</v>
      </c>
      <c r="CC69" s="59">
        <f t="shared" si="65"/>
        <v>607.44992712877001</v>
      </c>
      <c r="CD69" s="59">
        <f ca="1">AVERAGE(OFFSET($CC$3,0,0,'Données projet'!$E$12+1,1))-AVERAGE(OFFSET($H$3,0,0,'Données projet'!$E$12+1,1))</f>
        <v>208.92677786250815</v>
      </c>
      <c r="CE69" s="59">
        <f t="shared" ref="CE69:CE132" si="94">$CE$3</f>
        <v>207.54290142772214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8.5679682083810658</v>
      </c>
      <c r="CL69" s="21">
        <f>EXP(-LN(2)/25)*CL68+(1-EXP(-LN(2)/25))/(LN(2)/25)*Calculateur!CG69*Calculateur!CI69*VLOOKUP('Données projet'!$B$12,Paramètres!$A$1:$I$89,3,0)*0.475*44/12</f>
        <v>8.3952786088360476</v>
      </c>
      <c r="CM69" s="21">
        <f>EXP(-LN(2)/2)*CM68+(1-EXP(-LN(2)/2))/(LN(2)/2)*CG69*CJ69*VLOOKUP('Données projet'!$B$12,Paramètres!$A$1:$I$89,3,0)*0.475*44/12</f>
        <v>0.73981535632814888</v>
      </c>
      <c r="CN69" s="22">
        <f t="shared" si="66"/>
        <v>17.703062173545259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65.510430099126353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9.7525000000000013</v>
      </c>
      <c r="CT69" s="12">
        <f>IF('Données projet'!$A$140&gt;35,CT68+CS69-DB68,IF(A69&lt;'Données projet'!$A$140,$CQ$205^A69,IF(A69='Données projet'!$A$140,'Données projet'!$B$140,CT68+CS69-DB68)))</f>
        <v>229.30749999999998</v>
      </c>
      <c r="CU69" s="17">
        <f>CT69*VLOOKUP('Données projet'!$B$13,Paramètres!$A$1:$I$89,3,0)*VLOOKUP('Données projet'!$B$13,Paramètres!$A$1:$I$89,5,0)</f>
        <v>218.20901699999999</v>
      </c>
      <c r="CV69" s="13">
        <f t="shared" ref="CV69:CV132" si="95">EXP(-1.0587+0.8836*LN(CU69)+0.284)</f>
        <v>53.725439422688339</v>
      </c>
      <c r="CW69" s="20">
        <f t="shared" si="67"/>
        <v>473.61917826951543</v>
      </c>
      <c r="CX69" s="59">
        <f t="shared" si="68"/>
        <v>750.49075529964534</v>
      </c>
      <c r="CY69" s="59">
        <f ca="1">AVERAGE(OFFSET($CX$3,0,0,'Données projet'!$E$13+1,1))-AVERAGE(OFFSET($H$3,0,0,'Données projet'!$E$13+1,1))</f>
        <v>470.42022791389275</v>
      </c>
      <c r="CZ69" s="59">
        <f t="shared" ref="CZ69:CZ132" si="96">$CZ$3</f>
        <v>300.26117330627346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7.9213140946676592</v>
      </c>
      <c r="DG69" s="21">
        <f>EXP(-LN(2)/25)*DG68+(1-EXP(-LN(2)/25))/(LN(2)/25)*Calculateur!DB69*Calculateur!DD69*VLOOKUP('Données projet'!$B$13,Paramètres!$A$1:$I$89,3,0)*0.475*44/12</f>
        <v>13.603627029005768</v>
      </c>
      <c r="DH69" s="21">
        <f>EXP(-LN(2)/2)*DH68+(1-EXP(-LN(2)/2))/(LN(2)/2)*DB69*DE69*VLOOKUP('Données projet'!$B$13,Paramètres!$A$1:$I$89,3,0)*0.475*44/12</f>
        <v>0.91481820154315774</v>
      </c>
      <c r="DI69" s="22">
        <f t="shared" si="69"/>
        <v>22.439759325216588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65.510430099126353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6.8933333333333326</v>
      </c>
      <c r="DO69" s="12">
        <f>IF('Données projet'!$A$166&gt;35,DO68+DN69-DW68,IF(A69&lt;'Données projet'!$A$166,$DL$205^A69,IF(A69='Données projet'!$A$166,'Données projet'!$B$166,DO68+DN69-DW68)))</f>
        <v>170.10999999999996</v>
      </c>
      <c r="DP69" s="17">
        <f>DO69*VLOOKUP('Données projet'!$B$14,Paramètres!$A$1:$I$89,3,0)*VLOOKUP('Données projet'!$B$14,Paramètres!$A$1:$I$89,5,0)</f>
        <v>164.53039199999995</v>
      </c>
      <c r="DQ69" s="13">
        <f t="shared" ref="DQ69:DQ132" si="97">EXP(-1.0587+0.8836*LN(DP69)+0.284)</f>
        <v>41.862691525218828</v>
      </c>
      <c r="DR69" s="20">
        <f t="shared" si="70"/>
        <v>359.46795380642266</v>
      </c>
      <c r="DS69" s="59">
        <f t="shared" si="71"/>
        <v>636.33953083655263</v>
      </c>
      <c r="DT69" s="59">
        <f ca="1">AVERAGE(OFFSET($DS$3,0,0,'Données projet'!$E$14+1,1))-AVERAGE(OFFSET($H$3,0,0,'Données projet'!$E$14+1,1))</f>
        <v>537.37164071064103</v>
      </c>
      <c r="DU69" s="59">
        <f t="shared" ref="DU69:DU132" si="98">$DU$3</f>
        <v>263.29777321132235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0</v>
      </c>
      <c r="EB69" s="21">
        <f>EXP(-LN(2)/25)*EB68+(1-EXP(-LN(2)/25))/(LN(2)/25)*Calculateur!DW69*Calculateur!DY69*VLOOKUP('Données projet'!$B$14,Paramètres!$A$1:$I$89,3,0)*0.475*44/12</f>
        <v>7.0641526423697929</v>
      </c>
      <c r="EC69" s="21">
        <f>EXP(-LN(2)/2)*EC68+(1-EXP(-LN(2)/2))/(LN(2)/2)*DW69*DZ69*VLOOKUP('Données projet'!$B$14,Paramètres!$A$1:$I$89,3,0)*0.475*44/12</f>
        <v>2.0781140194289822</v>
      </c>
      <c r="ED69" s="22">
        <f t="shared" si="72"/>
        <v>9.1422666617987751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65.510430099126353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65.510430099126353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65.510430099126353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65.510430099126353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45">
      <c r="A70" s="10">
        <f t="shared" si="85"/>
        <v>67</v>
      </c>
      <c r="B70" s="73">
        <f>'Scénario référence'!$B$16*5+'Scénario référence'!$B$17*0+'Scénario référence'!$B$18*5</f>
        <v>2.8499999999999996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10.449999999999998</v>
      </c>
      <c r="H70" s="67">
        <f t="shared" si="56"/>
        <v>214.86666666666667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65.588314099731889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12.795000000000002</v>
      </c>
      <c r="N70" s="13">
        <f>IF('Données projet'!$A$36&gt;35,N69+M70-V69,IF(A70&lt;'Données projet'!$A$36,$K$205^A70,IF(A70='Données projet'!$A$36,'Données projet'!$B$36,N69+M70-V69)))</f>
        <v>325.23500000000001</v>
      </c>
      <c r="O70" s="13">
        <f>N70*VLOOKUP('Données projet'!$B$9,Paramètres!$A$1:$I$89,3,0)*VLOOKUP('Données projet'!$B$9,Paramètres!$A$1:$I$89,5,0)</f>
        <v>294.272628</v>
      </c>
      <c r="P70" s="13">
        <f t="shared" si="87"/>
        <v>69.974442654220198</v>
      </c>
      <c r="Q70" s="20">
        <f t="shared" si="54"/>
        <v>634.39698138943356</v>
      </c>
      <c r="R70" s="59">
        <f t="shared" si="55"/>
        <v>911.5541330884505</v>
      </c>
      <c r="S70" s="59">
        <f ca="1">AVERAGE(OFFSET($R$3,0,0,'Données projet'!$E$9+1,1))-AVERAGE(OFFSET($H$3,0,0,'Données projet'!$E$9+1,1))</f>
        <v>719.20816951277925</v>
      </c>
      <c r="T70" s="59">
        <f t="shared" si="88"/>
        <v>237.1127421841087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19.577729866376664</v>
      </c>
      <c r="AA70" s="21">
        <f>EXP(-LN(2)/25)*AA69+(1-EXP(-LN(2)/25))/(LN(2)/25)*Calculateur!V70*Calculateur!X70*VLOOKUP('Données projet'!$B$9,Paramètres!$A$1:$I$89,3,0)*0.475*44/12</f>
        <v>40.889448016038969</v>
      </c>
      <c r="AB70" s="21">
        <f>EXP(-LN(2)/2)*AB69+(1-EXP(-LN(2)/2))/(LN(2)/2)*V70*Y70*VLOOKUP('Données projet'!$B$9,Paramètres!$A$1:$I$89,3,0)*0.475*44/12</f>
        <v>4.900253569306404</v>
      </c>
      <c r="AC70" s="22">
        <f t="shared" si="57"/>
        <v>65.367431451722041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65.588314099731889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13.374285714285715</v>
      </c>
      <c r="AI70" s="13">
        <f>IF('Données projet'!$A$62&gt;35,AI69+AH70-AQ69,IF(A70&lt;'Données projet'!$A$62,$AF$205^A70,IF(A70='Données projet'!$A$62,'Données projet'!$B$62,AI69+AH70-AQ69)))</f>
        <v>318.14857142857124</v>
      </c>
      <c r="AJ70" s="13">
        <f>AI70*VLOOKUP('Données projet'!$B$10,Paramètres!$A$1:$I$89,3,0)*VLOOKUP('Données projet'!$B$10,Paramètres!$A$1:$I$89,5,0)</f>
        <v>268.00835657142841</v>
      </c>
      <c r="AK70" s="13">
        <f t="shared" si="89"/>
        <v>64.426410327143714</v>
      </c>
      <c r="AL70" s="20">
        <f t="shared" si="58"/>
        <v>578.99055234834634</v>
      </c>
      <c r="AM70" s="59">
        <f t="shared" si="59"/>
        <v>856.14770404736328</v>
      </c>
      <c r="AN70" s="59">
        <f ca="1">AVERAGE(OFFSET($AM$3,0,0,'Données projet'!$E$10+1,1))-AVERAGE(OFFSET($H$3,0,0,'Données projet'!$E$10+1,1))</f>
        <v>442.79037205372367</v>
      </c>
      <c r="AO70" s="59">
        <f t="shared" si="90"/>
        <v>288.23553637727969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24.631568211598857</v>
      </c>
      <c r="AV70" s="21">
        <f>EXP(-LN(2)/25)*AV69+(1-EXP(-LN(2)/25))/(LN(2)/25)*Calculateur!AQ70*Calculateur!AS70*VLOOKUP('Données projet'!$B$10,Paramètres!$A$1:$I$89,3,0)*0.475*44/12</f>
        <v>26.67551356298101</v>
      </c>
      <c r="AW70" s="21">
        <f>EXP(-LN(2)/2)*AW69+(1-EXP(-LN(2)/2))/(LN(2)/2)*AQ70*AT70*VLOOKUP('Données projet'!$B$10,Paramètres!$A$1:$I$89,3,0)*0.475*44/12</f>
        <v>2.4591345727520411</v>
      </c>
      <c r="AX70" s="21">
        <f t="shared" si="60"/>
        <v>53.766216347331913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65.588314099731889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6.8933333333333326</v>
      </c>
      <c r="BD70" s="12">
        <f>IF('Données projet'!$A$88&gt;35,BD69+BC70-BL69,IF(A70&lt;'Données projet'!$A$88,$BA$205^A70,IF(A70='Données projet'!$A$88,'Données projet'!$B$88,BD69+BC70-BL69)))</f>
        <v>177.0033333333333</v>
      </c>
      <c r="BE70" s="13">
        <f>BD70*VLOOKUP('Données projet'!$B$11,Paramètres!$A$1:$I$89,3,0)*VLOOKUP('Données projet'!$B$11,Paramètres!$A$1:$I$89,5,0)</f>
        <v>179.48137999999997</v>
      </c>
      <c r="BF70" s="13">
        <f t="shared" si="91"/>
        <v>45.20678340248292</v>
      </c>
      <c r="BG70" s="20">
        <f t="shared" si="61"/>
        <v>391.33188459265767</v>
      </c>
      <c r="BH70" s="59">
        <f t="shared" si="62"/>
        <v>668.48903629167467</v>
      </c>
      <c r="BI70" s="59">
        <f ca="1">AVERAGE(OFFSET($BH$3,0,0,'Données projet'!$E$11+1,1))-AVERAGE(OFFSET($H$3,0,0,'Données projet'!$E$11+1,1))</f>
        <v>559.91818701710872</v>
      </c>
      <c r="BJ70" s="59">
        <f t="shared" si="92"/>
        <v>273.47272623465915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0</v>
      </c>
      <c r="BQ70" s="21">
        <f>EXP(-LN(2)/25)*BQ69+(1-EXP(-LN(2)/25))/(LN(2)/25)*Calculateur!BL70*Calculateur!BN70*VLOOKUP('Données projet'!$B$11,Paramètres!$A$1:$I$89,3,0)*0.475*44/12</f>
        <v>23.051039798553585</v>
      </c>
      <c r="BR70" s="21">
        <f>EXP(-LN(2)/2)*BR69+(1-EXP(-LN(2)/2))/(LN(2)/2)*BL70*BO70*VLOOKUP('Données projet'!$B$11,Paramètres!$A$1:$I$89,3,0)*0.475*44/12</f>
        <v>1.2324406901820553</v>
      </c>
      <c r="BS70" s="22">
        <f t="shared" si="63"/>
        <v>24.283480488735641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65.588314099731889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5.5555555555555554</v>
      </c>
      <c r="BY70" s="12">
        <f>IF('Données projet'!$A$114&gt;35,BY69+BX70-CG69,IF(A70&lt;'Données projet'!$A$114,$BV$205^A70,IF(A70='Données projet'!$A$114,'Données projet'!$B$114,BY69+BX70-CG69)))</f>
        <v>199.14529914529905</v>
      </c>
      <c r="BZ70" s="13">
        <f>BY70*VLOOKUP('Données projet'!$B$12,Paramètres!$A$1:$I$89,3,0)*VLOOKUP('Données projet'!$B$12,Paramètres!$A$1:$I$89,5,0)</f>
        <v>155.33333333333326</v>
      </c>
      <c r="CA70" s="13">
        <f t="shared" si="93"/>
        <v>39.788129261718112</v>
      </c>
      <c r="CB70" s="20">
        <f t="shared" si="64"/>
        <v>339.83654735304776</v>
      </c>
      <c r="CC70" s="59">
        <f t="shared" si="65"/>
        <v>616.9936990520647</v>
      </c>
      <c r="CD70" s="59">
        <f ca="1">AVERAGE(OFFSET($CC$3,0,0,'Données projet'!$E$12+1,1))-AVERAGE(OFFSET($H$3,0,0,'Données projet'!$E$12+1,1))</f>
        <v>208.92677786250815</v>
      </c>
      <c r="CE70" s="59">
        <f t="shared" si="94"/>
        <v>207.54290142772214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8.3999555777593002</v>
      </c>
      <c r="CL70" s="21">
        <f>EXP(-LN(2)/25)*CL69+(1-EXP(-LN(2)/25))/(LN(2)/25)*Calculateur!CG70*Calculateur!CI70*VLOOKUP('Données projet'!$B$12,Paramètres!$A$1:$I$89,3,0)*0.475*44/12</f>
        <v>8.1657092737889112</v>
      </c>
      <c r="CM70" s="21">
        <f>EXP(-LN(2)/2)*CM69+(1-EXP(-LN(2)/2))/(LN(2)/2)*CG70*CJ70*VLOOKUP('Données projet'!$B$12,Paramètres!$A$1:$I$89,3,0)*0.475*44/12</f>
        <v>0.52312845528557606</v>
      </c>
      <c r="CN70" s="22">
        <f t="shared" si="66"/>
        <v>17.088793306833789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65.588314099731889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>
        <f>VLOOKUP(A70,'Données projet'!$A$139:$I$159,2,0)</f>
        <v>239.06</v>
      </c>
      <c r="CR70" s="12">
        <f>VLOOKUP(A70,'Données projet'!$A$139:$I$159,9,0)</f>
        <v>9.7525000000000013</v>
      </c>
      <c r="CS70" s="12">
        <f t="array" ref="CS70">INDEX(CR:CR,MIN(IF(ISNUMBER(CR70:CR266),ROW(CR70:CR266),"")))</f>
        <v>9.7525000000000013</v>
      </c>
      <c r="CT70" s="12">
        <f>IF('Données projet'!$A$140&gt;35,CT69+CS70-DB69,IF(A70&lt;'Données projet'!$A$140,$CQ$205^A70,IF(A70='Données projet'!$A$140,'Données projet'!$B$140,CT69+CS70-DB69)))</f>
        <v>239.05999999999997</v>
      </c>
      <c r="CU70" s="17">
        <f>CT70*VLOOKUP('Données projet'!$B$13,Paramètres!$A$1:$I$89,3,0)*VLOOKUP('Données projet'!$B$13,Paramètres!$A$1:$I$89,5,0)</f>
        <v>227.48949599999997</v>
      </c>
      <c r="CV70" s="13">
        <f t="shared" si="95"/>
        <v>55.739505620294999</v>
      </c>
      <c r="CW70" s="20">
        <f t="shared" si="67"/>
        <v>493.29051115534702</v>
      </c>
      <c r="CX70" s="59">
        <f t="shared" si="68"/>
        <v>770.4476628543639</v>
      </c>
      <c r="CY70" s="59">
        <f ca="1">AVERAGE(OFFSET($CX$3,0,0,'Données projet'!$E$13+1,1))-AVERAGE(OFFSET($H$3,0,0,'Données projet'!$E$13+1,1))</f>
        <v>470.42022791389275</v>
      </c>
      <c r="CZ70" s="59">
        <f t="shared" si="96"/>
        <v>300.26117330627346</v>
      </c>
      <c r="DA70" s="15">
        <f>IF(ISNA(VLOOKUP(A70,'Données projet'!$A$139:$I$159,3,0)),0,VLOOKUP(A70,'Données projet'!$A$139:$I$159,3,0))</f>
        <v>5</v>
      </c>
      <c r="DB70" s="15">
        <f>IF(ISNA(VLOOKUP(A70,'Données projet'!$A$139:$I$159,4,0)),0,VLOOKUP(A70,'Données projet'!$A$139:$I$159,4,0))</f>
        <v>42.550000000000011</v>
      </c>
      <c r="DC70" s="16">
        <f>IF(ISNA(VLOOKUP(A70,'Données projet'!$A$139:$I$159,5,0)),0%,VLOOKUP(A70,'Données projet'!$A$139:$I$159,5,0)*VLOOKUP('Données projet'!$B$13,Paramètres!$A$1:$I$89,7,0))</f>
        <v>0.1075</v>
      </c>
      <c r="DD70" s="16">
        <f>IF(ISNA(VLOOKUP(A70,'Données projet'!$A$139:$I$159,6,0)),0%,VLOOKUP(A70,'Données projet'!$A$139:$I$159,6,0)*VLOOKUP('Données projet'!$B$13,Paramètres!$A$1:$I$89,7,0))</f>
        <v>0.1075</v>
      </c>
      <c r="DE70" s="16">
        <f>IF(ISNA(VLOOKUP(A70,'Données projet'!$A$139:$I$159,7,0)),0%,VLOOKUP(A70,'Données projet'!$A$139:$I$159,7,0))</f>
        <v>0.25</v>
      </c>
      <c r="DF70" s="21">
        <f>EXP(-LN(2)/35)*DF69+(1-EXP(-LN(2)/35))/(LN(2)/35)*DB70*DC70*VLOOKUP('Données projet'!$B$13,Paramètres!$A$1:$I$89,3,0)*0.475*44/12</f>
        <v>12.5778041671075</v>
      </c>
      <c r="DG70" s="21">
        <f>EXP(-LN(2)/25)*DG69+(1-EXP(-LN(2)/25))/(LN(2)/25)*Calculateur!DB70*Calculateur!DD70*VLOOKUP('Données projet'!$B$13,Paramètres!$A$1:$I$89,3,0)*0.475*44/12</f>
        <v>18.024511365335702</v>
      </c>
      <c r="DH70" s="21">
        <f>EXP(-LN(2)/2)*DH69+(1-EXP(-LN(2)/2))/(LN(2)/2)*DB70*DE70*VLOOKUP('Données projet'!$B$13,Paramètres!$A$1:$I$89,3,0)*0.475*44/12</f>
        <v>10.197862158359712</v>
      </c>
      <c r="DI70" s="22">
        <f t="shared" si="69"/>
        <v>40.800177690802911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65.588314099731889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6.8933333333333326</v>
      </c>
      <c r="DO70" s="12">
        <f>IF('Données projet'!$A$166&gt;35,DO69+DN70-DW69,IF(A70&lt;'Données projet'!$A$166,$DL$205^A70,IF(A70='Données projet'!$A$166,'Données projet'!$B$166,DO69+DN70-DW69)))</f>
        <v>177.0033333333333</v>
      </c>
      <c r="DP70" s="17">
        <f>DO70*VLOOKUP('Données projet'!$B$14,Paramètres!$A$1:$I$89,3,0)*VLOOKUP('Données projet'!$B$14,Paramètres!$A$1:$I$89,5,0)</f>
        <v>171.19762399999996</v>
      </c>
      <c r="DQ70" s="13">
        <f t="shared" si="97"/>
        <v>43.358141832658021</v>
      </c>
      <c r="DR70" s="20">
        <f t="shared" si="70"/>
        <v>373.68462549187933</v>
      </c>
      <c r="DS70" s="59">
        <f t="shared" si="71"/>
        <v>650.84177719089621</v>
      </c>
      <c r="DT70" s="59">
        <f ca="1">AVERAGE(OFFSET($DS$3,0,0,'Données projet'!$E$14+1,1))-AVERAGE(OFFSET($H$3,0,0,'Données projet'!$E$14+1,1))</f>
        <v>537.37164071064103</v>
      </c>
      <c r="DU70" s="59">
        <f t="shared" si="98"/>
        <v>263.29777321132235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0</v>
      </c>
      <c r="EB70" s="21">
        <f>EXP(-LN(2)/25)*EB69+(1-EXP(-LN(2)/25))/(LN(2)/25)*Calculateur!DW70*Calculateur!DY70*VLOOKUP('Données projet'!$B$14,Paramètres!$A$1:$I$89,3,0)*0.475*44/12</f>
        <v>6.8709830168765489</v>
      </c>
      <c r="EC70" s="21">
        <f>EXP(-LN(2)/2)*EC69+(1-EXP(-LN(2)/2))/(LN(2)/2)*DW70*DZ70*VLOOKUP('Données projet'!$B$14,Paramètres!$A$1:$I$89,3,0)*0.475*44/12</f>
        <v>1.4694485152170662</v>
      </c>
      <c r="ED70" s="22">
        <f t="shared" si="72"/>
        <v>8.3404315320936142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65.588314099731889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65.588314099731889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65.588314099731889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65.588314099731889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45">
      <c r="A71" s="10">
        <f t="shared" si="85"/>
        <v>68</v>
      </c>
      <c r="B71" s="73">
        <f>'Scénario référence'!$B$16*5+'Scénario référence'!$B$17*0+'Scénario référence'!$B$18*5</f>
        <v>2.8499999999999996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10.449999999999998</v>
      </c>
      <c r="H71" s="67">
        <f t="shared" si="56"/>
        <v>214.86666666666667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65.664846987049458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12.795000000000002</v>
      </c>
      <c r="N71" s="13">
        <f>IF('Données projet'!$A$36&gt;35,N70+M71-V70,IF(A71&lt;'Données projet'!$A$36,$K$205^A71,IF(A71='Données projet'!$A$36,'Données projet'!$B$36,N70+M71-V70)))</f>
        <v>338.03000000000003</v>
      </c>
      <c r="O71" s="13">
        <f>N71*VLOOKUP('Données projet'!$B$9,Paramètres!$A$1:$I$89,3,0)*VLOOKUP('Données projet'!$B$9,Paramètres!$A$1:$I$89,5,0)</f>
        <v>305.84954400000004</v>
      </c>
      <c r="P71" s="13">
        <f t="shared" si="87"/>
        <v>72.401370969152978</v>
      </c>
      <c r="Q71" s="20">
        <f t="shared" si="54"/>
        <v>658.78701023794144</v>
      </c>
      <c r="R71" s="59">
        <f t="shared" si="55"/>
        <v>936.22478252378937</v>
      </c>
      <c r="S71" s="59">
        <f ca="1">AVERAGE(OFFSET($R$3,0,0,'Données projet'!$E$9+1,1))-AVERAGE(OFFSET($H$3,0,0,'Données projet'!$E$9+1,1))</f>
        <v>719.20816951277925</v>
      </c>
      <c r="T71" s="59">
        <f t="shared" si="88"/>
        <v>237.1127421841087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19.193822524933136</v>
      </c>
      <c r="AA71" s="21">
        <f>EXP(-LN(2)/25)*AA70+(1-EXP(-LN(2)/25))/(LN(2)/25)*Calculateur!V71*Calculateur!X71*VLOOKUP('Données projet'!$B$9,Paramètres!$A$1:$I$89,3,0)*0.475*44/12</f>
        <v>39.771323909757768</v>
      </c>
      <c r="AB71" s="21">
        <f>EXP(-LN(2)/2)*AB70+(1-EXP(-LN(2)/2))/(LN(2)/2)*V71*Y71*VLOOKUP('Données projet'!$B$9,Paramètres!$A$1:$I$89,3,0)*0.475*44/12</f>
        <v>3.465002528390142</v>
      </c>
      <c r="AC71" s="22">
        <f t="shared" si="57"/>
        <v>62.430148963081052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65.664846987049458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13.374285714285715</v>
      </c>
      <c r="AI71" s="13">
        <f>IF('Données projet'!$A$62&gt;35,AI70+AH71-AQ70,IF(A71&lt;'Données projet'!$A$62,$AF$205^A71,IF(A71='Données projet'!$A$62,'Données projet'!$B$62,AI70+AH71-AQ70)))</f>
        <v>331.52285714285694</v>
      </c>
      <c r="AJ71" s="13">
        <f>AI71*VLOOKUP('Données projet'!$B$10,Paramètres!$A$1:$I$89,3,0)*VLOOKUP('Données projet'!$B$10,Paramètres!$A$1:$I$89,5,0)</f>
        <v>279.27485485714271</v>
      </c>
      <c r="AK71" s="13">
        <f t="shared" si="89"/>
        <v>66.813741746726478</v>
      </c>
      <c r="AL71" s="20">
        <f t="shared" si="58"/>
        <v>602.77097241840545</v>
      </c>
      <c r="AM71" s="59">
        <f t="shared" si="59"/>
        <v>880.20874470425338</v>
      </c>
      <c r="AN71" s="59">
        <f ca="1">AVERAGE(OFFSET($AM$3,0,0,'Données projet'!$E$10+1,1))-AVERAGE(OFFSET($H$3,0,0,'Données projet'!$E$10+1,1))</f>
        <v>442.79037205372367</v>
      </c>
      <c r="AO71" s="59">
        <f t="shared" si="90"/>
        <v>288.23553637727969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24.148558182742537</v>
      </c>
      <c r="AV71" s="21">
        <f>EXP(-LN(2)/25)*AV70+(1-EXP(-LN(2)/25))/(LN(2)/25)*Calculateur!AQ71*Calculateur!AS71*VLOOKUP('Données projet'!$B$10,Paramètres!$A$1:$I$89,3,0)*0.475*44/12</f>
        <v>25.946070241797003</v>
      </c>
      <c r="AW71" s="21">
        <f>EXP(-LN(2)/2)*AW70+(1-EXP(-LN(2)/2))/(LN(2)/2)*AQ71*AT71*VLOOKUP('Données projet'!$B$10,Paramètres!$A$1:$I$89,3,0)*0.475*44/12</f>
        <v>1.7388707322432517</v>
      </c>
      <c r="AX71" s="21">
        <f t="shared" si="60"/>
        <v>51.833499156782786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65.664846987049458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6.8933333333333326</v>
      </c>
      <c r="BD71" s="12">
        <f>IF('Données projet'!$A$88&gt;35,BD70+BC71-BL70,IF(A71&lt;'Données projet'!$A$88,$BA$205^A71,IF(A71='Données projet'!$A$88,'Données projet'!$B$88,BD70+BC71-BL70)))</f>
        <v>183.89666666666665</v>
      </c>
      <c r="BE71" s="13">
        <f>BD71*VLOOKUP('Données projet'!$B$11,Paramètres!$A$1:$I$89,3,0)*VLOOKUP('Données projet'!$B$11,Paramètres!$A$1:$I$89,5,0)</f>
        <v>186.47121999999999</v>
      </c>
      <c r="BF71" s="13">
        <f t="shared" si="91"/>
        <v>46.758940514498235</v>
      </c>
      <c r="BG71" s="20">
        <f t="shared" si="61"/>
        <v>406.20919622941773</v>
      </c>
      <c r="BH71" s="59">
        <f t="shared" si="62"/>
        <v>683.64696851526571</v>
      </c>
      <c r="BI71" s="59">
        <f ca="1">AVERAGE(OFFSET($BH$3,0,0,'Données projet'!$E$11+1,1))-AVERAGE(OFFSET($H$3,0,0,'Données projet'!$E$11+1,1))</f>
        <v>559.91818701710872</v>
      </c>
      <c r="BJ71" s="59">
        <f t="shared" si="92"/>
        <v>273.47272623465915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0</v>
      </c>
      <c r="BQ71" s="21">
        <f>EXP(-LN(2)/25)*BQ70+(1-EXP(-LN(2)/25))/(LN(2)/25)*Calculateur!BL71*Calculateur!BN71*VLOOKUP('Données projet'!$B$11,Paramètres!$A$1:$I$89,3,0)*0.475*44/12</f>
        <v>22.420707903060638</v>
      </c>
      <c r="BR71" s="21">
        <f>EXP(-LN(2)/2)*BR70+(1-EXP(-LN(2)/2))/(LN(2)/2)*BL71*BO71*VLOOKUP('Données projet'!$B$11,Paramètres!$A$1:$I$89,3,0)*0.475*44/12</f>
        <v>0.87146716943796021</v>
      </c>
      <c r="BS71" s="22">
        <f t="shared" si="63"/>
        <v>23.292175072498598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65.664846987049458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5.5555555555555554</v>
      </c>
      <c r="BY71" s="12">
        <f>IF('Données projet'!$A$114&gt;35,BY70+BX71-CG70,IF(A71&lt;'Données projet'!$A$114,$BV$205^A71,IF(A71='Données projet'!$A$114,'Données projet'!$B$114,BY70+BX71-CG70)))</f>
        <v>204.70085470085459</v>
      </c>
      <c r="BZ71" s="13">
        <f>BY71*VLOOKUP('Données projet'!$B$12,Paramètres!$A$1:$I$89,3,0)*VLOOKUP('Données projet'!$B$12,Paramètres!$A$1:$I$89,5,0)</f>
        <v>159.6666666666666</v>
      </c>
      <c r="CA71" s="13">
        <f t="shared" si="93"/>
        <v>40.767322019750679</v>
      </c>
      <c r="CB71" s="20">
        <f t="shared" si="64"/>
        <v>349.08919696217669</v>
      </c>
      <c r="CC71" s="59">
        <f t="shared" si="65"/>
        <v>626.52696924802467</v>
      </c>
      <c r="CD71" s="59">
        <f ca="1">AVERAGE(OFFSET($CC$3,0,0,'Données projet'!$E$12+1,1))-AVERAGE(OFFSET($H$3,0,0,'Données projet'!$E$12+1,1))</f>
        <v>208.92677786250815</v>
      </c>
      <c r="CE71" s="59">
        <f t="shared" si="94"/>
        <v>207.54290142772214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8.2352375723464419</v>
      </c>
      <c r="CL71" s="21">
        <f>EXP(-LN(2)/25)*CL70+(1-EXP(-LN(2)/25))/(LN(2)/25)*Calculateur!CG71*Calculateur!CI71*VLOOKUP('Données projet'!$B$12,Paramètres!$A$1:$I$89,3,0)*0.475*44/12</f>
        <v>7.9424175242811659</v>
      </c>
      <c r="CM71" s="21">
        <f>EXP(-LN(2)/2)*CM70+(1-EXP(-LN(2)/2))/(LN(2)/2)*CG71*CJ71*VLOOKUP('Données projet'!$B$12,Paramètres!$A$1:$I$89,3,0)*0.475*44/12</f>
        <v>0.36990767816407444</v>
      </c>
      <c r="CN71" s="22">
        <f t="shared" si="66"/>
        <v>16.547562774791682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65.664846987049458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9.65625</v>
      </c>
      <c r="CT71" s="12">
        <f>IF('Données projet'!$A$140&gt;35,CT70+CS71-DB70,IF(A71&lt;'Données projet'!$A$140,$CQ$205^A71,IF(A71='Données projet'!$A$140,'Données projet'!$B$140,CT70+CS71-DB70)))</f>
        <v>206.16624999999996</v>
      </c>
      <c r="CU71" s="17">
        <f>CT71*VLOOKUP('Données projet'!$B$13,Paramètres!$A$1:$I$89,3,0)*VLOOKUP('Données projet'!$B$13,Paramètres!$A$1:$I$89,5,0)</f>
        <v>196.18780349999997</v>
      </c>
      <c r="CV71" s="13">
        <f t="shared" si="95"/>
        <v>48.905426239785484</v>
      </c>
      <c r="CW71" s="20">
        <f t="shared" si="67"/>
        <v>426.87070846345961</v>
      </c>
      <c r="CX71" s="59">
        <f t="shared" si="68"/>
        <v>704.30848074930759</v>
      </c>
      <c r="CY71" s="59">
        <f ca="1">AVERAGE(OFFSET($CX$3,0,0,'Données projet'!$E$13+1,1))-AVERAGE(OFFSET($H$3,0,0,'Données projet'!$E$13+1,1))</f>
        <v>470.42022791389275</v>
      </c>
      <c r="CZ71" s="59">
        <f t="shared" si="96"/>
        <v>300.26117330627346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12.331161099093546</v>
      </c>
      <c r="DG71" s="21">
        <f>EXP(-LN(2)/25)*DG70+(1-EXP(-LN(2)/25))/(LN(2)/25)*Calculateur!DB71*Calculateur!DD71*VLOOKUP('Données projet'!$B$13,Paramètres!$A$1:$I$89,3,0)*0.475*44/12</f>
        <v>17.531630154182739</v>
      </c>
      <c r="DH71" s="21">
        <f>EXP(-LN(2)/2)*DH70+(1-EXP(-LN(2)/2))/(LN(2)/2)*DB71*DE71*VLOOKUP('Données projet'!$B$13,Paramètres!$A$1:$I$89,3,0)*0.475*44/12</f>
        <v>7.2109774857818341</v>
      </c>
      <c r="DI71" s="22">
        <f t="shared" si="69"/>
        <v>37.073768739058117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65.664846987049458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6.8933333333333326</v>
      </c>
      <c r="DO71" s="12">
        <f>IF('Données projet'!$A$166&gt;35,DO70+DN71-DW70,IF(A71&lt;'Données projet'!$A$166,$DL$205^A71,IF(A71='Données projet'!$A$166,'Données projet'!$B$166,DO70+DN71-DW70)))</f>
        <v>183.89666666666665</v>
      </c>
      <c r="DP71" s="17">
        <f>DO71*VLOOKUP('Données projet'!$B$14,Paramètres!$A$1:$I$89,3,0)*VLOOKUP('Données projet'!$B$14,Paramètres!$A$1:$I$89,5,0)</f>
        <v>177.86485599999997</v>
      </c>
      <c r="DQ71" s="13">
        <f t="shared" si="97"/>
        <v>44.846826564109918</v>
      </c>
      <c r="DR71" s="20">
        <f t="shared" si="70"/>
        <v>387.88951379915807</v>
      </c>
      <c r="DS71" s="59">
        <f t="shared" si="71"/>
        <v>665.32728608500611</v>
      </c>
      <c r="DT71" s="59">
        <f ca="1">AVERAGE(OFFSET($DS$3,0,0,'Données projet'!$E$14+1,1))-AVERAGE(OFFSET($H$3,0,0,'Données projet'!$E$14+1,1))</f>
        <v>537.37164071064103</v>
      </c>
      <c r="DU71" s="59">
        <f t="shared" si="98"/>
        <v>263.29777321132235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0</v>
      </c>
      <c r="EB71" s="21">
        <f>EXP(-LN(2)/25)*EB70+(1-EXP(-LN(2)/25))/(LN(2)/25)*Calculateur!DW71*Calculateur!DY71*VLOOKUP('Données projet'!$B$14,Paramètres!$A$1:$I$89,3,0)*0.475*44/12</f>
        <v>6.6830956249507665</v>
      </c>
      <c r="EC71" s="21">
        <f>EXP(-LN(2)/2)*EC70+(1-EXP(-LN(2)/2))/(LN(2)/2)*DW71*DZ71*VLOOKUP('Données projet'!$B$14,Paramètres!$A$1:$I$89,3,0)*0.475*44/12</f>
        <v>1.0390570097144913</v>
      </c>
      <c r="ED71" s="22">
        <f t="shared" si="72"/>
        <v>7.7221526346652576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65.664846987049458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65.664846987049458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65.664846987049458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65.664846987049458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45">
      <c r="A72" s="10">
        <f t="shared" si="85"/>
        <v>69</v>
      </c>
      <c r="B72" s="73">
        <f>'Scénario référence'!$B$16*5+'Scénario référence'!$B$17*0+'Scénario référence'!$B$18*5</f>
        <v>2.8499999999999996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10.449999999999998</v>
      </c>
      <c r="H72" s="67">
        <f t="shared" si="56"/>
        <v>214.86666666666667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65.740052199873972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12.795000000000002</v>
      </c>
      <c r="N72" s="13">
        <f>IF('Données projet'!$A$36&gt;35,N71+M72-V71,IF(A72&lt;'Données projet'!$A$36,$K$205^A72,IF(A72='Données projet'!$A$36,'Données projet'!$B$36,N71+M72-V71)))</f>
        <v>350.82500000000005</v>
      </c>
      <c r="O72" s="13">
        <f>N72*VLOOKUP('Données projet'!$B$9,Paramètres!$A$1:$I$89,3,0)*VLOOKUP('Données projet'!$B$9,Paramètres!$A$1:$I$89,5,0)</f>
        <v>317.42646000000008</v>
      </c>
      <c r="P72" s="13">
        <f t="shared" si="87"/>
        <v>74.817627226984229</v>
      </c>
      <c r="Q72" s="20">
        <f t="shared" si="54"/>
        <v>683.158451920331</v>
      </c>
      <c r="R72" s="59">
        <f t="shared" si="55"/>
        <v>960.87197665320218</v>
      </c>
      <c r="S72" s="59">
        <f ca="1">AVERAGE(OFFSET($R$3,0,0,'Données projet'!$E$9+1,1))-AVERAGE(OFFSET($H$3,0,0,'Données projet'!$E$9+1,1))</f>
        <v>719.20816951277925</v>
      </c>
      <c r="T72" s="59">
        <f t="shared" si="88"/>
        <v>237.1127421841087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18.81744337229496</v>
      </c>
      <c r="AA72" s="21">
        <f>EXP(-LN(2)/25)*AA71+(1-EXP(-LN(2)/25))/(LN(2)/25)*Calculateur!V72*Calculateur!X72*VLOOKUP('Données projet'!$B$9,Paramètres!$A$1:$I$89,3,0)*0.475*44/12</f>
        <v>38.683774965962414</v>
      </c>
      <c r="AB72" s="21">
        <f>EXP(-LN(2)/2)*AB71+(1-EXP(-LN(2)/2))/(LN(2)/2)*V72*Y72*VLOOKUP('Données projet'!$B$9,Paramètres!$A$1:$I$89,3,0)*0.475*44/12</f>
        <v>2.4501267846532024</v>
      </c>
      <c r="AC72" s="22">
        <f t="shared" si="57"/>
        <v>59.951345122910574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65.740052199873972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13.374285714285715</v>
      </c>
      <c r="AI72" s="13">
        <f>IF('Données projet'!$A$62&gt;35,AI71+AH72-AQ71,IF(A72&lt;'Données projet'!$A$62,$AF$205^A72,IF(A72='Données projet'!$A$62,'Données projet'!$B$62,AI71+AH72-AQ71)))</f>
        <v>344.89714285714263</v>
      </c>
      <c r="AJ72" s="13">
        <f>AI72*VLOOKUP('Données projet'!$B$10,Paramètres!$A$1:$I$89,3,0)*VLOOKUP('Données projet'!$B$10,Paramètres!$A$1:$I$89,5,0)</f>
        <v>290.54135314285702</v>
      </c>
      <c r="AK72" s="13">
        <f t="shared" si="89"/>
        <v>69.1898857973042</v>
      </c>
      <c r="AL72" s="20">
        <f t="shared" si="58"/>
        <v>626.53190782078082</v>
      </c>
      <c r="AM72" s="59">
        <f t="shared" si="59"/>
        <v>904.24543255365211</v>
      </c>
      <c r="AN72" s="59">
        <f ca="1">AVERAGE(OFFSET($AM$3,0,0,'Données projet'!$E$10+1,1))-AVERAGE(OFFSET($H$3,0,0,'Données projet'!$E$10+1,1))</f>
        <v>442.79037205372367</v>
      </c>
      <c r="AO72" s="59">
        <f t="shared" si="90"/>
        <v>288.23553637727969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23.675019685945063</v>
      </c>
      <c r="AV72" s="21">
        <f>EXP(-LN(2)/25)*AV71+(1-EXP(-LN(2)/25))/(LN(2)/25)*Calculateur!AQ72*Calculateur!AS72*VLOOKUP('Données projet'!$B$10,Paramètres!$A$1:$I$89,3,0)*0.475*44/12</f>
        <v>25.236573586590531</v>
      </c>
      <c r="AW72" s="21">
        <f>EXP(-LN(2)/2)*AW71+(1-EXP(-LN(2)/2))/(LN(2)/2)*AQ72*AT72*VLOOKUP('Données projet'!$B$10,Paramètres!$A$1:$I$89,3,0)*0.475*44/12</f>
        <v>1.2295672863760208</v>
      </c>
      <c r="AX72" s="21">
        <f t="shared" si="60"/>
        <v>50.141160558911615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65.740052199873972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>
        <f>VLOOKUP(A72,'Données projet'!$A$87:$I$107,2,0)</f>
        <v>190.79</v>
      </c>
      <c r="BB72" s="12">
        <f>VLOOKUP(A72,'Données projet'!$A$87:$I$107,9,0)</f>
        <v>6.8933333333333326</v>
      </c>
      <c r="BC72" s="12">
        <f t="array" ref="BC72">INDEX(BB:BB,MIN(IF(ISNUMBER(BB72:BB268),ROW(BB72:BB268),"")))</f>
        <v>6.8933333333333326</v>
      </c>
      <c r="BD72" s="12">
        <f>IF('Données projet'!$A$88&gt;35,BD71+BC72-BL71,IF(A72&lt;'Données projet'!$A$88,$BA$205^A72,IF(A72='Données projet'!$A$88,'Données projet'!$B$88,BD71+BC72-BL71)))</f>
        <v>190.79</v>
      </c>
      <c r="BE72" s="13">
        <f>BD72*VLOOKUP('Données projet'!$B$11,Paramètres!$A$1:$I$89,3,0)*VLOOKUP('Données projet'!$B$11,Paramètres!$A$1:$I$89,5,0)</f>
        <v>193.46106</v>
      </c>
      <c r="BF72" s="13">
        <f t="shared" si="91"/>
        <v>48.304338284801261</v>
      </c>
      <c r="BG72" s="20">
        <f t="shared" si="61"/>
        <v>421.07473534602883</v>
      </c>
      <c r="BH72" s="59">
        <f t="shared" si="62"/>
        <v>698.78826007890007</v>
      </c>
      <c r="BI72" s="59">
        <f ca="1">AVERAGE(OFFSET($BH$3,0,0,'Données projet'!$E$11+1,1))-AVERAGE(OFFSET($H$3,0,0,'Données projet'!$E$11+1,1))</f>
        <v>559.91818701710872</v>
      </c>
      <c r="BJ72" s="59">
        <f t="shared" si="92"/>
        <v>273.47272623465915</v>
      </c>
      <c r="BK72" s="15">
        <f>IF(ISNA(VLOOKUP(A72,'Données projet'!$A$87:$I$107,3,0)),0,VLOOKUP(A72,'Données projet'!$A$87:$I$107,3,0))</f>
        <v>2</v>
      </c>
      <c r="BL72" s="15">
        <f>IF(ISNA(VLOOKUP(A72,'Données projet'!$A$87:$I$107,4,0)),0,VLOOKUP(A72,'Données projet'!$A$87:$I$107,4,0))</f>
        <v>42.22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0.34400000000000003</v>
      </c>
      <c r="BO72" s="16">
        <f>IF(ISNA(VLOOKUP(A72,'Données projet'!$A$87:$I$107,7,0)),0%,VLOOKUP(A72,'Données projet'!$A$87:$I$107,7,0))</f>
        <v>0.2</v>
      </c>
      <c r="BP72" s="21">
        <f>EXP(-LN(2)/35)*BP71+(1-EXP(-LN(2)/35))/(LN(2)/35)*BL72*BM72*VLOOKUP('Données projet'!$B$11,Paramètres!$A$1:$I$89,3,0)*0.475*44/12</f>
        <v>0</v>
      </c>
      <c r="BQ72" s="21">
        <f>EXP(-LN(2)/25)*BQ71+(1-EXP(-LN(2)/25))/(LN(2)/25)*Calculateur!BL72*Calculateur!BN72*VLOOKUP('Données projet'!$B$11,Paramètres!$A$1:$I$89,3,0)*0.475*44/12</f>
        <v>38.02378583479539</v>
      </c>
      <c r="BR72" s="21">
        <f>EXP(-LN(2)/2)*BR71+(1-EXP(-LN(2)/2))/(LN(2)/2)*BL72*BO72*VLOOKUP('Données projet'!$B$11,Paramètres!$A$1:$I$89,3,0)*0.475*44/12</f>
        <v>8.6949015897559168</v>
      </c>
      <c r="BS72" s="22">
        <f t="shared" si="63"/>
        <v>46.718687424551305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65.740052199873972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>
        <f>VLOOKUP(A72,'Données projet'!$A$113:$I$133,2,0)</f>
        <v>210.25641025641025</v>
      </c>
      <c r="BW72" s="12">
        <f>VLOOKUP(A72,'Données projet'!$A$113:$I$133,9,0)</f>
        <v>5.5555555555555554</v>
      </c>
      <c r="BX72" s="12">
        <f t="array" ref="BX72">INDEX(BW:BW,MIN(IF(ISNUMBER(BW72:BW268),ROW(BW72:BW268),"")))</f>
        <v>5.5555555555555554</v>
      </c>
      <c r="BY72" s="12">
        <f>IF('Données projet'!$A$114&gt;35,BY71+BX72-CG71,IF(A72&lt;'Données projet'!$A$114,$BV$205^A72,IF(A72='Données projet'!$A$114,'Données projet'!$B$114,BY71+BX72-CG71)))</f>
        <v>210.25641025641013</v>
      </c>
      <c r="BZ72" s="13">
        <f>BY72*VLOOKUP('Données projet'!$B$12,Paramètres!$A$1:$I$89,3,0)*VLOOKUP('Données projet'!$B$12,Paramètres!$A$1:$I$89,5,0)</f>
        <v>163.99999999999991</v>
      </c>
      <c r="CA72" s="13">
        <f t="shared" si="93"/>
        <v>41.743425908362248</v>
      </c>
      <c r="CB72" s="20">
        <f t="shared" si="64"/>
        <v>358.33646679039742</v>
      </c>
      <c r="CC72" s="59">
        <f t="shared" si="65"/>
        <v>636.04999152326866</v>
      </c>
      <c r="CD72" s="59">
        <f ca="1">AVERAGE(OFFSET($CC$3,0,0,'Données projet'!$E$12+1,1))-AVERAGE(OFFSET($H$3,0,0,'Données projet'!$E$12+1,1))</f>
        <v>208.92677786250815</v>
      </c>
      <c r="CE72" s="59">
        <f t="shared" si="94"/>
        <v>207.54290142772214</v>
      </c>
      <c r="CF72" s="15">
        <f>IF(ISNA(VLOOKUP(A72,'Données projet'!$A$113:$I$133,3,0)),0,VLOOKUP(A72,'Données projet'!$A$113:$I$133,3,0))</f>
        <v>9</v>
      </c>
      <c r="CG72" s="15">
        <f>IF(ISNA(VLOOKUP(A72,'Données projet'!$A$113:$I$133,4,0)),0,VLOOKUP(A72,'Données projet'!$A$113:$I$133,4,0))</f>
        <v>210.25641025641025</v>
      </c>
      <c r="CH72" s="16">
        <f>IF(ISNA(VLOOKUP(A72,'Données projet'!$A$113:$I$133,5,0)),0%,VLOOKUP(A72,'Données projet'!$A$113:$I$133,5,0)*VLOOKUP('Données projet'!$B$12,Paramètres!$A$1:$I$89,7,0))</f>
        <v>0.1075</v>
      </c>
      <c r="CI72" s="16">
        <f>IF(ISNA(VLOOKUP(A72,'Données projet'!$A$113:$I$133,6,0)),0%,VLOOKUP(A72,'Données projet'!$A$113:$I$133,6,0)*VLOOKUP('Données projet'!$B$12,Paramètres!$A$1:$I$89,7,0))</f>
        <v>0.1075</v>
      </c>
      <c r="CJ72" s="16">
        <f>IF(ISNA(VLOOKUP(A72,'Données projet'!$A$113:$I$133,7,0)),0%,VLOOKUP(A72,'Données projet'!$A$113:$I$133,7,0))</f>
        <v>0.25</v>
      </c>
      <c r="CK72" s="21">
        <f>EXP(-LN(2)/35)*CK71+(1-EXP(-LN(2)/35))/(LN(2)/35)*CG72*CH72*VLOOKUP('Données projet'!$B$12,Paramètres!$A$1:$I$89,3,0)*0.475*44/12</f>
        <v>27.563192377717577</v>
      </c>
      <c r="CL72" s="21">
        <f>EXP(-LN(2)/25)*CL71+(1-EXP(-LN(2)/25))/(LN(2)/25)*Calculateur!CG72*Calculateur!CI72*VLOOKUP('Données projet'!$B$12,Paramètres!$A$1:$I$89,3,0)*0.475*44/12</f>
        <v>27.137937128243308</v>
      </c>
      <c r="CM72" s="21">
        <f>EXP(-LN(2)/2)*CM71+(1-EXP(-LN(2)/2))/(LN(2)/2)*CG72*CJ72*VLOOKUP('Données projet'!$B$12,Paramètres!$A$1:$I$89,3,0)*0.475*44/12</f>
        <v>38.946167726463699</v>
      </c>
      <c r="CN72" s="22">
        <f t="shared" si="66"/>
        <v>93.647297232424592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65.740052199873972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9.65625</v>
      </c>
      <c r="CT72" s="12">
        <f>IF('Données projet'!$A$140&gt;35,CT71+CS72-DB71,IF(A72&lt;'Données projet'!$A$140,$CQ$205^A72,IF(A72='Données projet'!$A$140,'Données projet'!$B$140,CT71+CS72-DB71)))</f>
        <v>215.82249999999996</v>
      </c>
      <c r="CU72" s="17">
        <f>CT72*VLOOKUP('Données projet'!$B$13,Paramètres!$A$1:$I$89,3,0)*VLOOKUP('Données projet'!$B$13,Paramètres!$A$1:$I$89,5,0)</f>
        <v>205.37669099999997</v>
      </c>
      <c r="CV72" s="13">
        <f t="shared" si="95"/>
        <v>50.923971103388858</v>
      </c>
      <c r="CW72" s="20">
        <f t="shared" si="67"/>
        <v>446.3903198300689</v>
      </c>
      <c r="CX72" s="59">
        <f t="shared" si="68"/>
        <v>724.10384456294014</v>
      </c>
      <c r="CY72" s="59">
        <f ca="1">AVERAGE(OFFSET($CX$3,0,0,'Données projet'!$E$13+1,1))-AVERAGE(OFFSET($H$3,0,0,'Données projet'!$E$13+1,1))</f>
        <v>470.42022791389275</v>
      </c>
      <c r="CZ72" s="59">
        <f t="shared" si="96"/>
        <v>300.26117330627346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12.089354551205929</v>
      </c>
      <c r="DG72" s="21">
        <f>EXP(-LN(2)/25)*DG71+(1-EXP(-LN(2)/25))/(LN(2)/25)*Calculateur!DB72*Calculateur!DD72*VLOOKUP('Données projet'!$B$13,Paramètres!$A$1:$I$89,3,0)*0.475*44/12</f>
        <v>17.052226805668251</v>
      </c>
      <c r="DH72" s="21">
        <f>EXP(-LN(2)/2)*DH71+(1-EXP(-LN(2)/2))/(LN(2)/2)*DB72*DE72*VLOOKUP('Données projet'!$B$13,Paramètres!$A$1:$I$89,3,0)*0.475*44/12</f>
        <v>5.0989310791798559</v>
      </c>
      <c r="DI72" s="22">
        <f t="shared" si="69"/>
        <v>34.240512436054033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65.740052199873972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>
        <f>VLOOKUP(A72,'Données projet'!$A$165:$I$185,2,0)</f>
        <v>190.79</v>
      </c>
      <c r="DM72" s="12">
        <f>VLOOKUP(A72,'Données projet'!$A$165:$I$185,9,0)</f>
        <v>6.8933333333333326</v>
      </c>
      <c r="DN72" s="12">
        <f t="array" ref="DN72">INDEX(DM:DM,MIN(IF(ISNUMBER(DM72:DM268),ROW(DM72:DM268),"")))</f>
        <v>6.8933333333333326</v>
      </c>
      <c r="DO72" s="12">
        <f>IF('Données projet'!$A$166&gt;35,DO71+DN72-DW71,IF(A72&lt;'Données projet'!$A$166,$DL$205^A72,IF(A72='Données projet'!$A$166,'Données projet'!$B$166,DO71+DN72-DW71)))</f>
        <v>190.79</v>
      </c>
      <c r="DP72" s="17">
        <f>DO72*VLOOKUP('Données projet'!$B$14,Paramètres!$A$1:$I$89,3,0)*VLOOKUP('Données projet'!$B$14,Paramètres!$A$1:$I$89,5,0)</f>
        <v>184.53208800000002</v>
      </c>
      <c r="DQ72" s="13">
        <f t="shared" si="97"/>
        <v>46.329028363696381</v>
      </c>
      <c r="DR72" s="20">
        <f t="shared" si="70"/>
        <v>402.08311100010451</v>
      </c>
      <c r="DS72" s="59">
        <f t="shared" si="71"/>
        <v>679.7966357329758</v>
      </c>
      <c r="DT72" s="59">
        <f ca="1">AVERAGE(OFFSET($DS$3,0,0,'Données projet'!$E$14+1,1))-AVERAGE(OFFSET($H$3,0,0,'Données projet'!$E$14+1,1))</f>
        <v>537.37164071064103</v>
      </c>
      <c r="DU72" s="59">
        <f t="shared" si="98"/>
        <v>263.29777321132235</v>
      </c>
      <c r="DV72" s="15">
        <f>IF(ISNA(VLOOKUP(A72,'Données projet'!$A$165:$I$185,3,0)),0,VLOOKUP(A72,'Données projet'!$A$165:$I$185,3,0))</f>
        <v>2</v>
      </c>
      <c r="DW72" s="15">
        <f>IF(ISNA(VLOOKUP(A72,'Données projet'!$A$165:$I$185,4,0)),0,VLOOKUP(A72,'Données projet'!$A$165:$I$185,4,0))</f>
        <v>42.22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0.1075</v>
      </c>
      <c r="DZ72" s="16">
        <f>IF(ISNA(VLOOKUP(A72,'Données projet'!$A$165:$I$185,7,0)),0%,VLOOKUP(A72,'Données projet'!$A$165:$I$185,7,0))</f>
        <v>0.25</v>
      </c>
      <c r="EA72" s="21">
        <f>EXP(-LN(2)/35)*EA71+(1-EXP(-LN(2)/35))/(LN(2)/35)*DW72*DX72*VLOOKUP('Données projet'!$B$14,Paramètres!$A$1:$I$89,3,0)*0.475*44/12</f>
        <v>0</v>
      </c>
      <c r="EB72" s="21">
        <f>EXP(-LN(2)/25)*EB71+(1-EXP(-LN(2)/25))/(LN(2)/25)*Calculateur!DW72*Calculateur!DY72*VLOOKUP('Données projet'!$B$14,Paramètres!$A$1:$I$89,3,0)*0.475*44/12</f>
        <v>11.334013085371701</v>
      </c>
      <c r="EC72" s="21">
        <f>EXP(-LN(2)/2)*EC71+(1-EXP(-LN(2)/2))/(LN(2)/2)*DW72*DZ72*VLOOKUP('Données projet'!$B$14,Paramètres!$A$1:$I$89,3,0)*0.475*44/12</f>
        <v>10.366998049324362</v>
      </c>
      <c r="ED72" s="22">
        <f t="shared" si="72"/>
        <v>21.701011134696063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65.740052199873972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65.740052199873972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65.740052199873972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65.740052199873972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45">
      <c r="A73" s="10">
        <f t="shared" si="85"/>
        <v>70</v>
      </c>
      <c r="B73" s="73">
        <f>'Scénario référence'!$B$16*5+'Scénario référence'!$B$17*0+'Scénario référence'!$B$18*5</f>
        <v>2.8499999999999996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10.449999999999998</v>
      </c>
      <c r="H73" s="67">
        <f t="shared" si="56"/>
        <v>214.86666666666667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65.813952770389648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12.795000000000002</v>
      </c>
      <c r="N73" s="13">
        <f>IF('Données projet'!$A$36&gt;35,N72+M73-V72,IF(A73&lt;'Données projet'!$A$36,$K$205^A73,IF(A73='Données projet'!$A$36,'Données projet'!$B$36,N72+M73-V72)))</f>
        <v>363.62000000000006</v>
      </c>
      <c r="O73" s="13">
        <f>N73*VLOOKUP('Données projet'!$B$9,Paramètres!$A$1:$I$89,3,0)*VLOOKUP('Données projet'!$B$9,Paramètres!$A$1:$I$89,5,0)</f>
        <v>329.00337600000006</v>
      </c>
      <c r="P73" s="13">
        <f t="shared" si="87"/>
        <v>77.2236452302744</v>
      </c>
      <c r="Q73" s="20">
        <f t="shared" si="54"/>
        <v>707.51206197606132</v>
      </c>
      <c r="R73" s="59">
        <f t="shared" si="55"/>
        <v>985.49655546749</v>
      </c>
      <c r="S73" s="59">
        <f ca="1">AVERAGE(OFFSET($R$3,0,0,'Données projet'!$E$9+1,1))-AVERAGE(OFFSET($H$3,0,0,'Données projet'!$E$9+1,1))</f>
        <v>719.20816951277925</v>
      </c>
      <c r="T73" s="59">
        <f t="shared" si="88"/>
        <v>237.1127421841087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18.448444785271402</v>
      </c>
      <c r="AA73" s="21">
        <f>EXP(-LN(2)/25)*AA72+(1-EXP(-LN(2)/25))/(LN(2)/25)*Calculateur!V73*Calculateur!X73*VLOOKUP('Données projet'!$B$9,Paramètres!$A$1:$I$89,3,0)*0.475*44/12</f>
        <v>37.625965105226861</v>
      </c>
      <c r="AB73" s="21">
        <f>EXP(-LN(2)/2)*AB72+(1-EXP(-LN(2)/2))/(LN(2)/2)*V73*Y73*VLOOKUP('Données projet'!$B$9,Paramètres!$A$1:$I$89,3,0)*0.475*44/12</f>
        <v>1.7325012641950714</v>
      </c>
      <c r="AC73" s="22">
        <f t="shared" si="57"/>
        <v>57.806911154693331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65.813952770389648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13.374285714285715</v>
      </c>
      <c r="AI73" s="13">
        <f>IF('Données projet'!$A$62&gt;35,AI72+AH73-AQ72,IF(A73&lt;'Données projet'!$A$62,$AF$205^A73,IF(A73='Données projet'!$A$62,'Données projet'!$B$62,AI72+AH73-AQ72)))</f>
        <v>358.27142857142832</v>
      </c>
      <c r="AJ73" s="13">
        <f>AI73*VLOOKUP('Données projet'!$B$10,Paramètres!$A$1:$I$89,3,0)*VLOOKUP('Données projet'!$B$10,Paramètres!$A$1:$I$89,5,0)</f>
        <v>301.80785142857127</v>
      </c>
      <c r="AK73" s="13">
        <f t="shared" si="89"/>
        <v>71.555325950227484</v>
      </c>
      <c r="AL73" s="20">
        <f t="shared" si="58"/>
        <v>650.27420060140787</v>
      </c>
      <c r="AM73" s="59">
        <f t="shared" si="59"/>
        <v>928.25869409283655</v>
      </c>
      <c r="AN73" s="59">
        <f ca="1">AVERAGE(OFFSET($AM$3,0,0,'Données projet'!$E$10+1,1))-AVERAGE(OFFSET($H$3,0,0,'Données projet'!$E$10+1,1))</f>
        <v>442.79037205372367</v>
      </c>
      <c r="AO73" s="59">
        <f t="shared" si="90"/>
        <v>288.23553637727969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23.210766990239826</v>
      </c>
      <c r="AV73" s="21">
        <f>EXP(-LN(2)/25)*AV72+(1-EXP(-LN(2)/25))/(LN(2)/25)*Calculateur!AQ73*Calculateur!AS73*VLOOKUP('Données projet'!$B$10,Paramètres!$A$1:$I$89,3,0)*0.475*44/12</f>
        <v>24.546478154731485</v>
      </c>
      <c r="AW73" s="21">
        <f>EXP(-LN(2)/2)*AW72+(1-EXP(-LN(2)/2))/(LN(2)/2)*AQ73*AT73*VLOOKUP('Données projet'!$B$10,Paramètres!$A$1:$I$89,3,0)*0.475*44/12</f>
        <v>0.86943536612162597</v>
      </c>
      <c r="AX73" s="21">
        <f t="shared" si="60"/>
        <v>48.626680511092935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65.813952770389648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6.7437500000000021</v>
      </c>
      <c r="BD73" s="12">
        <f>IF('Données projet'!$A$88&gt;35,BD72+BC73-BL72,IF(A73&lt;'Données projet'!$A$88,$BA$205^A73,IF(A73='Données projet'!$A$88,'Données projet'!$B$88,BD72+BC73-BL72)))</f>
        <v>155.31375</v>
      </c>
      <c r="BE73" s="13">
        <f>BD73*VLOOKUP('Données projet'!$B$11,Paramètres!$A$1:$I$89,3,0)*VLOOKUP('Données projet'!$B$11,Paramètres!$A$1:$I$89,5,0)</f>
        <v>157.48814250000001</v>
      </c>
      <c r="BF73" s="13">
        <f t="shared" si="91"/>
        <v>40.275438230597821</v>
      </c>
      <c r="BG73" s="20">
        <f t="shared" si="61"/>
        <v>344.43823643912452</v>
      </c>
      <c r="BH73" s="59">
        <f t="shared" si="62"/>
        <v>622.42272993055326</v>
      </c>
      <c r="BI73" s="59">
        <f ca="1">AVERAGE(OFFSET($BH$3,0,0,'Données projet'!$E$11+1,1))-AVERAGE(OFFSET($H$3,0,0,'Données projet'!$E$11+1,1))</f>
        <v>559.91818701710872</v>
      </c>
      <c r="BJ73" s="59">
        <f t="shared" si="92"/>
        <v>273.47272623465915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0</v>
      </c>
      <c r="BQ73" s="21">
        <f>EXP(-LN(2)/25)*BQ72+(1-EXP(-LN(2)/25))/(LN(2)/25)*Calculateur!BL73*Calculateur!BN73*VLOOKUP('Données projet'!$B$11,Paramètres!$A$1:$I$89,3,0)*0.475*44/12</f>
        <v>36.984023411558915</v>
      </c>
      <c r="BR73" s="21">
        <f>EXP(-LN(2)/2)*BR72+(1-EXP(-LN(2)/2))/(LN(2)/2)*BL73*BO73*VLOOKUP('Données projet'!$B$11,Paramètres!$A$1:$I$89,3,0)*0.475*44/12</f>
        <v>6.1482238758661021</v>
      </c>
      <c r="BS73" s="22">
        <f t="shared" si="63"/>
        <v>43.132247287425017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65.813952770389648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-1.1368683772161603E-13</v>
      </c>
      <c r="BZ73" s="13">
        <f>BY73*VLOOKUP('Données projet'!$B$12,Paramètres!$A$1:$I$89,3,0)*VLOOKUP('Données projet'!$B$12,Paramètres!$A$1:$I$89,5,0)</f>
        <v>-8.8675733422860506E-14</v>
      </c>
      <c r="CA73" s="13" t="e">
        <f t="shared" si="93"/>
        <v>#NUM!</v>
      </c>
      <c r="CB73" s="20" t="e">
        <f t="shared" si="64"/>
        <v>#NUM!</v>
      </c>
      <c r="CC73" s="59" t="e">
        <f t="shared" si="65"/>
        <v>#NUM!</v>
      </c>
      <c r="CD73" s="59">
        <f ca="1">AVERAGE(OFFSET($CC$3,0,0,'Données projet'!$E$12+1,1))-AVERAGE(OFFSET($H$3,0,0,'Données projet'!$E$12+1,1))</f>
        <v>208.92677786250815</v>
      </c>
      <c r="CE73" s="59">
        <f t="shared" si="94"/>
        <v>207.54290142772214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27.022694987077848</v>
      </c>
      <c r="CL73" s="21">
        <f>EXP(-LN(2)/25)*CL72+(1-EXP(-LN(2)/25))/(LN(2)/25)*Calculateur!CG73*Calculateur!CI73*VLOOKUP('Données projet'!$B$12,Paramètres!$A$1:$I$89,3,0)*0.475*44/12</f>
        <v>26.395848810349406</v>
      </c>
      <c r="CM73" s="21">
        <f>EXP(-LN(2)/2)*CM72+(1-EXP(-LN(2)/2))/(LN(2)/2)*CG73*CJ73*VLOOKUP('Données projet'!$B$12,Paramètres!$A$1:$I$89,3,0)*0.475*44/12</f>
        <v>27.539099300611149</v>
      </c>
      <c r="CN73" s="22">
        <f t="shared" si="66"/>
        <v>80.957643098038403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65.813952770389648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9.65625</v>
      </c>
      <c r="CT73" s="12">
        <f>IF('Données projet'!$A$140&gt;35,CT72+CS73-DB72,IF(A73&lt;'Données projet'!$A$140,$CQ$205^A73,IF(A73='Données projet'!$A$140,'Données projet'!$B$140,CT72+CS73-DB72)))</f>
        <v>225.47874999999996</v>
      </c>
      <c r="CU73" s="17">
        <f>CT73*VLOOKUP('Données projet'!$B$13,Paramètres!$A$1:$I$89,3,0)*VLOOKUP('Données projet'!$B$13,Paramètres!$A$1:$I$89,5,0)</f>
        <v>214.56557849999996</v>
      </c>
      <c r="CV73" s="13">
        <f t="shared" si="95"/>
        <v>52.932027166993123</v>
      </c>
      <c r="CW73" s="20">
        <f t="shared" si="67"/>
        <v>465.8916632033463</v>
      </c>
      <c r="CX73" s="59">
        <f t="shared" si="68"/>
        <v>743.87615669477509</v>
      </c>
      <c r="CY73" s="59">
        <f ca="1">AVERAGE(OFFSET($CX$3,0,0,'Données projet'!$E$13+1,1))-AVERAGE(OFFSET($H$3,0,0,'Données projet'!$E$13+1,1))</f>
        <v>470.42022791389275</v>
      </c>
      <c r="CZ73" s="59">
        <f t="shared" si="96"/>
        <v>300.26117330627346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11.852289682234957</v>
      </c>
      <c r="DG73" s="21">
        <f>EXP(-LN(2)/25)*DG72+(1-EXP(-LN(2)/25))/(LN(2)/25)*Calculateur!DB73*Calculateur!DD73*VLOOKUP('Données projet'!$B$13,Paramètres!$A$1:$I$89,3,0)*0.475*44/12</f>
        <v>16.58593276692962</v>
      </c>
      <c r="DH73" s="21">
        <f>EXP(-LN(2)/2)*DH72+(1-EXP(-LN(2)/2))/(LN(2)/2)*DB73*DE73*VLOOKUP('Données projet'!$B$13,Paramètres!$A$1:$I$89,3,0)*0.475*44/12</f>
        <v>3.605488742890917</v>
      </c>
      <c r="DI73" s="22">
        <f t="shared" si="69"/>
        <v>32.043711192055497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65.813952770389648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6.7437500000000021</v>
      </c>
      <c r="DO73" s="12">
        <f>IF('Données projet'!$A$166&gt;35,DO72+DN73-DW72,IF(A73&lt;'Données projet'!$A$166,$DL$205^A73,IF(A73='Données projet'!$A$166,'Données projet'!$B$166,DO72+DN73-DW72)))</f>
        <v>155.31375</v>
      </c>
      <c r="DP73" s="17">
        <f>DO73*VLOOKUP('Données projet'!$B$14,Paramètres!$A$1:$I$89,3,0)*VLOOKUP('Données projet'!$B$14,Paramètres!$A$1:$I$89,5,0)</f>
        <v>150.219459</v>
      </c>
      <c r="DQ73" s="13">
        <f t="shared" si="97"/>
        <v>38.628454221735403</v>
      </c>
      <c r="DR73" s="20">
        <f t="shared" si="70"/>
        <v>328.91011552785579</v>
      </c>
      <c r="DS73" s="59">
        <f t="shared" si="71"/>
        <v>606.89460901928453</v>
      </c>
      <c r="DT73" s="59">
        <f ca="1">AVERAGE(OFFSET($DS$3,0,0,'Données projet'!$E$14+1,1))-AVERAGE(OFFSET($H$3,0,0,'Données projet'!$E$14+1,1))</f>
        <v>537.37164071064103</v>
      </c>
      <c r="DU73" s="59">
        <f t="shared" si="98"/>
        <v>263.29777321132235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0</v>
      </c>
      <c r="EB73" s="21">
        <f>EXP(-LN(2)/25)*EB72+(1-EXP(-LN(2)/25))/(LN(2)/25)*Calculateur!DW73*Calculateur!DY73*VLOOKUP('Données projet'!$B$14,Paramètres!$A$1:$I$89,3,0)*0.475*44/12</f>
        <v>11.024083901522369</v>
      </c>
      <c r="EC73" s="21">
        <f>EXP(-LN(2)/2)*EC72+(1-EXP(-LN(2)/2))/(LN(2)/2)*DW73*DZ73*VLOOKUP('Données projet'!$B$14,Paramètres!$A$1:$I$89,3,0)*0.475*44/12</f>
        <v>7.3305746212249669</v>
      </c>
      <c r="ED73" s="22">
        <f t="shared" si="72"/>
        <v>18.354658522747336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65.813952770389648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65.813952770389648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65.813952770389648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65.813952770389648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45">
      <c r="A74" s="10">
        <f t="shared" si="85"/>
        <v>71</v>
      </c>
      <c r="B74" s="73">
        <f>'Scénario référence'!$B$16*5+'Scénario référence'!$B$17*0+'Scénario référence'!$B$18*5</f>
        <v>2.8499999999999996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10.449999999999998</v>
      </c>
      <c r="H74" s="67">
        <f t="shared" si="56"/>
        <v>214.86666666666667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65.886571331223806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12.795000000000002</v>
      </c>
      <c r="N74" s="13">
        <f>IF('Données projet'!$A$36&gt;35,N73+M74-V73,IF(A74&lt;'Données projet'!$A$36,$K$205^A74,IF(A74='Données projet'!$A$36,'Données projet'!$B$36,N73+M74-V73)))</f>
        <v>376.41500000000008</v>
      </c>
      <c r="O74" s="13">
        <f>N74*VLOOKUP('Données projet'!$B$9,Paramètres!$A$1:$I$89,3,0)*VLOOKUP('Données projet'!$B$9,Paramètres!$A$1:$I$89,5,0)</f>
        <v>340.58029200000004</v>
      </c>
      <c r="P74" s="13">
        <f t="shared" si="87"/>
        <v>79.619826521430525</v>
      </c>
      <c r="Q74" s="20">
        <f t="shared" si="54"/>
        <v>731.84853975815815</v>
      </c>
      <c r="R74" s="59">
        <f t="shared" si="55"/>
        <v>1010.0993013059788</v>
      </c>
      <c r="S74" s="59">
        <f ca="1">AVERAGE(OFFSET($R$3,0,0,'Données projet'!$E$9+1,1))-AVERAGE(OFFSET($H$3,0,0,'Données projet'!$E$9+1,1))</f>
        <v>719.20816951277925</v>
      </c>
      <c r="T74" s="59">
        <f t="shared" si="88"/>
        <v>237.1127421841087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18.086682035472464</v>
      </c>
      <c r="AA74" s="21">
        <f>EXP(-LN(2)/25)*AA73+(1-EXP(-LN(2)/25))/(LN(2)/25)*Calculateur!V74*Calculateur!X74*VLOOKUP('Données projet'!$B$9,Paramètres!$A$1:$I$89,3,0)*0.475*44/12</f>
        <v>36.597081110760925</v>
      </c>
      <c r="AB74" s="21">
        <f>EXP(-LN(2)/2)*AB73+(1-EXP(-LN(2)/2))/(LN(2)/2)*V74*Y74*VLOOKUP('Données projet'!$B$9,Paramètres!$A$1:$I$89,3,0)*0.475*44/12</f>
        <v>1.2250633923266014</v>
      </c>
      <c r="AC74" s="22">
        <f t="shared" si="57"/>
        <v>55.908826538559993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65.886571331223806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13.374285714285715</v>
      </c>
      <c r="AI74" s="13">
        <f>IF('Données projet'!$A$62&gt;35,AI73+AH74-AQ73,IF(A74&lt;'Données projet'!$A$62,$AF$205^A74,IF(A74='Données projet'!$A$62,'Données projet'!$B$62,AI73+AH74-AQ73)))</f>
        <v>371.64571428571401</v>
      </c>
      <c r="AJ74" s="13">
        <f>AI74*VLOOKUP('Données projet'!$B$10,Paramètres!$A$1:$I$89,3,0)*VLOOKUP('Données projet'!$B$10,Paramètres!$A$1:$I$89,5,0)</f>
        <v>313.07434971428552</v>
      </c>
      <c r="AK74" s="13">
        <f t="shared" si="89"/>
        <v>73.910507535868305</v>
      </c>
      <c r="AL74" s="20">
        <f t="shared" si="58"/>
        <v>673.99862637735123</v>
      </c>
      <c r="AM74" s="59">
        <f t="shared" si="59"/>
        <v>952.24938792517185</v>
      </c>
      <c r="AN74" s="59">
        <f ca="1">AVERAGE(OFFSET($AM$3,0,0,'Données projet'!$E$10+1,1))-AVERAGE(OFFSET($H$3,0,0,'Données projet'!$E$10+1,1))</f>
        <v>442.79037205372367</v>
      </c>
      <c r="AO74" s="59">
        <f t="shared" si="90"/>
        <v>288.23553637727969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22.755618006731183</v>
      </c>
      <c r="AV74" s="21">
        <f>EXP(-LN(2)/25)*AV73+(1-EXP(-LN(2)/25))/(LN(2)/25)*Calculateur!AQ74*Calculateur!AS74*VLOOKUP('Données projet'!$B$10,Paramètres!$A$1:$I$89,3,0)*0.475*44/12</f>
        <v>23.875253418747167</v>
      </c>
      <c r="AW74" s="21">
        <f>EXP(-LN(2)/2)*AW73+(1-EXP(-LN(2)/2))/(LN(2)/2)*AQ74*AT74*VLOOKUP('Données projet'!$B$10,Paramètres!$A$1:$I$89,3,0)*0.475*44/12</f>
        <v>0.61478364318801049</v>
      </c>
      <c r="AX74" s="21">
        <f t="shared" si="60"/>
        <v>47.245655068666359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65.886571331223806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6.7437500000000021</v>
      </c>
      <c r="BD74" s="12">
        <f>IF('Données projet'!$A$88&gt;35,BD73+BC74-BL73,IF(A74&lt;'Données projet'!$A$88,$BA$205^A74,IF(A74='Données projet'!$A$88,'Données projet'!$B$88,BD73+BC74-BL73)))</f>
        <v>162.0575</v>
      </c>
      <c r="BE74" s="13">
        <f>BD74*VLOOKUP('Données projet'!$B$11,Paramètres!$A$1:$I$89,3,0)*VLOOKUP('Données projet'!$B$11,Paramètres!$A$1:$I$89,5,0)</f>
        <v>164.32630500000002</v>
      </c>
      <c r="BF74" s="13">
        <f t="shared" si="91"/>
        <v>41.816805184010924</v>
      </c>
      <c r="BG74" s="20">
        <f t="shared" si="61"/>
        <v>359.03258357048571</v>
      </c>
      <c r="BH74" s="59">
        <f t="shared" si="62"/>
        <v>637.28334511830633</v>
      </c>
      <c r="BI74" s="59">
        <f ca="1">AVERAGE(OFFSET($BH$3,0,0,'Données projet'!$E$11+1,1))-AVERAGE(OFFSET($H$3,0,0,'Données projet'!$E$11+1,1))</f>
        <v>559.91818701710872</v>
      </c>
      <c r="BJ74" s="59">
        <f t="shared" si="92"/>
        <v>273.47272623465915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0</v>
      </c>
      <c r="BQ74" s="21">
        <f>EXP(-LN(2)/25)*BQ73+(1-EXP(-LN(2)/25))/(LN(2)/25)*Calculateur!BL74*Calculateur!BN74*VLOOKUP('Données projet'!$B$11,Paramètres!$A$1:$I$89,3,0)*0.475*44/12</f>
        <v>35.972693346464574</v>
      </c>
      <c r="BR74" s="21">
        <f>EXP(-LN(2)/2)*BR73+(1-EXP(-LN(2)/2))/(LN(2)/2)*BL74*BO74*VLOOKUP('Données projet'!$B$11,Paramètres!$A$1:$I$89,3,0)*0.475*44/12</f>
        <v>4.3474507948779593</v>
      </c>
      <c r="BS74" s="22">
        <f t="shared" si="63"/>
        <v>40.320144141342531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65.886571331223806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-1.1368683772161603E-13</v>
      </c>
      <c r="BZ74" s="13">
        <f>BY74*VLOOKUP('Données projet'!$B$12,Paramètres!$A$1:$I$89,3,0)*VLOOKUP('Données projet'!$B$12,Paramètres!$A$1:$I$89,5,0)</f>
        <v>-8.8675733422860506E-14</v>
      </c>
      <c r="CA74" s="13" t="e">
        <f t="shared" si="93"/>
        <v>#NUM!</v>
      </c>
      <c r="CB74" s="20" t="e">
        <f t="shared" si="64"/>
        <v>#NUM!</v>
      </c>
      <c r="CC74" s="59" t="e">
        <f t="shared" si="65"/>
        <v>#NUM!</v>
      </c>
      <c r="CD74" s="59">
        <f ca="1">AVERAGE(OFFSET($CC$3,0,0,'Données projet'!$E$12+1,1))-AVERAGE(OFFSET($H$3,0,0,'Données projet'!$E$12+1,1))</f>
        <v>208.92677786250815</v>
      </c>
      <c r="CE74" s="59">
        <f t="shared" si="94"/>
        <v>207.54290142772214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26.49279642059771</v>
      </c>
      <c r="CL74" s="21">
        <f>EXP(-LN(2)/25)*CL73+(1-EXP(-LN(2)/25))/(LN(2)/25)*Calculateur!CG74*Calculateur!CI74*VLOOKUP('Données projet'!$B$12,Paramètres!$A$1:$I$89,3,0)*0.475*44/12</f>
        <v>25.674052936533041</v>
      </c>
      <c r="CM74" s="21">
        <f>EXP(-LN(2)/2)*CM73+(1-EXP(-LN(2)/2))/(LN(2)/2)*CG74*CJ74*VLOOKUP('Données projet'!$B$12,Paramètres!$A$1:$I$89,3,0)*0.475*44/12</f>
        <v>19.473083863231853</v>
      </c>
      <c r="CN74" s="22">
        <f t="shared" si="66"/>
        <v>71.639933220362607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65.886571331223806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9.65625</v>
      </c>
      <c r="CT74" s="12">
        <f>IF('Données projet'!$A$140&gt;35,CT73+CS74-DB73,IF(A74&lt;'Données projet'!$A$140,$CQ$205^A74,IF(A74='Données projet'!$A$140,'Données projet'!$B$140,CT73+CS74-DB73)))</f>
        <v>235.13499999999996</v>
      </c>
      <c r="CU74" s="17">
        <f>CT74*VLOOKUP('Données projet'!$B$13,Paramètres!$A$1:$I$89,3,0)*VLOOKUP('Données projet'!$B$13,Paramètres!$A$1:$I$89,5,0)</f>
        <v>223.75446599999998</v>
      </c>
      <c r="CV74" s="13">
        <f t="shared" si="95"/>
        <v>54.930094969115991</v>
      </c>
      <c r="CW74" s="20">
        <f t="shared" si="67"/>
        <v>485.37561035454365</v>
      </c>
      <c r="CX74" s="59">
        <f t="shared" si="68"/>
        <v>763.62637190236433</v>
      </c>
      <c r="CY74" s="59">
        <f ca="1">AVERAGE(OFFSET($CX$3,0,0,'Données projet'!$E$13+1,1))-AVERAGE(OFFSET($H$3,0,0,'Données projet'!$E$13+1,1))</f>
        <v>470.42022791389275</v>
      </c>
      <c r="CZ74" s="59">
        <f t="shared" si="96"/>
        <v>300.26117330627346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11.619873510749214</v>
      </c>
      <c r="DG74" s="21">
        <f>EXP(-LN(2)/25)*DG73+(1-EXP(-LN(2)/25))/(LN(2)/25)*Calculateur!DB74*Calculateur!DD74*VLOOKUP('Données projet'!$B$13,Paramètres!$A$1:$I$89,3,0)*0.475*44/12</f>
        <v>16.132389563201635</v>
      </c>
      <c r="DH74" s="21">
        <f>EXP(-LN(2)/2)*DH73+(1-EXP(-LN(2)/2))/(LN(2)/2)*DB74*DE74*VLOOKUP('Données projet'!$B$13,Paramètres!$A$1:$I$89,3,0)*0.475*44/12</f>
        <v>2.5494655395899279</v>
      </c>
      <c r="DI74" s="22">
        <f t="shared" si="69"/>
        <v>30.301728613540778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65.886571331223806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6.7437500000000021</v>
      </c>
      <c r="DO74" s="12">
        <f>IF('Données projet'!$A$166&gt;35,DO73+DN74-DW73,IF(A74&lt;'Données projet'!$A$166,$DL$205^A74,IF(A74='Données projet'!$A$166,'Données projet'!$B$166,DO73+DN74-DW73)))</f>
        <v>162.0575</v>
      </c>
      <c r="DP74" s="17">
        <f>DO74*VLOOKUP('Données projet'!$B$14,Paramètres!$A$1:$I$89,3,0)*VLOOKUP('Données projet'!$B$14,Paramètres!$A$1:$I$89,5,0)</f>
        <v>156.74201400000001</v>
      </c>
      <c r="DQ74" s="13">
        <f t="shared" si="97"/>
        <v>40.106790036678284</v>
      </c>
      <c r="DR74" s="20">
        <f t="shared" si="70"/>
        <v>342.84500036388135</v>
      </c>
      <c r="DS74" s="59">
        <f t="shared" si="71"/>
        <v>621.09576191170197</v>
      </c>
      <c r="DT74" s="59">
        <f ca="1">AVERAGE(OFFSET($DS$3,0,0,'Données projet'!$E$14+1,1))-AVERAGE(OFFSET($H$3,0,0,'Données projet'!$E$14+1,1))</f>
        <v>537.37164071064103</v>
      </c>
      <c r="DU74" s="59">
        <f t="shared" si="98"/>
        <v>263.29777321132235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0</v>
      </c>
      <c r="EB74" s="21">
        <f>EXP(-LN(2)/25)*EB73+(1-EXP(-LN(2)/25))/(LN(2)/25)*Calculateur!DW74*Calculateur!DY74*VLOOKUP('Données projet'!$B$14,Paramètres!$A$1:$I$89,3,0)*0.475*44/12</f>
        <v>10.722629747503863</v>
      </c>
      <c r="EC74" s="21">
        <f>EXP(-LN(2)/2)*EC73+(1-EXP(-LN(2)/2))/(LN(2)/2)*DW74*DZ74*VLOOKUP('Données projet'!$B$14,Paramètres!$A$1:$I$89,3,0)*0.475*44/12</f>
        <v>5.1834990246621819</v>
      </c>
      <c r="ED74" s="22">
        <f t="shared" si="72"/>
        <v>15.906128772166046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65.886571331223806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65.886571331223806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65.886571331223806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65.886571331223806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45">
      <c r="A75" s="10">
        <f t="shared" si="85"/>
        <v>72</v>
      </c>
      <c r="B75" s="73">
        <f>'Scénario référence'!$B$16*5+'Scénario référence'!$B$17*0+'Scénario référence'!$B$18*5</f>
        <v>2.8499999999999996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10.449999999999998</v>
      </c>
      <c r="H75" s="67">
        <f t="shared" si="56"/>
        <v>214.86666666666667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65.957930122378272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12.795000000000002</v>
      </c>
      <c r="N75" s="13">
        <f>IF('Données projet'!$A$36&gt;35,N74+M75-V74,IF(A75&lt;'Données projet'!$A$36,$K$205^A75,IF(A75='Données projet'!$A$36,'Données projet'!$B$36,N74+M75-V74)))</f>
        <v>389.21000000000009</v>
      </c>
      <c r="O75" s="13">
        <f>N75*VLOOKUP('Données projet'!$B$9,Paramètres!$A$1:$I$89,3,0)*VLOOKUP('Données projet'!$B$9,Paramètres!$A$1:$I$89,5,0)</f>
        <v>352.15720800000008</v>
      </c>
      <c r="P75" s="13">
        <f t="shared" si="87"/>
        <v>82.006543796021603</v>
      </c>
      <c r="Q75" s="20">
        <f t="shared" si="54"/>
        <v>756.16853437807106</v>
      </c>
      <c r="R75" s="59">
        <f t="shared" si="55"/>
        <v>1034.6809448267913</v>
      </c>
      <c r="S75" s="59">
        <f ca="1">AVERAGE(OFFSET($R$3,0,0,'Données projet'!$E$9+1,1))-AVERAGE(OFFSET($H$3,0,0,'Données projet'!$E$9+1,1))</f>
        <v>719.20816951277925</v>
      </c>
      <c r="T75" s="59">
        <f t="shared" si="88"/>
        <v>237.1127421841087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17.732013232543594</v>
      </c>
      <c r="AA75" s="21">
        <f>EXP(-LN(2)/25)*AA74+(1-EXP(-LN(2)/25))/(LN(2)/25)*Calculateur!V75*Calculateur!X75*VLOOKUP('Données projet'!$B$9,Paramètres!$A$1:$I$89,3,0)*0.475*44/12</f>
        <v>35.596332003230316</v>
      </c>
      <c r="AB75" s="21">
        <f>EXP(-LN(2)/2)*AB74+(1-EXP(-LN(2)/2))/(LN(2)/2)*V75*Y75*VLOOKUP('Données projet'!$B$9,Paramètres!$A$1:$I$89,3,0)*0.475*44/12</f>
        <v>0.86625063209753583</v>
      </c>
      <c r="AC75" s="22">
        <f t="shared" si="57"/>
        <v>54.194595867871442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65.957930122378272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>
        <f>VLOOKUP(A75,'Données projet'!$A$61:$I$81,2,0)</f>
        <v>385.02</v>
      </c>
      <c r="AG75" s="12">
        <f>VLOOKUP(A75,'Données projet'!$A$61:$I$81,9,0)</f>
        <v>13.374285714285715</v>
      </c>
      <c r="AH75" s="12">
        <f t="array" ref="AH75">INDEX(AG:AG,MIN(IF(ISNUMBER(AG75:AG271),ROW(AG75:AG271),"")))</f>
        <v>13.374285714285715</v>
      </c>
      <c r="AI75" s="13">
        <f>IF('Données projet'!$A$62&gt;35,AI74+AH75-AQ74,IF(A75&lt;'Données projet'!$A$62,$AF$205^A75,IF(A75='Données projet'!$A$62,'Données projet'!$B$62,AI74+AH75-AQ74)))</f>
        <v>385.0199999999997</v>
      </c>
      <c r="AJ75" s="13">
        <f>AI75*VLOOKUP('Données projet'!$B$10,Paramètres!$A$1:$I$89,3,0)*VLOOKUP('Données projet'!$B$10,Paramètres!$A$1:$I$89,5,0)</f>
        <v>324.34084799999977</v>
      </c>
      <c r="AK75" s="13">
        <f t="shared" si="89"/>
        <v>76.255842015925083</v>
      </c>
      <c r="AL75" s="20">
        <f t="shared" si="58"/>
        <v>697.7059017777359</v>
      </c>
      <c r="AM75" s="59">
        <f t="shared" si="59"/>
        <v>976.21831222645619</v>
      </c>
      <c r="AN75" s="59">
        <f ca="1">AVERAGE(OFFSET($AM$3,0,0,'Données projet'!$E$10+1,1))-AVERAGE(OFFSET($H$3,0,0,'Données projet'!$E$10+1,1))</f>
        <v>442.79037205372367</v>
      </c>
      <c r="AO75" s="59">
        <f t="shared" si="90"/>
        <v>288.23553637727969</v>
      </c>
      <c r="AP75" s="15">
        <f>IF(ISNA(VLOOKUP(A75,'Données projet'!$A$61:$I$81,3,0)),0,VLOOKUP(A75,'Données projet'!$A$61:$I$81,3,0))</f>
        <v>7</v>
      </c>
      <c r="AQ75" s="15">
        <f>IF(ISNA(VLOOKUP(A75,'Données projet'!$A$61:$I$81,4,0)),0,VLOOKUP(A75,'Données projet'!$A$61:$I$81,4,0))</f>
        <v>66.109999999999957</v>
      </c>
      <c r="AR75" s="16">
        <f>IF(ISNA(VLOOKUP(A75,'Données projet'!$A$61:$I$81,5,0)),0%,VLOOKUP(A75,'Données projet'!$A$61:$I$81,5,0)*VLOOKUP('Données projet'!$B$10,Paramètres!$A$1:$I$89,7,0))</f>
        <v>0.15049999999999999</v>
      </c>
      <c r="AS75" s="16">
        <f>IF(ISNA(VLOOKUP(A75,'Données projet'!$A$61:$I$81,6,0)),0%,VLOOKUP(A75,'Données projet'!$A$61:$I$81,6,0)*VLOOKUP('Données projet'!$B$10,Paramètres!$A$1:$I$89,7,0))</f>
        <v>8.6000000000000007E-2</v>
      </c>
      <c r="AT75" s="16">
        <f>IF(ISNA(VLOOKUP(A75,'Données projet'!$A$61:$I$81,7,0)),0%,VLOOKUP(A75,'Données projet'!$A$61:$I$81,7,0))</f>
        <v>0.1</v>
      </c>
      <c r="AU75" s="21">
        <f>EXP(-LN(2)/35)*AU74+(1-EXP(-LN(2)/35))/(LN(2)/35)*AQ75*AR75*VLOOKUP('Données projet'!$B$10,Paramètres!$A$1:$I$89,3,0)*0.475*44/12</f>
        <v>31.574899876505079</v>
      </c>
      <c r="AV75" s="21">
        <f>EXP(-LN(2)/25)*AV74+(1-EXP(-LN(2)/25))/(LN(2)/25)*Calculateur!AQ75*Calculateur!AS75*VLOOKUP('Données projet'!$B$10,Paramètres!$A$1:$I$89,3,0)*0.475*44/12</f>
        <v>28.496111263103195</v>
      </c>
      <c r="AW75" s="21">
        <f>EXP(-LN(2)/2)*AW74+(1-EXP(-LN(2)/2))/(LN(2)/2)*AQ75*AT75*VLOOKUP('Données projet'!$B$10,Paramètres!$A$1:$I$89,3,0)*0.475*44/12</f>
        <v>5.689319461761932</v>
      </c>
      <c r="AX75" s="21">
        <f t="shared" si="60"/>
        <v>65.7603306013702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65.957930122378272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6.7437500000000021</v>
      </c>
      <c r="BD75" s="12">
        <f>IF('Données projet'!$A$88&gt;35,BD74+BC75-BL74,IF(A75&lt;'Données projet'!$A$88,$BA$205^A75,IF(A75='Données projet'!$A$88,'Données projet'!$B$88,BD74+BC75-BL74)))</f>
        <v>168.80125000000001</v>
      </c>
      <c r="BE75" s="13">
        <f>BD75*VLOOKUP('Données projet'!$B$11,Paramètres!$A$1:$I$89,3,0)*VLOOKUP('Données projet'!$B$11,Paramètres!$A$1:$I$89,5,0)</f>
        <v>171.16446750000003</v>
      </c>
      <c r="BF75" s="13">
        <f t="shared" si="91"/>
        <v>43.350721861592397</v>
      </c>
      <c r="BG75" s="20">
        <f t="shared" si="61"/>
        <v>373.61395480477341</v>
      </c>
      <c r="BH75" s="59">
        <f t="shared" si="62"/>
        <v>652.12636525349376</v>
      </c>
      <c r="BI75" s="59">
        <f ca="1">AVERAGE(OFFSET($BH$3,0,0,'Données projet'!$E$11+1,1))-AVERAGE(OFFSET($H$3,0,0,'Données projet'!$E$11+1,1))</f>
        <v>559.91818701710872</v>
      </c>
      <c r="BJ75" s="59">
        <f t="shared" si="92"/>
        <v>273.47272623465915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0</v>
      </c>
      <c r="BQ75" s="21">
        <f>EXP(-LN(2)/25)*BQ74+(1-EXP(-LN(2)/25))/(LN(2)/25)*Calculateur!BL75*Calculateur!BN75*VLOOKUP('Données projet'!$B$11,Paramètres!$A$1:$I$89,3,0)*0.475*44/12</f>
        <v>34.989018155183771</v>
      </c>
      <c r="BR75" s="21">
        <f>EXP(-LN(2)/2)*BR74+(1-EXP(-LN(2)/2))/(LN(2)/2)*BL75*BO75*VLOOKUP('Données projet'!$B$11,Paramètres!$A$1:$I$89,3,0)*0.475*44/12</f>
        <v>3.0741119379330515</v>
      </c>
      <c r="BS75" s="22">
        <f t="shared" si="63"/>
        <v>38.063130093116825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65.957930122378272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-1.1368683772161603E-13</v>
      </c>
      <c r="BZ75" s="13">
        <f>BY75*VLOOKUP('Données projet'!$B$12,Paramètres!$A$1:$I$89,3,0)*VLOOKUP('Données projet'!$B$12,Paramètres!$A$1:$I$89,5,0)</f>
        <v>-8.8675733422860506E-14</v>
      </c>
      <c r="CA75" s="13" t="e">
        <f t="shared" si="93"/>
        <v>#NUM!</v>
      </c>
      <c r="CB75" s="20" t="e">
        <f t="shared" si="64"/>
        <v>#NUM!</v>
      </c>
      <c r="CC75" s="59" t="e">
        <f t="shared" si="65"/>
        <v>#NUM!</v>
      </c>
      <c r="CD75" s="59">
        <f ca="1">AVERAGE(OFFSET($CC$3,0,0,'Données projet'!$E$12+1,1))-AVERAGE(OFFSET($H$3,0,0,'Données projet'!$E$12+1,1))</f>
        <v>208.92677786250815</v>
      </c>
      <c r="CE75" s="59">
        <f t="shared" si="94"/>
        <v>207.54290142772214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25.973288841800034</v>
      </c>
      <c r="CL75" s="21">
        <f>EXP(-LN(2)/25)*CL74+(1-EXP(-LN(2)/25))/(LN(2)/25)*Calculateur!CG75*Calculateur!CI75*VLOOKUP('Données projet'!$B$12,Paramètres!$A$1:$I$89,3,0)*0.475*44/12</f>
        <v>24.971994608843779</v>
      </c>
      <c r="CM75" s="21">
        <f>EXP(-LN(2)/2)*CM74+(1-EXP(-LN(2)/2))/(LN(2)/2)*CG75*CJ75*VLOOKUP('Données projet'!$B$12,Paramètres!$A$1:$I$89,3,0)*0.475*44/12</f>
        <v>13.769549650305576</v>
      </c>
      <c r="CN75" s="22">
        <f t="shared" si="66"/>
        <v>64.714833100949392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65.957930122378272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9.65625</v>
      </c>
      <c r="CT75" s="12">
        <f>IF('Données projet'!$A$140&gt;35,CT74+CS75-DB74,IF(A75&lt;'Données projet'!$A$140,$CQ$205^A75,IF(A75='Données projet'!$A$140,'Données projet'!$B$140,CT74+CS75-DB74)))</f>
        <v>244.79124999999996</v>
      </c>
      <c r="CU75" s="17">
        <f>CT75*VLOOKUP('Données projet'!$B$13,Paramètres!$A$1:$I$89,3,0)*VLOOKUP('Données projet'!$B$13,Paramètres!$A$1:$I$89,5,0)</f>
        <v>232.94335349999997</v>
      </c>
      <c r="CV75" s="13">
        <f t="shared" si="95"/>
        <v>56.918631610926248</v>
      </c>
      <c r="CW75" s="20">
        <f t="shared" si="67"/>
        <v>504.84295740152987</v>
      </c>
      <c r="CX75" s="59">
        <f t="shared" si="68"/>
        <v>783.35536785025022</v>
      </c>
      <c r="CY75" s="59">
        <f ca="1">AVERAGE(OFFSET($CX$3,0,0,'Données projet'!$E$13+1,1))-AVERAGE(OFFSET($H$3,0,0,'Données projet'!$E$13+1,1))</f>
        <v>470.42022791389275</v>
      </c>
      <c r="CZ75" s="59">
        <f t="shared" si="96"/>
        <v>300.26117330627346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11.392014878626439</v>
      </c>
      <c r="DG75" s="21">
        <f>EXP(-LN(2)/25)*DG74+(1-EXP(-LN(2)/25))/(LN(2)/25)*Calculateur!DB75*Calculateur!DD75*VLOOKUP('Données projet'!$B$13,Paramètres!$A$1:$I$89,3,0)*0.475*44/12</f>
        <v>15.69124852223039</v>
      </c>
      <c r="DH75" s="21">
        <f>EXP(-LN(2)/2)*DH74+(1-EXP(-LN(2)/2))/(LN(2)/2)*DB75*DE75*VLOOKUP('Données projet'!$B$13,Paramètres!$A$1:$I$89,3,0)*0.475*44/12</f>
        <v>1.8027443714454585</v>
      </c>
      <c r="DI75" s="22">
        <f t="shared" si="69"/>
        <v>28.886007772302289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65.957930122378272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6.7437500000000021</v>
      </c>
      <c r="DO75" s="12">
        <f>IF('Données projet'!$A$166&gt;35,DO74+DN75-DW74,IF(A75&lt;'Données projet'!$A$166,$DL$205^A75,IF(A75='Données projet'!$A$166,'Données projet'!$B$166,DO74+DN75-DW74)))</f>
        <v>168.80125000000001</v>
      </c>
      <c r="DP75" s="17">
        <f>DO75*VLOOKUP('Données projet'!$B$14,Paramètres!$A$1:$I$89,3,0)*VLOOKUP('Données projet'!$B$14,Paramètres!$A$1:$I$89,5,0)</f>
        <v>163.26456900000002</v>
      </c>
      <c r="DQ75" s="13">
        <f t="shared" si="97"/>
        <v>41.577980240014099</v>
      </c>
      <c r="DR75" s="20">
        <f t="shared" si="70"/>
        <v>356.76743992635789</v>
      </c>
      <c r="DS75" s="59">
        <f t="shared" si="71"/>
        <v>635.27985037507824</v>
      </c>
      <c r="DT75" s="59">
        <f ca="1">AVERAGE(OFFSET($DS$3,0,0,'Données projet'!$E$14+1,1))-AVERAGE(OFFSET($H$3,0,0,'Données projet'!$E$14+1,1))</f>
        <v>537.37164071064103</v>
      </c>
      <c r="DU75" s="59">
        <f t="shared" si="98"/>
        <v>263.29777321132235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0</v>
      </c>
      <c r="EB75" s="21">
        <f>EXP(-LN(2)/25)*EB74+(1-EXP(-LN(2)/25))/(LN(2)/25)*Calculateur!DW75*Calculateur!DY75*VLOOKUP('Données projet'!$B$14,Paramètres!$A$1:$I$89,3,0)*0.475*44/12</f>
        <v>10.429418873179777</v>
      </c>
      <c r="EC75" s="21">
        <f>EXP(-LN(2)/2)*EC74+(1-EXP(-LN(2)/2))/(LN(2)/2)*DW75*DZ75*VLOOKUP('Données projet'!$B$14,Paramètres!$A$1:$I$89,3,0)*0.475*44/12</f>
        <v>3.6652873106124844</v>
      </c>
      <c r="ED75" s="22">
        <f t="shared" si="72"/>
        <v>14.094706183792262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65.957930122378272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65.957930122378272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65.957930122378272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65.957930122378272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45">
      <c r="A76" s="10">
        <f t="shared" si="85"/>
        <v>73</v>
      </c>
      <c r="B76" s="73">
        <f>'Scénario référence'!$B$16*5+'Scénario référence'!$B$17*0+'Scénario référence'!$B$18*5</f>
        <v>2.8499999999999996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10.449999999999998</v>
      </c>
      <c r="H76" s="67">
        <f t="shared" si="56"/>
        <v>214.86666666666667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66.028050998040555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12.795000000000002</v>
      </c>
      <c r="N76" s="13">
        <f>IF('Données projet'!$A$36&gt;35,N75+M76-V75,IF(A76&lt;'Données projet'!$A$36,$K$205^A76,IF(A76='Données projet'!$A$36,'Données projet'!$B$36,N75+M76-V75)))</f>
        <v>402.00500000000011</v>
      </c>
      <c r="O76" s="13">
        <f>N76*VLOOKUP('Données projet'!$B$9,Paramètres!$A$1:$I$89,3,0)*VLOOKUP('Données projet'!$B$9,Paramètres!$A$1:$I$89,5,0)</f>
        <v>363.73412400000007</v>
      </c>
      <c r="P76" s="13">
        <f t="shared" si="87"/>
        <v>84.384143854645217</v>
      </c>
      <c r="Q76" s="20">
        <f t="shared" si="54"/>
        <v>780.47264984684045</v>
      </c>
      <c r="R76" s="59">
        <f t="shared" si="55"/>
        <v>1059.2421701729891</v>
      </c>
      <c r="S76" s="59">
        <f ca="1">AVERAGE(OFFSET($R$3,0,0,'Données projet'!$E$9+1,1))-AVERAGE(OFFSET($H$3,0,0,'Données projet'!$E$9+1,1))</f>
        <v>719.20816951277925</v>
      </c>
      <c r="T76" s="59">
        <f t="shared" si="88"/>
        <v>237.1127421841087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17.384299268513548</v>
      </c>
      <c r="AA76" s="21">
        <f>EXP(-LN(2)/25)*AA75+(1-EXP(-LN(2)/25))/(LN(2)/25)*Calculateur!V76*Calculateur!X76*VLOOKUP('Données projet'!$B$9,Paramètres!$A$1:$I$89,3,0)*0.475*44/12</f>
        <v>34.622948432672239</v>
      </c>
      <c r="AB76" s="21">
        <f>EXP(-LN(2)/2)*AB75+(1-EXP(-LN(2)/2))/(LN(2)/2)*V76*Y76*VLOOKUP('Données projet'!$B$9,Paramètres!$A$1:$I$89,3,0)*0.475*44/12</f>
        <v>0.61253169616330083</v>
      </c>
      <c r="AC76" s="22">
        <f t="shared" si="57"/>
        <v>52.619779397349092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66.028050998040555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12.707777777777771</v>
      </c>
      <c r="AI76" s="13">
        <f>IF('Données projet'!$A$62&gt;35,AI75+AH76-AQ75,IF(A76&lt;'Données projet'!$A$62,$AF$205^A76,IF(A76='Données projet'!$A$62,'Données projet'!$B$62,AI75+AH76-AQ75)))</f>
        <v>331.61777777777752</v>
      </c>
      <c r="AJ76" s="13">
        <f>AI76*VLOOKUP('Données projet'!$B$10,Paramètres!$A$1:$I$89,3,0)*VLOOKUP('Données projet'!$B$10,Paramètres!$A$1:$I$89,5,0)</f>
        <v>279.35481599999986</v>
      </c>
      <c r="AK76" s="13">
        <f t="shared" si="89"/>
        <v>66.830644654544344</v>
      </c>
      <c r="AL76" s="20">
        <f t="shared" si="58"/>
        <v>602.93967730666452</v>
      </c>
      <c r="AM76" s="59">
        <f t="shared" si="59"/>
        <v>881.70919763281324</v>
      </c>
      <c r="AN76" s="59">
        <f ca="1">AVERAGE(OFFSET($AM$3,0,0,'Données projet'!$E$10+1,1))-AVERAGE(OFFSET($H$3,0,0,'Données projet'!$E$10+1,1))</f>
        <v>442.79037205372367</v>
      </c>
      <c r="AO76" s="59">
        <f t="shared" si="90"/>
        <v>288.23553637727969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30.955735348714093</v>
      </c>
      <c r="AV76" s="21">
        <f>EXP(-LN(2)/25)*AV75+(1-EXP(-LN(2)/25))/(LN(2)/25)*Calculateur!AQ76*Calculateur!AS76*VLOOKUP('Données projet'!$B$10,Paramètres!$A$1:$I$89,3,0)*0.475*44/12</f>
        <v>27.716883602068275</v>
      </c>
      <c r="AW76" s="21">
        <f>EXP(-LN(2)/2)*AW75+(1-EXP(-LN(2)/2))/(LN(2)/2)*AQ76*AT76*VLOOKUP('Données projet'!$B$10,Paramètres!$A$1:$I$89,3,0)*0.475*44/12</f>
        <v>4.0229563717484611</v>
      </c>
      <c r="AX76" s="21">
        <f t="shared" si="60"/>
        <v>62.695575322530829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66.028050998040555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6.7437500000000021</v>
      </c>
      <c r="BD76" s="12">
        <f>IF('Données projet'!$A$88&gt;35,BD75+BC76-BL75,IF(A76&lt;'Données projet'!$A$88,$BA$205^A76,IF(A76='Données projet'!$A$88,'Données projet'!$B$88,BD75+BC76-BL75)))</f>
        <v>175.54500000000002</v>
      </c>
      <c r="BE76" s="13">
        <f>BD76*VLOOKUP('Données projet'!$B$11,Paramètres!$A$1:$I$89,3,0)*VLOOKUP('Données projet'!$B$11,Paramètres!$A$1:$I$89,5,0)</f>
        <v>178.00263000000001</v>
      </c>
      <c r="BF76" s="13">
        <f t="shared" si="91"/>
        <v>44.877519962268245</v>
      </c>
      <c r="BG76" s="20">
        <f t="shared" si="61"/>
        <v>388.18292785095059</v>
      </c>
      <c r="BH76" s="59">
        <f t="shared" si="62"/>
        <v>666.95244817709931</v>
      </c>
      <c r="BI76" s="59">
        <f ca="1">AVERAGE(OFFSET($BH$3,0,0,'Données projet'!$E$11+1,1))-AVERAGE(OFFSET($H$3,0,0,'Données projet'!$E$11+1,1))</f>
        <v>559.91818701710872</v>
      </c>
      <c r="BJ76" s="59">
        <f t="shared" si="92"/>
        <v>273.47272623465915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0</v>
      </c>
      <c r="BQ76" s="21">
        <f>EXP(-LN(2)/25)*BQ75+(1-EXP(-LN(2)/25))/(LN(2)/25)*Calculateur!BL76*Calculateur!BN76*VLOOKUP('Données projet'!$B$11,Paramètres!$A$1:$I$89,3,0)*0.475*44/12</f>
        <v>34.032241613737774</v>
      </c>
      <c r="BR76" s="21">
        <f>EXP(-LN(2)/2)*BR75+(1-EXP(-LN(2)/2))/(LN(2)/2)*BL76*BO76*VLOOKUP('Données projet'!$B$11,Paramètres!$A$1:$I$89,3,0)*0.475*44/12</f>
        <v>2.1737253974389801</v>
      </c>
      <c r="BS76" s="22">
        <f t="shared" si="63"/>
        <v>36.205967011176753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66.028050998040555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-1.1368683772161603E-13</v>
      </c>
      <c r="BZ76" s="13">
        <f>BY76*VLOOKUP('Données projet'!$B$12,Paramètres!$A$1:$I$89,3,0)*VLOOKUP('Données projet'!$B$12,Paramètres!$A$1:$I$89,5,0)</f>
        <v>-8.8675733422860506E-14</v>
      </c>
      <c r="CA76" s="13" t="e">
        <f t="shared" si="93"/>
        <v>#NUM!</v>
      </c>
      <c r="CB76" s="20" t="e">
        <f t="shared" si="64"/>
        <v>#NUM!</v>
      </c>
      <c r="CC76" s="59" t="e">
        <f t="shared" si="65"/>
        <v>#NUM!</v>
      </c>
      <c r="CD76" s="59">
        <f ca="1">AVERAGE(OFFSET($CC$3,0,0,'Données projet'!$E$12+1,1))-AVERAGE(OFFSET($H$3,0,0,'Données projet'!$E$12+1,1))</f>
        <v>208.92677786250815</v>
      </c>
      <c r="CE76" s="59">
        <f t="shared" si="94"/>
        <v>207.54290142772214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25.463968489754247</v>
      </c>
      <c r="CL76" s="21">
        <f>EXP(-LN(2)/25)*CL75+(1-EXP(-LN(2)/25))/(LN(2)/25)*Calculateur!CG76*Calculateur!CI76*VLOOKUP('Données projet'!$B$12,Paramètres!$A$1:$I$89,3,0)*0.475*44/12</f>
        <v>24.289134103044823</v>
      </c>
      <c r="CM76" s="21">
        <f>EXP(-LN(2)/2)*CM75+(1-EXP(-LN(2)/2))/(LN(2)/2)*CG76*CJ76*VLOOKUP('Données projet'!$B$12,Paramètres!$A$1:$I$89,3,0)*0.475*44/12</f>
        <v>9.7365419316159283</v>
      </c>
      <c r="CN76" s="22">
        <f t="shared" si="66"/>
        <v>59.489644524414999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66.028050998040555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9.65625</v>
      </c>
      <c r="CT76" s="12">
        <f>IF('Données projet'!$A$140&gt;35,CT75+CS76-DB75,IF(A76&lt;'Données projet'!$A$140,$CQ$205^A76,IF(A76='Données projet'!$A$140,'Données projet'!$B$140,CT75+CS76-DB75)))</f>
        <v>254.44749999999996</v>
      </c>
      <c r="CU76" s="17">
        <f>CT76*VLOOKUP('Données projet'!$B$13,Paramètres!$A$1:$I$89,3,0)*VLOOKUP('Données projet'!$B$13,Paramètres!$A$1:$I$89,5,0)</f>
        <v>242.13224099999996</v>
      </c>
      <c r="CV76" s="13">
        <f t="shared" si="95"/>
        <v>58.898056089565813</v>
      </c>
      <c r="CW76" s="20">
        <f t="shared" si="67"/>
        <v>524.29443409766043</v>
      </c>
      <c r="CX76" s="59">
        <f t="shared" si="68"/>
        <v>803.06395442380915</v>
      </c>
      <c r="CY76" s="59">
        <f ca="1">AVERAGE(OFFSET($CX$3,0,0,'Données projet'!$E$13+1,1))-AVERAGE(OFFSET($H$3,0,0,'Données projet'!$E$13+1,1))</f>
        <v>470.42022791389275</v>
      </c>
      <c r="CZ76" s="59">
        <f t="shared" si="96"/>
        <v>300.26117330627346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11.168624415299549</v>
      </c>
      <c r="DG76" s="21">
        <f>EXP(-LN(2)/25)*DG75+(1-EXP(-LN(2)/25))/(LN(2)/25)*Calculateur!DB76*Calculateur!DD76*VLOOKUP('Données projet'!$B$13,Paramètres!$A$1:$I$89,3,0)*0.475*44/12</f>
        <v>15.262170506223104</v>
      </c>
      <c r="DH76" s="21">
        <f>EXP(-LN(2)/2)*DH75+(1-EXP(-LN(2)/2))/(LN(2)/2)*DB76*DE76*VLOOKUP('Données projet'!$B$13,Paramètres!$A$1:$I$89,3,0)*0.475*44/12</f>
        <v>1.274732769794964</v>
      </c>
      <c r="DI76" s="22">
        <f t="shared" si="69"/>
        <v>27.70552769131762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66.028050998040555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6.7437500000000021</v>
      </c>
      <c r="DO76" s="12">
        <f>IF('Données projet'!$A$166&gt;35,DO75+DN76-DW75,IF(A76&lt;'Données projet'!$A$166,$DL$205^A76,IF(A76='Données projet'!$A$166,'Données projet'!$B$166,DO75+DN76-DW75)))</f>
        <v>175.54500000000002</v>
      </c>
      <c r="DP76" s="17">
        <f>DO76*VLOOKUP('Données projet'!$B$14,Paramètres!$A$1:$I$89,3,0)*VLOOKUP('Données projet'!$B$14,Paramètres!$A$1:$I$89,5,0)</f>
        <v>169.78712400000001</v>
      </c>
      <c r="DQ76" s="13">
        <f t="shared" si="97"/>
        <v>43.042342966500492</v>
      </c>
      <c r="DR76" s="20">
        <f t="shared" si="70"/>
        <v>370.67798829998833</v>
      </c>
      <c r="DS76" s="59">
        <f t="shared" si="71"/>
        <v>649.44750862613705</v>
      </c>
      <c r="DT76" s="59">
        <f ca="1">AVERAGE(OFFSET($DS$3,0,0,'Données projet'!$E$14+1,1))-AVERAGE(OFFSET($H$3,0,0,'Données projet'!$E$14+1,1))</f>
        <v>537.37164071064103</v>
      </c>
      <c r="DU76" s="59">
        <f t="shared" si="98"/>
        <v>263.29777321132235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0</v>
      </c>
      <c r="EB76" s="21">
        <f>EXP(-LN(2)/25)*EB75+(1-EXP(-LN(2)/25))/(LN(2)/25)*Calculateur!DW76*Calculateur!DY76*VLOOKUP('Données projet'!$B$14,Paramètres!$A$1:$I$89,3,0)*0.475*44/12</f>
        <v>10.144225865633375</v>
      </c>
      <c r="EC76" s="21">
        <f>EXP(-LN(2)/2)*EC75+(1-EXP(-LN(2)/2))/(LN(2)/2)*DW76*DZ76*VLOOKUP('Données projet'!$B$14,Paramètres!$A$1:$I$89,3,0)*0.475*44/12</f>
        <v>2.5917495123310914</v>
      </c>
      <c r="ED76" s="22">
        <f t="shared" si="72"/>
        <v>12.735975377964467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66.028050998040555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66.028050998040555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66.028050998040555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66.028050998040555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45">
      <c r="A77" s="10">
        <f t="shared" si="85"/>
        <v>74</v>
      </c>
      <c r="B77" s="73">
        <f>'Scénario référence'!$B$16*5+'Scénario référence'!$B$17*0+'Scénario référence'!$B$18*5</f>
        <v>2.8499999999999996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10.449999999999998</v>
      </c>
      <c r="H77" s="67">
        <f t="shared" si="56"/>
        <v>214.86666666666667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66.096955433276889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>
        <f>VLOOKUP(A77,'Données projet'!$A$35:$I$55,2,0)</f>
        <v>414.8</v>
      </c>
      <c r="L77" s="12">
        <f>VLOOKUP(A77,'Données projet'!$A$35:$I$55,9,0)</f>
        <v>12.795000000000002</v>
      </c>
      <c r="M77" s="12">
        <f t="array" ref="M77">INDEX(L:L,MIN(IF(ISNUMBER(L77:L273),ROW(L77:L273),"")))</f>
        <v>12.795000000000002</v>
      </c>
      <c r="N77" s="13">
        <f>IF('Données projet'!$A$36&gt;35,N76+M77-V76,IF(A77&lt;'Données projet'!$A$36,$K$205^A77,IF(A77='Données projet'!$A$36,'Données projet'!$B$36,N76+M77-V76)))</f>
        <v>414.80000000000013</v>
      </c>
      <c r="O77" s="13">
        <f>N77*VLOOKUP('Données projet'!$B$9,Paramètres!$A$1:$I$89,3,0)*VLOOKUP('Données projet'!$B$9,Paramètres!$A$1:$I$89,5,0)</f>
        <v>375.31104000000011</v>
      </c>
      <c r="P77" s="13">
        <f t="shared" si="87"/>
        <v>86.752950168429535</v>
      </c>
      <c r="Q77" s="20">
        <f t="shared" si="54"/>
        <v>804.76144954334825</v>
      </c>
      <c r="R77" s="59">
        <f t="shared" si="55"/>
        <v>1083.7836194653635</v>
      </c>
      <c r="S77" s="59">
        <f ca="1">AVERAGE(OFFSET($R$3,0,0,'Données projet'!$E$9+1,1))-AVERAGE(OFFSET($H$3,0,0,'Données projet'!$E$9+1,1))</f>
        <v>719.20816951277925</v>
      </c>
      <c r="T77" s="59">
        <f t="shared" si="88"/>
        <v>237.1127421841087</v>
      </c>
      <c r="U77" s="15">
        <f>IF(ISNA(VLOOKUP(A77,'Données projet'!$A$35:$I$55,3,0)),0,VLOOKUP(A77,'Données projet'!$A$35:$I$55,3,0))</f>
        <v>6</v>
      </c>
      <c r="V77" s="15">
        <f>IF(ISNA(VLOOKUP(A77,'Données projet'!$A$35:$I$55,4,0)),0,VLOOKUP(A77,'Données projet'!$A$35:$I$55,4,0))</f>
        <v>75.29000000000002</v>
      </c>
      <c r="W77" s="16">
        <f>IF(ISNA(VLOOKUP(A77,'Données projet'!$A$35:$I$55,5,0)),0%,VLOOKUP(A77,'Données projet'!$A$35:$I$55,5,0)*VLOOKUP('Données projet'!$B$9,Paramètres!$A$1:$I$89,7,0))</f>
        <v>0.15049999999999999</v>
      </c>
      <c r="X77" s="16">
        <f>IF(ISNA(VLOOKUP(A77,'Données projet'!$A$35:$I$55,6,0)),0%,VLOOKUP(A77,'Données projet'!$A$35:$I$55,6,0)*VLOOKUP('Données projet'!$B$9,Paramètres!$A$1:$I$89,7,0))</f>
        <v>8.6000000000000007E-2</v>
      </c>
      <c r="Y77" s="16">
        <f>IF(ISNA(VLOOKUP(A77,'Données projet'!$A$35:$I$55,7,0)),0%,VLOOKUP(A77,'Données projet'!$A$35:$I$55,7,0))</f>
        <v>0.1</v>
      </c>
      <c r="Z77" s="21">
        <f>EXP(-LN(2)/35)*Z76+(1-EXP(-LN(2)/35))/(LN(2)/35)*V77*W77*VLOOKUP('Données projet'!$B$9,Paramètres!$A$1:$I$89,3,0)*0.475*44/12</f>
        <v>28.377150387342887</v>
      </c>
      <c r="AA77" s="21">
        <f>EXP(-LN(2)/25)*AA76+(1-EXP(-LN(2)/25))/(LN(2)/25)*Calculateur!V77*Calculateur!X77*VLOOKUP('Données projet'!$B$9,Paramètres!$A$1:$I$89,3,0)*0.475*44/12</f>
        <v>40.127108569984337</v>
      </c>
      <c r="AB77" s="21">
        <f>EXP(-LN(2)/2)*AB76+(1-EXP(-LN(2)/2))/(LN(2)/2)*V77*Y77*VLOOKUP('Données projet'!$B$9,Paramètres!$A$1:$I$89,3,0)*0.475*44/12</f>
        <v>6.8606563499786484</v>
      </c>
      <c r="AC77" s="22">
        <f t="shared" si="57"/>
        <v>75.364915307305878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66.096955433276889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12.707777777777771</v>
      </c>
      <c r="AI77" s="13">
        <f>IF('Données projet'!$A$62&gt;35,AI76+AH77-AQ76,IF(A77&lt;'Données projet'!$A$62,$AF$205^A77,IF(A77='Données projet'!$A$62,'Données projet'!$B$62,AI76+AH77-AQ76)))</f>
        <v>344.3255555555553</v>
      </c>
      <c r="AJ77" s="13">
        <f>AI77*VLOOKUP('Données projet'!$B$10,Paramètres!$A$1:$I$89,3,0)*VLOOKUP('Données projet'!$B$10,Paramètres!$A$1:$I$89,5,0)</f>
        <v>290.05984799999982</v>
      </c>
      <c r="AK77" s="13">
        <f t="shared" si="89"/>
        <v>69.088556925071103</v>
      </c>
      <c r="AL77" s="20">
        <f t="shared" si="58"/>
        <v>625.51680524449841</v>
      </c>
      <c r="AM77" s="59">
        <f t="shared" si="59"/>
        <v>904.53897516651364</v>
      </c>
      <c r="AN77" s="59">
        <f ca="1">AVERAGE(OFFSET($AM$3,0,0,'Données projet'!$E$10+1,1))-AVERAGE(OFFSET($H$3,0,0,'Données projet'!$E$10+1,1))</f>
        <v>442.79037205372367</v>
      </c>
      <c r="AO77" s="59">
        <f t="shared" si="90"/>
        <v>288.23553637727969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30.348712259660015</v>
      </c>
      <c r="AV77" s="21">
        <f>EXP(-LN(2)/25)*AV76+(1-EXP(-LN(2)/25))/(LN(2)/25)*Calculateur!AQ77*Calculateur!AS77*VLOOKUP('Données projet'!$B$10,Paramètres!$A$1:$I$89,3,0)*0.475*44/12</f>
        <v>26.958963962402159</v>
      </c>
      <c r="AW77" s="21">
        <f>EXP(-LN(2)/2)*AW76+(1-EXP(-LN(2)/2))/(LN(2)/2)*AQ77*AT77*VLOOKUP('Données projet'!$B$10,Paramètres!$A$1:$I$89,3,0)*0.475*44/12</f>
        <v>2.8446597308809665</v>
      </c>
      <c r="AX77" s="21">
        <f t="shared" si="60"/>
        <v>60.152335952943133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66.096955433276889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6.7437500000000021</v>
      </c>
      <c r="BD77" s="12">
        <f>IF('Données projet'!$A$88&gt;35,BD76+BC77-BL76,IF(A77&lt;'Données projet'!$A$88,$BA$205^A77,IF(A77='Données projet'!$A$88,'Données projet'!$B$88,BD76+BC77-BL76)))</f>
        <v>182.28875000000002</v>
      </c>
      <c r="BE77" s="13">
        <f>BD77*VLOOKUP('Données projet'!$B$11,Paramètres!$A$1:$I$89,3,0)*VLOOKUP('Données projet'!$B$11,Paramètres!$A$1:$I$89,5,0)</f>
        <v>184.84079250000005</v>
      </c>
      <c r="BF77" s="13">
        <f t="shared" si="91"/>
        <v>46.397504256544451</v>
      </c>
      <c r="BG77" s="20">
        <f t="shared" si="61"/>
        <v>402.74003351764833</v>
      </c>
      <c r="BH77" s="59">
        <f t="shared" si="62"/>
        <v>681.76220343966361</v>
      </c>
      <c r="BI77" s="59">
        <f ca="1">AVERAGE(OFFSET($BH$3,0,0,'Données projet'!$E$11+1,1))-AVERAGE(OFFSET($H$3,0,0,'Données projet'!$E$11+1,1))</f>
        <v>559.91818701710872</v>
      </c>
      <c r="BJ77" s="59">
        <f t="shared" si="92"/>
        <v>273.47272623465915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0</v>
      </c>
      <c r="BQ77" s="21">
        <f>EXP(-LN(2)/25)*BQ76+(1-EXP(-LN(2)/25))/(LN(2)/25)*Calculateur!BL77*Calculateur!BN77*VLOOKUP('Données projet'!$B$11,Paramètres!$A$1:$I$89,3,0)*0.475*44/12</f>
        <v>33.101628177132312</v>
      </c>
      <c r="BR77" s="21">
        <f>EXP(-LN(2)/2)*BR76+(1-EXP(-LN(2)/2))/(LN(2)/2)*BL77*BO77*VLOOKUP('Données projet'!$B$11,Paramètres!$A$1:$I$89,3,0)*0.475*44/12</f>
        <v>1.537055968966526</v>
      </c>
      <c r="BS77" s="22">
        <f t="shared" si="63"/>
        <v>34.638684146098839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66.096955433276889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-1.1368683772161603E-13</v>
      </c>
      <c r="BZ77" s="13">
        <f>BY77*VLOOKUP('Données projet'!$B$12,Paramètres!$A$1:$I$89,3,0)*VLOOKUP('Données projet'!$B$12,Paramètres!$A$1:$I$89,5,0)</f>
        <v>-8.8675733422860506E-14</v>
      </c>
      <c r="CA77" s="13" t="e">
        <f t="shared" si="93"/>
        <v>#NUM!</v>
      </c>
      <c r="CB77" s="20" t="e">
        <f t="shared" si="64"/>
        <v>#NUM!</v>
      </c>
      <c r="CC77" s="59" t="e">
        <f t="shared" si="65"/>
        <v>#NUM!</v>
      </c>
      <c r="CD77" s="59">
        <f ca="1">AVERAGE(OFFSET($CC$3,0,0,'Données projet'!$E$12+1,1))-AVERAGE(OFFSET($H$3,0,0,'Données projet'!$E$12+1,1))</f>
        <v>208.92677786250815</v>
      </c>
      <c r="CE77" s="59">
        <f t="shared" si="94"/>
        <v>207.54290142772214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24.964635599157337</v>
      </c>
      <c r="CL77" s="21">
        <f>EXP(-LN(2)/25)*CL76+(1-EXP(-LN(2)/25))/(LN(2)/25)*Calculateur!CG77*Calculateur!CI77*VLOOKUP('Données projet'!$B$12,Paramètres!$A$1:$I$89,3,0)*0.475*44/12</f>
        <v>23.624946453687013</v>
      </c>
      <c r="CM77" s="21">
        <f>EXP(-LN(2)/2)*CM76+(1-EXP(-LN(2)/2))/(LN(2)/2)*CG77*CJ77*VLOOKUP('Données projet'!$B$12,Paramètres!$A$1:$I$89,3,0)*0.475*44/12</f>
        <v>6.8847748251527898</v>
      </c>
      <c r="CN77" s="22">
        <f t="shared" si="66"/>
        <v>55.474356877997138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66.096955433276889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9.65625</v>
      </c>
      <c r="CT77" s="12">
        <f>IF('Données projet'!$A$140&gt;35,CT76+CS77-DB76,IF(A77&lt;'Données projet'!$A$140,$CQ$205^A77,IF(A77='Données projet'!$A$140,'Données projet'!$B$140,CT76+CS77-DB76)))</f>
        <v>264.10374999999999</v>
      </c>
      <c r="CU77" s="17">
        <f>CT77*VLOOKUP('Données projet'!$B$13,Paramètres!$A$1:$I$89,3,0)*VLOOKUP('Données projet'!$B$13,Paramètres!$A$1:$I$89,5,0)</f>
        <v>251.32112849999999</v>
      </c>
      <c r="CV77" s="13">
        <f t="shared" si="95"/>
        <v>60.868753799109797</v>
      </c>
      <c r="CW77" s="20">
        <f t="shared" si="67"/>
        <v>543.73071167094952</v>
      </c>
      <c r="CX77" s="59">
        <f t="shared" si="68"/>
        <v>822.75288159296474</v>
      </c>
      <c r="CY77" s="59">
        <f ca="1">AVERAGE(OFFSET($CX$3,0,0,'Données projet'!$E$13+1,1))-AVERAGE(OFFSET($H$3,0,0,'Données projet'!$E$13+1,1))</f>
        <v>470.42022791389275</v>
      </c>
      <c r="CZ77" s="59">
        <f t="shared" si="96"/>
        <v>300.26117330627346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10.949614502703771</v>
      </c>
      <c r="DG77" s="21">
        <f>EXP(-LN(2)/25)*DG76+(1-EXP(-LN(2)/25))/(LN(2)/25)*Calculateur!DB77*Calculateur!DD77*VLOOKUP('Données projet'!$B$13,Paramètres!$A$1:$I$89,3,0)*0.475*44/12</f>
        <v>14.844825651127769</v>
      </c>
      <c r="DH77" s="21">
        <f>EXP(-LN(2)/2)*DH76+(1-EXP(-LN(2)/2))/(LN(2)/2)*DB77*DE77*VLOOKUP('Données projet'!$B$13,Paramètres!$A$1:$I$89,3,0)*0.475*44/12</f>
        <v>0.90137218572272926</v>
      </c>
      <c r="DI77" s="22">
        <f t="shared" si="69"/>
        <v>26.695812339554266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66.096955433276889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6.7437500000000021</v>
      </c>
      <c r="DO77" s="12">
        <f>IF('Données projet'!$A$166&gt;35,DO76+DN77-DW76,IF(A77&lt;'Données projet'!$A$166,$DL$205^A77,IF(A77='Données projet'!$A$166,'Données projet'!$B$166,DO76+DN77-DW76)))</f>
        <v>182.28875000000002</v>
      </c>
      <c r="DP77" s="17">
        <f>DO77*VLOOKUP('Données projet'!$B$14,Paramètres!$A$1:$I$89,3,0)*VLOOKUP('Données projet'!$B$14,Paramètres!$A$1:$I$89,5,0)</f>
        <v>176.30967900000002</v>
      </c>
      <c r="DQ77" s="13">
        <f t="shared" si="97"/>
        <v>44.500170523659108</v>
      </c>
      <c r="DR77" s="20">
        <f t="shared" si="70"/>
        <v>384.57715458703962</v>
      </c>
      <c r="DS77" s="59">
        <f t="shared" si="71"/>
        <v>663.5993245090549</v>
      </c>
      <c r="DT77" s="59">
        <f ca="1">AVERAGE(OFFSET($DS$3,0,0,'Données projet'!$E$14+1,1))-AVERAGE(OFFSET($H$3,0,0,'Données projet'!$E$14+1,1))</f>
        <v>537.37164071064103</v>
      </c>
      <c r="DU77" s="59">
        <f t="shared" si="98"/>
        <v>263.29777321132235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0</v>
      </c>
      <c r="EB77" s="21">
        <f>EXP(-LN(2)/25)*EB76+(1-EXP(-LN(2)/25))/(LN(2)/25)*Calculateur!DW77*Calculateur!DY77*VLOOKUP('Données projet'!$B$14,Paramètres!$A$1:$I$89,3,0)*0.475*44/12</f>
        <v>9.8668314758759781</v>
      </c>
      <c r="EC77" s="21">
        <f>EXP(-LN(2)/2)*EC76+(1-EXP(-LN(2)/2))/(LN(2)/2)*DW77*DZ77*VLOOKUP('Données projet'!$B$14,Paramètres!$A$1:$I$89,3,0)*0.475*44/12</f>
        <v>1.8326436553062424</v>
      </c>
      <c r="ED77" s="22">
        <f t="shared" si="72"/>
        <v>11.69947513118222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66.096955433276889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66.096955433276889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66.096955433276889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66.096955433276889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45">
      <c r="A78" s="10">
        <f t="shared" si="85"/>
        <v>75</v>
      </c>
      <c r="B78" s="73">
        <f>'Scénario référence'!$B$16*5+'Scénario référence'!$B$17*0+'Scénario référence'!$B$18*5</f>
        <v>2.8499999999999996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10.449999999999998</v>
      </c>
      <c r="H78" s="67">
        <f t="shared" si="56"/>
        <v>214.86666666666667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66.16466453060913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12.082500000000003</v>
      </c>
      <c r="N78" s="13">
        <f>IF('Données projet'!$A$36&gt;35,N77+M78-V77,IF(A78&lt;'Données projet'!$A$36,$K$205^A78,IF(A78='Données projet'!$A$36,'Données projet'!$B$36,N77+M78-V77)))</f>
        <v>351.59250000000009</v>
      </c>
      <c r="O78" s="13">
        <f>N78*VLOOKUP('Données projet'!$B$9,Paramètres!$A$1:$I$89,3,0)*VLOOKUP('Données projet'!$B$9,Paramètres!$A$1:$I$89,5,0)</f>
        <v>318.12089400000008</v>
      </c>
      <c r="P78" s="13">
        <f t="shared" si="87"/>
        <v>74.962235198318652</v>
      </c>
      <c r="Q78" s="20">
        <f t="shared" si="54"/>
        <v>684.6197833537384</v>
      </c>
      <c r="R78" s="59">
        <f t="shared" si="55"/>
        <v>963.89021996597194</v>
      </c>
      <c r="S78" s="59">
        <f ca="1">AVERAGE(OFFSET($R$3,0,0,'Données projet'!$E$9+1,1))-AVERAGE(OFFSET($H$3,0,0,'Données projet'!$E$9+1,1))</f>
        <v>719.20816951277925</v>
      </c>
      <c r="T78" s="59">
        <f t="shared" si="88"/>
        <v>237.1127421841087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27.820691776599773</v>
      </c>
      <c r="AA78" s="21">
        <f>EXP(-LN(2)/25)*AA77+(1-EXP(-LN(2)/25))/(LN(2)/25)*Calculateur!V78*Calculateur!X78*VLOOKUP('Données projet'!$B$9,Paramètres!$A$1:$I$89,3,0)*0.475*44/12</f>
        <v>39.029830675945185</v>
      </c>
      <c r="AB78" s="21">
        <f>EXP(-LN(2)/2)*AB77+(1-EXP(-LN(2)/2))/(LN(2)/2)*V78*Y78*VLOOKUP('Données projet'!$B$9,Paramètres!$A$1:$I$89,3,0)*0.475*44/12</f>
        <v>4.8512166284604499</v>
      </c>
      <c r="AC78" s="22">
        <f t="shared" si="57"/>
        <v>71.701739081005414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66.16466453060913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12.707777777777771</v>
      </c>
      <c r="AI78" s="13">
        <f>IF('Données projet'!$A$62&gt;35,AI77+AH78-AQ77,IF(A78&lt;'Données projet'!$A$62,$AF$205^A78,IF(A78='Données projet'!$A$62,'Données projet'!$B$62,AI77+AH78-AQ77)))</f>
        <v>357.03333333333308</v>
      </c>
      <c r="AJ78" s="13">
        <f>AI78*VLOOKUP('Données projet'!$B$10,Paramètres!$A$1:$I$89,3,0)*VLOOKUP('Données projet'!$B$10,Paramètres!$A$1:$I$89,5,0)</f>
        <v>300.76487999999978</v>
      </c>
      <c r="AK78" s="13">
        <f t="shared" si="89"/>
        <v>71.336787932050342</v>
      </c>
      <c r="AL78" s="20">
        <f t="shared" si="58"/>
        <v>648.07707164832061</v>
      </c>
      <c r="AM78" s="59">
        <f t="shared" si="59"/>
        <v>927.34750826055415</v>
      </c>
      <c r="AN78" s="59">
        <f ca="1">AVERAGE(OFFSET($AM$3,0,0,'Données projet'!$E$10+1,1))-AVERAGE(OFFSET($H$3,0,0,'Données projet'!$E$10+1,1))</f>
        <v>442.79037205372367</v>
      </c>
      <c r="AO78" s="59">
        <f t="shared" si="90"/>
        <v>288.23553637727969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29.753592523134763</v>
      </c>
      <c r="AV78" s="21">
        <f>EXP(-LN(2)/25)*AV77+(1-EXP(-LN(2)/25))/(LN(2)/25)*Calculateur!AQ78*Calculateur!AS78*VLOOKUP('Données projet'!$B$10,Paramètres!$A$1:$I$89,3,0)*0.475*44/12</f>
        <v>26.221769675139971</v>
      </c>
      <c r="AW78" s="21">
        <f>EXP(-LN(2)/2)*AW77+(1-EXP(-LN(2)/2))/(LN(2)/2)*AQ78*AT78*VLOOKUP('Données projet'!$B$10,Paramètres!$A$1:$I$89,3,0)*0.475*44/12</f>
        <v>2.011478185874231</v>
      </c>
      <c r="AX78" s="21">
        <f t="shared" si="60"/>
        <v>57.986840384148969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66.16466453060913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6.7437500000000021</v>
      </c>
      <c r="BD78" s="12">
        <f>IF('Données projet'!$A$88&gt;35,BD77+BC78-BL77,IF(A78&lt;'Données projet'!$A$88,$BA$205^A78,IF(A78='Données projet'!$A$88,'Données projet'!$B$88,BD77+BC78-BL77)))</f>
        <v>189.03250000000003</v>
      </c>
      <c r="BE78" s="13">
        <f>BD78*VLOOKUP('Données projet'!$B$11,Paramètres!$A$1:$I$89,3,0)*VLOOKUP('Données projet'!$B$11,Paramètres!$A$1:$I$89,5,0)</f>
        <v>191.67895500000003</v>
      </c>
      <c r="BF78" s="13">
        <f t="shared" si="91"/>
        <v>47.910955687340916</v>
      </c>
      <c r="BG78" s="20">
        <f t="shared" si="61"/>
        <v>417.28576111378544</v>
      </c>
      <c r="BH78" s="59">
        <f t="shared" si="62"/>
        <v>696.55619772601892</v>
      </c>
      <c r="BI78" s="59">
        <f ca="1">AVERAGE(OFFSET($BH$3,0,0,'Données projet'!$E$11+1,1))-AVERAGE(OFFSET($H$3,0,0,'Données projet'!$E$11+1,1))</f>
        <v>559.91818701710872</v>
      </c>
      <c r="BJ78" s="59">
        <f t="shared" si="92"/>
        <v>273.47272623465915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0</v>
      </c>
      <c r="BQ78" s="21">
        <f>EXP(-LN(2)/25)*BQ77+(1-EXP(-LN(2)/25))/(LN(2)/25)*Calculateur!BL78*Calculateur!BN78*VLOOKUP('Données projet'!$B$11,Paramètres!$A$1:$I$89,3,0)*0.475*44/12</f>
        <v>32.196462413889655</v>
      </c>
      <c r="BR78" s="21">
        <f>EXP(-LN(2)/2)*BR77+(1-EXP(-LN(2)/2))/(LN(2)/2)*BL78*BO78*VLOOKUP('Données projet'!$B$11,Paramètres!$A$1:$I$89,3,0)*0.475*44/12</f>
        <v>1.08686269871949</v>
      </c>
      <c r="BS78" s="22">
        <f t="shared" si="63"/>
        <v>33.283325112609148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66.16466453060913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-1.1368683772161603E-13</v>
      </c>
      <c r="BZ78" s="13">
        <f>BY78*VLOOKUP('Données projet'!$B$12,Paramètres!$A$1:$I$89,3,0)*VLOOKUP('Données projet'!$B$12,Paramètres!$A$1:$I$89,5,0)</f>
        <v>-8.8675733422860506E-14</v>
      </c>
      <c r="CA78" s="13" t="e">
        <f t="shared" si="93"/>
        <v>#NUM!</v>
      </c>
      <c r="CB78" s="20" t="e">
        <f t="shared" si="64"/>
        <v>#NUM!</v>
      </c>
      <c r="CC78" s="59" t="e">
        <f t="shared" si="65"/>
        <v>#NUM!</v>
      </c>
      <c r="CD78" s="59">
        <f ca="1">AVERAGE(OFFSET($CC$3,0,0,'Données projet'!$E$12+1,1))-AVERAGE(OFFSET($H$3,0,0,'Données projet'!$E$12+1,1))</f>
        <v>208.92677786250815</v>
      </c>
      <c r="CE78" s="59">
        <f t="shared" si="94"/>
        <v>207.54290142772214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24.475094321982041</v>
      </c>
      <c r="CL78" s="21">
        <f>EXP(-LN(2)/25)*CL77+(1-EXP(-LN(2)/25))/(LN(2)/25)*Calculateur!CG78*Calculateur!CI78*VLOOKUP('Données projet'!$B$12,Paramètres!$A$1:$I$89,3,0)*0.475*44/12</f>
        <v>22.978921050529003</v>
      </c>
      <c r="CM78" s="21">
        <f>EXP(-LN(2)/2)*CM77+(1-EXP(-LN(2)/2))/(LN(2)/2)*CG78*CJ78*VLOOKUP('Données projet'!$B$12,Paramètres!$A$1:$I$89,3,0)*0.475*44/12</f>
        <v>4.868270965807965</v>
      </c>
      <c r="CN78" s="22">
        <f t="shared" si="66"/>
        <v>52.32228633831901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66.16466453060913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>
        <f>VLOOKUP(A78,'Données projet'!$A$139:$I$159,2,0)</f>
        <v>273.76</v>
      </c>
      <c r="CR78" s="12">
        <f>VLOOKUP(A78,'Données projet'!$A$139:$I$159,9,0)</f>
        <v>9.65625</v>
      </c>
      <c r="CS78" s="12">
        <f t="array" ref="CS78">INDEX(CR:CR,MIN(IF(ISNUMBER(CR78:CR274),ROW(CR78:CR274),"")))</f>
        <v>9.65625</v>
      </c>
      <c r="CT78" s="12">
        <f>IF('Données projet'!$A$140&gt;35,CT77+CS78-DB77,IF(A78&lt;'Données projet'!$A$140,$CQ$205^A78,IF(A78='Données projet'!$A$140,'Données projet'!$B$140,CT77+CS78-DB77)))</f>
        <v>273.76</v>
      </c>
      <c r="CU78" s="17">
        <f>CT78*VLOOKUP('Données projet'!$B$13,Paramètres!$A$1:$I$89,3,0)*VLOOKUP('Données projet'!$B$13,Paramètres!$A$1:$I$89,5,0)</f>
        <v>260.51001600000001</v>
      </c>
      <c r="CV78" s="13">
        <f t="shared" si="95"/>
        <v>62.831080354761788</v>
      </c>
      <c r="CW78" s="20">
        <f t="shared" si="67"/>
        <v>563.15240948454345</v>
      </c>
      <c r="CX78" s="59">
        <f t="shared" si="68"/>
        <v>842.42284609677699</v>
      </c>
      <c r="CY78" s="59">
        <f ca="1">AVERAGE(OFFSET($CX$3,0,0,'Données projet'!$E$13+1,1))-AVERAGE(OFFSET($H$3,0,0,'Données projet'!$E$13+1,1))</f>
        <v>470.42022791389275</v>
      </c>
      <c r="CZ78" s="59">
        <f t="shared" si="96"/>
        <v>300.26117330627346</v>
      </c>
      <c r="DA78" s="15">
        <f>IF(ISNA(VLOOKUP(A78,'Données projet'!$A$139:$I$159,3,0)),0,VLOOKUP(A78,'Données projet'!$A$139:$I$159,3,0))</f>
        <v>6</v>
      </c>
      <c r="DB78" s="15">
        <f>IF(ISNA(VLOOKUP(A78,'Données projet'!$A$139:$I$159,4,0)),0,VLOOKUP(A78,'Données projet'!$A$139:$I$159,4,0))</f>
        <v>43.519999999999982</v>
      </c>
      <c r="DC78" s="16">
        <f>IF(ISNA(VLOOKUP(A78,'Données projet'!$A$139:$I$159,5,0)),0%,VLOOKUP(A78,'Données projet'!$A$139:$I$159,5,0)*VLOOKUP('Données projet'!$B$13,Paramètres!$A$1:$I$89,7,0))</f>
        <v>0.1075</v>
      </c>
      <c r="DD78" s="16">
        <f>IF(ISNA(VLOOKUP(A78,'Données projet'!$A$139:$I$159,6,0)),0%,VLOOKUP(A78,'Données projet'!$A$139:$I$159,6,0)*VLOOKUP('Données projet'!$B$13,Paramètres!$A$1:$I$89,7,0))</f>
        <v>0.1075</v>
      </c>
      <c r="DE78" s="16">
        <f>IF(ISNA(VLOOKUP(A78,'Données projet'!$A$139:$I$159,7,0)),0%,VLOOKUP(A78,'Données projet'!$A$139:$I$159,7,0))</f>
        <v>0.25</v>
      </c>
      <c r="DF78" s="21">
        <f>EXP(-LN(2)/35)*DF77+(1-EXP(-LN(2)/35))/(LN(2)/35)*DB78*DC78*VLOOKUP('Données projet'!$B$13,Paramètres!$A$1:$I$89,3,0)*0.475*44/12</f>
        <v>15.656415165535513</v>
      </c>
      <c r="DG78" s="21">
        <f>EXP(-LN(2)/25)*DG77+(1-EXP(-LN(2)/25))/(LN(2)/25)*Calculateur!DB78*Calculateur!DD78*VLOOKUP('Données projet'!$B$13,Paramètres!$A$1:$I$89,3,0)*0.475*44/12</f>
        <v>19.341031154226773</v>
      </c>
      <c r="DH78" s="21">
        <f>EXP(-LN(2)/2)*DH77+(1-EXP(-LN(2)/2))/(LN(2)/2)*DB78*DE78*VLOOKUP('Données projet'!$B$13,Paramètres!$A$1:$I$89,3,0)*0.475*44/12</f>
        <v>10.406085490788222</v>
      </c>
      <c r="DI78" s="22">
        <f t="shared" si="69"/>
        <v>45.403531810550511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66.16466453060913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6.7437500000000021</v>
      </c>
      <c r="DO78" s="12">
        <f>IF('Données projet'!$A$166&gt;35,DO77+DN78-DW77,IF(A78&lt;'Données projet'!$A$166,$DL$205^A78,IF(A78='Données projet'!$A$166,'Données projet'!$B$166,DO77+DN78-DW77)))</f>
        <v>189.03250000000003</v>
      </c>
      <c r="DP78" s="17">
        <f>DO78*VLOOKUP('Données projet'!$B$14,Paramètres!$A$1:$I$89,3,0)*VLOOKUP('Données projet'!$B$14,Paramètres!$A$1:$I$89,5,0)</f>
        <v>182.83223400000003</v>
      </c>
      <c r="DQ78" s="13">
        <f t="shared" si="97"/>
        <v>45.951732365807445</v>
      </c>
      <c r="DR78" s="20">
        <f t="shared" si="70"/>
        <v>398.46540808711467</v>
      </c>
      <c r="DS78" s="59">
        <f t="shared" si="71"/>
        <v>677.73584469934815</v>
      </c>
      <c r="DT78" s="59">
        <f ca="1">AVERAGE(OFFSET($DS$3,0,0,'Données projet'!$E$14+1,1))-AVERAGE(OFFSET($H$3,0,0,'Données projet'!$E$14+1,1))</f>
        <v>537.37164071064103</v>
      </c>
      <c r="DU78" s="59">
        <f t="shared" si="98"/>
        <v>263.29777321132235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0</v>
      </c>
      <c r="EB78" s="21">
        <f>EXP(-LN(2)/25)*EB77+(1-EXP(-LN(2)/25))/(LN(2)/25)*Calculateur!DW78*Calculateur!DY78*VLOOKUP('Données projet'!$B$14,Paramètres!$A$1:$I$89,3,0)*0.475*44/12</f>
        <v>9.5970224502940322</v>
      </c>
      <c r="EC78" s="21">
        <f>EXP(-LN(2)/2)*EC77+(1-EXP(-LN(2)/2))/(LN(2)/2)*DW78*DZ78*VLOOKUP('Données projet'!$B$14,Paramètres!$A$1:$I$89,3,0)*0.475*44/12</f>
        <v>1.2958747561655459</v>
      </c>
      <c r="ED78" s="22">
        <f t="shared" si="72"/>
        <v>10.892897206459578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66.16466453060913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66.16466453060913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66.16466453060913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66.16466453060913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45">
      <c r="A79" s="10">
        <f t="shared" si="85"/>
        <v>76</v>
      </c>
      <c r="B79" s="73">
        <f>'Scénario référence'!$B$16*5+'Scénario référence'!$B$17*0+'Scénario référence'!$B$18*5</f>
        <v>2.8499999999999996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10.449999999999998</v>
      </c>
      <c r="H79" s="67">
        <f t="shared" si="56"/>
        <v>214.86666666666667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66.231199026477498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12.082500000000003</v>
      </c>
      <c r="N79" s="13">
        <f>IF('Données projet'!$A$36&gt;35,N78+M79-V78,IF(A79&lt;'Données projet'!$A$36,$K$205^A79,IF(A79='Données projet'!$A$36,'Données projet'!$B$36,N78+M79-V78)))</f>
        <v>363.67500000000007</v>
      </c>
      <c r="O79" s="13">
        <f>N79*VLOOKUP('Données projet'!$B$9,Paramètres!$A$1:$I$89,3,0)*VLOOKUP('Données projet'!$B$9,Paramètres!$A$1:$I$89,5,0)</f>
        <v>329.05314000000004</v>
      </c>
      <c r="P79" s="13">
        <f t="shared" si="87"/>
        <v>77.233966119321479</v>
      </c>
      <c r="Q79" s="20">
        <f t="shared" si="54"/>
        <v>707.61670982448493</v>
      </c>
      <c r="R79" s="59">
        <f t="shared" si="55"/>
        <v>987.13110625490242</v>
      </c>
      <c r="S79" s="59">
        <f ca="1">AVERAGE(OFFSET($R$3,0,0,'Données projet'!$E$9+1,1))-AVERAGE(OFFSET($H$3,0,0,'Données projet'!$E$9+1,1))</f>
        <v>719.20816951277925</v>
      </c>
      <c r="T79" s="59">
        <f t="shared" si="88"/>
        <v>237.1127421841087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27.275144979807092</v>
      </c>
      <c r="AA79" s="21">
        <f>EXP(-LN(2)/25)*AA78+(1-EXP(-LN(2)/25))/(LN(2)/25)*Calculateur!V79*Calculateur!X79*VLOOKUP('Données projet'!$B$9,Paramètres!$A$1:$I$89,3,0)*0.475*44/12</f>
        <v>37.962557903621871</v>
      </c>
      <c r="AB79" s="21">
        <f>EXP(-LN(2)/2)*AB78+(1-EXP(-LN(2)/2))/(LN(2)/2)*V79*Y79*VLOOKUP('Données projet'!$B$9,Paramètres!$A$1:$I$89,3,0)*0.475*44/12</f>
        <v>3.4303281749893242</v>
      </c>
      <c r="AC79" s="22">
        <f t="shared" si="57"/>
        <v>68.668031058418293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66.231199026477498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12.707777777777771</v>
      </c>
      <c r="AI79" s="13">
        <f>IF('Données projet'!$A$62&gt;35,AI78+AH79-AQ78,IF(A79&lt;'Données projet'!$A$62,$AF$205^A79,IF(A79='Données projet'!$A$62,'Données projet'!$B$62,AI78+AH79-AQ78)))</f>
        <v>369.74111111111085</v>
      </c>
      <c r="AJ79" s="13">
        <f>AI79*VLOOKUP('Données projet'!$B$10,Paramètres!$A$1:$I$89,3,0)*VLOOKUP('Données projet'!$B$10,Paramètres!$A$1:$I$89,5,0)</f>
        <v>311.46991199999979</v>
      </c>
      <c r="AK79" s="13">
        <f t="shared" si="89"/>
        <v>73.575721736197707</v>
      </c>
      <c r="AL79" s="20">
        <f t="shared" si="58"/>
        <v>670.62114542387724</v>
      </c>
      <c r="AM79" s="59">
        <f t="shared" si="59"/>
        <v>950.13554185429473</v>
      </c>
      <c r="AN79" s="59">
        <f ca="1">AVERAGE(OFFSET($AM$3,0,0,'Données projet'!$E$10+1,1))-AVERAGE(OFFSET($H$3,0,0,'Données projet'!$E$10+1,1))</f>
        <v>442.79037205372367</v>
      </c>
      <c r="AO79" s="59">
        <f t="shared" si="90"/>
        <v>288.23553637727969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29.170142721655573</v>
      </c>
      <c r="AV79" s="21">
        <f>EXP(-LN(2)/25)*AV78+(1-EXP(-LN(2)/25))/(LN(2)/25)*Calculateur!AQ79*Calculateur!AS79*VLOOKUP('Données projet'!$B$10,Paramètres!$A$1:$I$89,3,0)*0.475*44/12</f>
        <v>25.504734004430333</v>
      </c>
      <c r="AW79" s="21">
        <f>EXP(-LN(2)/2)*AW78+(1-EXP(-LN(2)/2))/(LN(2)/2)*AQ79*AT79*VLOOKUP('Données projet'!$B$10,Paramètres!$A$1:$I$89,3,0)*0.475*44/12</f>
        <v>1.4223298654404835</v>
      </c>
      <c r="AX79" s="21">
        <f t="shared" si="60"/>
        <v>56.097206591526387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66.231199026477498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6.7437500000000021</v>
      </c>
      <c r="BD79" s="12">
        <f>IF('Données projet'!$A$88&gt;35,BD78+BC79-BL78,IF(A79&lt;'Données projet'!$A$88,$BA$205^A79,IF(A79='Données projet'!$A$88,'Données projet'!$B$88,BD78+BC79-BL78)))</f>
        <v>195.77625000000003</v>
      </c>
      <c r="BE79" s="13">
        <f>BD79*VLOOKUP('Données projet'!$B$11,Paramètres!$A$1:$I$89,3,0)*VLOOKUP('Données projet'!$B$11,Paramètres!$A$1:$I$89,5,0)</f>
        <v>198.51711750000004</v>
      </c>
      <c r="BF79" s="13">
        <f t="shared" si="91"/>
        <v>49.41813401590116</v>
      </c>
      <c r="BG79" s="20">
        <f t="shared" si="61"/>
        <v>431.8205630568612</v>
      </c>
      <c r="BH79" s="59">
        <f t="shared" si="62"/>
        <v>711.33495948727864</v>
      </c>
      <c r="BI79" s="59">
        <f ca="1">AVERAGE(OFFSET($BH$3,0,0,'Données projet'!$E$11+1,1))-AVERAGE(OFFSET($H$3,0,0,'Données projet'!$E$11+1,1))</f>
        <v>559.91818701710872</v>
      </c>
      <c r="BJ79" s="59">
        <f t="shared" si="92"/>
        <v>273.47272623465915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0</v>
      </c>
      <c r="BQ79" s="21">
        <f>EXP(-LN(2)/25)*BQ78+(1-EXP(-LN(2)/25))/(LN(2)/25)*Calculateur!BL79*Calculateur!BN79*VLOOKUP('Données projet'!$B$11,Paramètres!$A$1:$I$89,3,0)*0.475*44/12</f>
        <v>31.316048456043472</v>
      </c>
      <c r="BR79" s="21">
        <f>EXP(-LN(2)/2)*BR78+(1-EXP(-LN(2)/2))/(LN(2)/2)*BL79*BO79*VLOOKUP('Données projet'!$B$11,Paramètres!$A$1:$I$89,3,0)*0.475*44/12</f>
        <v>0.76852798448326298</v>
      </c>
      <c r="BS79" s="22">
        <f t="shared" si="63"/>
        <v>32.084576440526732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66.231199026477498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-1.1368683772161603E-13</v>
      </c>
      <c r="BZ79" s="13">
        <f>BY79*VLOOKUP('Données projet'!$B$12,Paramètres!$A$1:$I$89,3,0)*VLOOKUP('Données projet'!$B$12,Paramètres!$A$1:$I$89,5,0)</f>
        <v>-8.8675733422860506E-14</v>
      </c>
      <c r="CA79" s="13" t="e">
        <f t="shared" si="93"/>
        <v>#NUM!</v>
      </c>
      <c r="CB79" s="20" t="e">
        <f t="shared" si="64"/>
        <v>#NUM!</v>
      </c>
      <c r="CC79" s="59" t="e">
        <f t="shared" si="65"/>
        <v>#NUM!</v>
      </c>
      <c r="CD79" s="59">
        <f ca="1">AVERAGE(OFFSET($CC$3,0,0,'Données projet'!$E$12+1,1))-AVERAGE(OFFSET($H$3,0,0,'Données projet'!$E$12+1,1))</f>
        <v>208.92677786250815</v>
      </c>
      <c r="CE79" s="59">
        <f t="shared" si="94"/>
        <v>207.54290142772214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23.99515265066146</v>
      </c>
      <c r="CL79" s="21">
        <f>EXP(-LN(2)/25)*CL78+(1-EXP(-LN(2)/25))/(LN(2)/25)*Calculateur!CG79*Calculateur!CI79*VLOOKUP('Données projet'!$B$12,Paramètres!$A$1:$I$89,3,0)*0.475*44/12</f>
        <v>22.350561245993347</v>
      </c>
      <c r="CM79" s="21">
        <f>EXP(-LN(2)/2)*CM78+(1-EXP(-LN(2)/2))/(LN(2)/2)*CG79*CJ79*VLOOKUP('Données projet'!$B$12,Paramètres!$A$1:$I$89,3,0)*0.475*44/12</f>
        <v>3.4423874125763954</v>
      </c>
      <c r="CN79" s="22">
        <f t="shared" si="66"/>
        <v>49.788101309231202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66.231199026477498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9.4837500000000006</v>
      </c>
      <c r="CT79" s="12">
        <f>IF('Données projet'!$A$140&gt;35,CT78+CS79-DB78,IF(A79&lt;'Données projet'!$A$140,$CQ$205^A79,IF(A79='Données projet'!$A$140,'Données projet'!$B$140,CT78+CS79-DB78)))</f>
        <v>239.72375</v>
      </c>
      <c r="CU79" s="17">
        <f>CT79*VLOOKUP('Données projet'!$B$13,Paramètres!$A$1:$I$89,3,0)*VLOOKUP('Données projet'!$B$13,Paramètres!$A$1:$I$89,5,0)</f>
        <v>228.12112049999999</v>
      </c>
      <c r="CV79" s="13">
        <f t="shared" si="95"/>
        <v>55.876230114888095</v>
      </c>
      <c r="CW79" s="20">
        <f t="shared" si="67"/>
        <v>494.62871898759676</v>
      </c>
      <c r="CX79" s="59">
        <f t="shared" si="68"/>
        <v>774.1431154180143</v>
      </c>
      <c r="CY79" s="59">
        <f ca="1">AVERAGE(OFFSET($CX$3,0,0,'Données projet'!$E$13+1,1))-AVERAGE(OFFSET($H$3,0,0,'Données projet'!$E$13+1,1))</f>
        <v>470.42022791389275</v>
      </c>
      <c r="CZ79" s="59">
        <f t="shared" si="96"/>
        <v>300.26117330627346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15.349402413609681</v>
      </c>
      <c r="DG79" s="21">
        <f>EXP(-LN(2)/25)*DG78+(1-EXP(-LN(2)/25))/(LN(2)/25)*Calculateur!DB79*Calculateur!DD79*VLOOKUP('Données projet'!$B$13,Paramètres!$A$1:$I$89,3,0)*0.475*44/12</f>
        <v>18.812149640213818</v>
      </c>
      <c r="DH79" s="21">
        <f>EXP(-LN(2)/2)*DH78+(1-EXP(-LN(2)/2))/(LN(2)/2)*DB79*DE79*VLOOKUP('Données projet'!$B$13,Paramètres!$A$1:$I$89,3,0)*0.475*44/12</f>
        <v>7.3582136161432947</v>
      </c>
      <c r="DI79" s="22">
        <f t="shared" si="69"/>
        <v>41.519765669966795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66.231199026477498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6.7437500000000021</v>
      </c>
      <c r="DO79" s="12">
        <f>IF('Données projet'!$A$166&gt;35,DO78+DN79-DW78,IF(A79&lt;'Données projet'!$A$166,$DL$205^A79,IF(A79='Données projet'!$A$166,'Données projet'!$B$166,DO78+DN79-DW78)))</f>
        <v>195.77625000000003</v>
      </c>
      <c r="DP79" s="17">
        <f>DO79*VLOOKUP('Données projet'!$B$14,Paramètres!$A$1:$I$89,3,0)*VLOOKUP('Données projet'!$B$14,Paramètres!$A$1:$I$89,5,0)</f>
        <v>189.35478900000004</v>
      </c>
      <c r="DQ79" s="13">
        <f t="shared" si="97"/>
        <v>47.39727763176937</v>
      </c>
      <c r="DR79" s="20">
        <f t="shared" si="70"/>
        <v>412.3431827169984</v>
      </c>
      <c r="DS79" s="59">
        <f t="shared" si="71"/>
        <v>691.85757914741589</v>
      </c>
      <c r="DT79" s="59">
        <f ca="1">AVERAGE(OFFSET($DS$3,0,0,'Données projet'!$E$14+1,1))-AVERAGE(OFFSET($H$3,0,0,'Données projet'!$E$14+1,1))</f>
        <v>537.37164071064103</v>
      </c>
      <c r="DU79" s="59">
        <f t="shared" si="98"/>
        <v>263.29777321132235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0</v>
      </c>
      <c r="EB79" s="21">
        <f>EXP(-LN(2)/25)*EB78+(1-EXP(-LN(2)/25))/(LN(2)/25)*Calculateur!DW79*Calculateur!DY79*VLOOKUP('Données projet'!$B$14,Paramètres!$A$1:$I$89,3,0)*0.475*44/12</f>
        <v>9.3345913667052649</v>
      </c>
      <c r="EC79" s="21">
        <f>EXP(-LN(2)/2)*EC78+(1-EXP(-LN(2)/2))/(LN(2)/2)*DW79*DZ79*VLOOKUP('Données projet'!$B$14,Paramètres!$A$1:$I$89,3,0)*0.475*44/12</f>
        <v>0.91632182765312142</v>
      </c>
      <c r="ED79" s="22">
        <f t="shared" si="72"/>
        <v>10.250913194358386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66.231199026477498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66.231199026477498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66.231199026477498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66.231199026477498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45">
      <c r="A80" s="10">
        <f t="shared" si="85"/>
        <v>77</v>
      </c>
      <c r="B80" s="73">
        <f>'Scénario référence'!$B$16*5+'Scénario référence'!$B$17*0+'Scénario référence'!$B$18*5</f>
        <v>2.8499999999999996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10.449999999999998</v>
      </c>
      <c r="H80" s="67">
        <f t="shared" si="56"/>
        <v>214.86666666666667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66.296579297591421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12.082500000000003</v>
      </c>
      <c r="N80" s="13">
        <f>IF('Données projet'!$A$36&gt;35,N79+M80-V79,IF(A80&lt;'Données projet'!$A$36,$K$205^A80,IF(A80='Données projet'!$A$36,'Données projet'!$B$36,N79+M80-V79)))</f>
        <v>375.75750000000005</v>
      </c>
      <c r="O80" s="13">
        <f>N80*VLOOKUP('Données projet'!$B$9,Paramètres!$A$1:$I$89,3,0)*VLOOKUP('Données projet'!$B$9,Paramètres!$A$1:$I$89,5,0)</f>
        <v>339.98538600000006</v>
      </c>
      <c r="P80" s="13">
        <f t="shared" si="87"/>
        <v>79.496927069315888</v>
      </c>
      <c r="Q80" s="20">
        <f t="shared" si="54"/>
        <v>730.59836192905857</v>
      </c>
      <c r="R80" s="59">
        <f t="shared" si="55"/>
        <v>1010.3524860202272</v>
      </c>
      <c r="S80" s="59">
        <f ca="1">AVERAGE(OFFSET($R$3,0,0,'Données projet'!$E$9+1,1))-AVERAGE(OFFSET($H$3,0,0,'Données projet'!$E$9+1,1))</f>
        <v>719.20816951277925</v>
      </c>
      <c r="T80" s="59">
        <f t="shared" si="88"/>
        <v>237.1127421841087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26.740296022948826</v>
      </c>
      <c r="AA80" s="21">
        <f>EXP(-LN(2)/25)*AA79+(1-EXP(-LN(2)/25))/(LN(2)/25)*Calculateur!V80*Calculateur!X80*VLOOKUP('Données projet'!$B$9,Paramètres!$A$1:$I$89,3,0)*0.475*44/12</f>
        <v>36.924469761383179</v>
      </c>
      <c r="AB80" s="21">
        <f>EXP(-LN(2)/2)*AB79+(1-EXP(-LN(2)/2))/(LN(2)/2)*V80*Y80*VLOOKUP('Données projet'!$B$9,Paramètres!$A$1:$I$89,3,0)*0.475*44/12</f>
        <v>2.4256083142302249</v>
      </c>
      <c r="AC80" s="22">
        <f t="shared" si="57"/>
        <v>66.090374098562236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66.296579297591421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12.707777777777771</v>
      </c>
      <c r="AI80" s="13">
        <f>IF('Données projet'!$A$62&gt;35,AI79+AH80-AQ79,IF(A80&lt;'Données projet'!$A$62,$AF$205^A80,IF(A80='Données projet'!$A$62,'Données projet'!$B$62,AI79+AH80-AQ79)))</f>
        <v>382.44888888888863</v>
      </c>
      <c r="AJ80" s="13">
        <f>AI80*VLOOKUP('Données projet'!$B$10,Paramètres!$A$1:$I$89,3,0)*VLOOKUP('Données projet'!$B$10,Paramètres!$A$1:$I$89,5,0)</f>
        <v>322.17494399999981</v>
      </c>
      <c r="AK80" s="13">
        <f t="shared" si="89"/>
        <v>75.805714500976208</v>
      </c>
      <c r="AL80" s="20">
        <f t="shared" si="58"/>
        <v>693.14964688919997</v>
      </c>
      <c r="AM80" s="59">
        <f t="shared" si="59"/>
        <v>972.90377098036856</v>
      </c>
      <c r="AN80" s="59">
        <f ca="1">AVERAGE(OFFSET($AM$3,0,0,'Données projet'!$E$10+1,1))-AVERAGE(OFFSET($H$3,0,0,'Données projet'!$E$10+1,1))</f>
        <v>442.79037205372367</v>
      </c>
      <c r="AO80" s="59">
        <f t="shared" si="90"/>
        <v>288.23553637727969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28.598134014914152</v>
      </c>
      <c r="AV80" s="21">
        <f>EXP(-LN(2)/25)*AV79+(1-EXP(-LN(2)/25))/(LN(2)/25)*Calculateur!AQ80*Calculateur!AS80*VLOOKUP('Données projet'!$B$10,Paramètres!$A$1:$I$89,3,0)*0.475*44/12</f>
        <v>24.807305711843515</v>
      </c>
      <c r="AW80" s="21">
        <f>EXP(-LN(2)/2)*AW79+(1-EXP(-LN(2)/2))/(LN(2)/2)*AQ80*AT80*VLOOKUP('Données projet'!$B$10,Paramètres!$A$1:$I$89,3,0)*0.475*44/12</f>
        <v>1.0057390929371155</v>
      </c>
      <c r="AX80" s="21">
        <f t="shared" si="60"/>
        <v>54.411178819694776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66.296579297591421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>
        <f>VLOOKUP(A80,'Données projet'!$A$87:$I$107,2,0)</f>
        <v>202.52</v>
      </c>
      <c r="BB80" s="12">
        <f>VLOOKUP(A80,'Données projet'!$A$87:$I$107,9,0)</f>
        <v>6.7437500000000021</v>
      </c>
      <c r="BC80" s="12">
        <f t="array" ref="BC80">INDEX(BB:BB,MIN(IF(ISNUMBER(BB80:BB276),ROW(BB80:BB276),"")))</f>
        <v>6.7437500000000021</v>
      </c>
      <c r="BD80" s="12">
        <f>IF('Données projet'!$A$88&gt;35,BD79+BC80-BL79,IF(A80&lt;'Données projet'!$A$88,$BA$205^A80,IF(A80='Données projet'!$A$88,'Données projet'!$B$88,BD79+BC80-BL79)))</f>
        <v>202.52000000000004</v>
      </c>
      <c r="BE80" s="13">
        <f>BD80*VLOOKUP('Données projet'!$B$11,Paramètres!$A$1:$I$89,3,0)*VLOOKUP('Données projet'!$B$11,Paramètres!$A$1:$I$89,5,0)</f>
        <v>205.35528000000005</v>
      </c>
      <c r="BF80" s="13">
        <f t="shared" si="91"/>
        <v>50.919280092893707</v>
      </c>
      <c r="BG80" s="20">
        <f t="shared" si="61"/>
        <v>446.34485882845661</v>
      </c>
      <c r="BH80" s="59">
        <f t="shared" si="62"/>
        <v>726.09898291962509</v>
      </c>
      <c r="BI80" s="59">
        <f ca="1">AVERAGE(OFFSET($BH$3,0,0,'Données projet'!$E$11+1,1))-AVERAGE(OFFSET($H$3,0,0,'Données projet'!$E$11+1,1))</f>
        <v>559.91818701710872</v>
      </c>
      <c r="BJ80" s="59">
        <f t="shared" si="92"/>
        <v>273.47272623465915</v>
      </c>
      <c r="BK80" s="15">
        <f>IF(ISNA(VLOOKUP(A80,'Données projet'!$A$87:$I$107,3,0)),0,VLOOKUP(A80,'Données projet'!$A$87:$I$107,3,0))</f>
        <v>3</v>
      </c>
      <c r="BL80" s="15">
        <f>IF(ISNA(VLOOKUP(A80,'Données projet'!$A$87:$I$107,4,0)),0,VLOOKUP(A80,'Données projet'!$A$87:$I$107,4,0))</f>
        <v>33.950000000000017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0.34400000000000003</v>
      </c>
      <c r="BO80" s="16">
        <f>IF(ISNA(VLOOKUP(A80,'Données projet'!$A$87:$I$107,7,0)),0%,VLOOKUP(A80,'Données projet'!$A$87:$I$107,7,0))</f>
        <v>0.2</v>
      </c>
      <c r="BP80" s="21">
        <f>EXP(-LN(2)/35)*BP79+(1-EXP(-LN(2)/35))/(LN(2)/35)*BL80*BM80*VLOOKUP('Données projet'!$B$11,Paramètres!$A$1:$I$89,3,0)*0.475*44/12</f>
        <v>0</v>
      </c>
      <c r="BQ80" s="21">
        <f>EXP(-LN(2)/25)*BQ79+(1-EXP(-LN(2)/25))/(LN(2)/25)*Calculateur!BL80*Calculateur!BN80*VLOOKUP('Données projet'!$B$11,Paramètres!$A$1:$I$89,3,0)*0.475*44/12</f>
        <v>43.499479380258421</v>
      </c>
      <c r="BR80" s="21">
        <f>EXP(-LN(2)/2)*BR79+(1-EXP(-LN(2)/2))/(LN(2)/2)*BL80*BO80*VLOOKUP('Données projet'!$B$11,Paramètres!$A$1:$I$89,3,0)*0.475*44/12</f>
        <v>7.0396707680327228</v>
      </c>
      <c r="BS80" s="22">
        <f t="shared" si="63"/>
        <v>50.539150148291142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66.296579297591421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-1.1368683772161603E-13</v>
      </c>
      <c r="BZ80" s="13">
        <f>BY80*VLOOKUP('Données projet'!$B$12,Paramètres!$A$1:$I$89,3,0)*VLOOKUP('Données projet'!$B$12,Paramètres!$A$1:$I$89,5,0)</f>
        <v>-8.8675733422860506E-14</v>
      </c>
      <c r="CA80" s="13" t="e">
        <f t="shared" si="93"/>
        <v>#NUM!</v>
      </c>
      <c r="CB80" s="20" t="e">
        <f t="shared" si="64"/>
        <v>#NUM!</v>
      </c>
      <c r="CC80" s="59" t="e">
        <f t="shared" si="65"/>
        <v>#NUM!</v>
      </c>
      <c r="CD80" s="59">
        <f ca="1">AVERAGE(OFFSET($CC$3,0,0,'Données projet'!$E$12+1,1))-AVERAGE(OFFSET($H$3,0,0,'Données projet'!$E$12+1,1))</f>
        <v>208.92677786250815</v>
      </c>
      <c r="CE80" s="59">
        <f t="shared" si="94"/>
        <v>207.54290142772214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23.52462234277996</v>
      </c>
      <c r="CL80" s="21">
        <f>EXP(-LN(2)/25)*CL79+(1-EXP(-LN(2)/25))/(LN(2)/25)*Calculateur!CG80*Calculateur!CI80*VLOOKUP('Données projet'!$B$12,Paramètres!$A$1:$I$89,3,0)*0.475*44/12</f>
        <v>21.739383973356727</v>
      </c>
      <c r="CM80" s="21">
        <f>EXP(-LN(2)/2)*CM79+(1-EXP(-LN(2)/2))/(LN(2)/2)*CG80*CJ80*VLOOKUP('Données projet'!$B$12,Paramètres!$A$1:$I$89,3,0)*0.475*44/12</f>
        <v>2.434135482903983</v>
      </c>
      <c r="CN80" s="22">
        <f t="shared" si="66"/>
        <v>47.69814179904067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66.296579297591421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9.4837500000000006</v>
      </c>
      <c r="CT80" s="12">
        <f>IF('Données projet'!$A$140&gt;35,CT79+CS80-DB79,IF(A80&lt;'Données projet'!$A$140,$CQ$205^A80,IF(A80='Données projet'!$A$140,'Données projet'!$B$140,CT79+CS80-DB79)))</f>
        <v>249.20749999999998</v>
      </c>
      <c r="CU80" s="17">
        <f>CT80*VLOOKUP('Données projet'!$B$13,Paramètres!$A$1:$I$89,3,0)*VLOOKUP('Données projet'!$B$13,Paramètres!$A$1:$I$89,5,0)</f>
        <v>237.14585699999998</v>
      </c>
      <c r="CV80" s="13">
        <f t="shared" si="95"/>
        <v>57.825020794330889</v>
      </c>
      <c r="CW80" s="20">
        <f t="shared" si="67"/>
        <v>513.74094549179301</v>
      </c>
      <c r="CX80" s="59">
        <f t="shared" si="68"/>
        <v>793.49506958296161</v>
      </c>
      <c r="CY80" s="59">
        <f ca="1">AVERAGE(OFFSET($CX$3,0,0,'Données projet'!$E$13+1,1))-AVERAGE(OFFSET($H$3,0,0,'Données projet'!$E$13+1,1))</f>
        <v>470.42022791389275</v>
      </c>
      <c r="CZ80" s="59">
        <f t="shared" si="96"/>
        <v>300.26117330627346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15.048409994489827</v>
      </c>
      <c r="DG80" s="21">
        <f>EXP(-LN(2)/25)*DG79+(1-EXP(-LN(2)/25))/(LN(2)/25)*Calculateur!DB80*Calculateur!DD80*VLOOKUP('Données projet'!$B$13,Paramètres!$A$1:$I$89,3,0)*0.475*44/12</f>
        <v>18.297730419014218</v>
      </c>
      <c r="DH80" s="21">
        <f>EXP(-LN(2)/2)*DH79+(1-EXP(-LN(2)/2))/(LN(2)/2)*DB80*DE80*VLOOKUP('Données projet'!$B$13,Paramètres!$A$1:$I$89,3,0)*0.475*44/12</f>
        <v>5.2030427453941117</v>
      </c>
      <c r="DI80" s="22">
        <f t="shared" si="69"/>
        <v>38.54918315889816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66.296579297591421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>
        <f>VLOOKUP(A80,'Données projet'!$A$165:$I$185,2,0)</f>
        <v>202.52</v>
      </c>
      <c r="DM80" s="12">
        <f>VLOOKUP(A80,'Données projet'!$A$165:$I$185,9,0)</f>
        <v>6.7437500000000021</v>
      </c>
      <c r="DN80" s="12">
        <f t="array" ref="DN80">INDEX(DM:DM,MIN(IF(ISNUMBER(DM80:DM276),ROW(DM80:DM276),"")))</f>
        <v>6.7437500000000021</v>
      </c>
      <c r="DO80" s="12">
        <f>IF('Données projet'!$A$166&gt;35,DO79+DN80-DW79,IF(A80&lt;'Données projet'!$A$166,$DL$205^A80,IF(A80='Données projet'!$A$166,'Données projet'!$B$166,DO79+DN80-DW79)))</f>
        <v>202.52000000000004</v>
      </c>
      <c r="DP80" s="17">
        <f>DO80*VLOOKUP('Données projet'!$B$14,Paramètres!$A$1:$I$89,3,0)*VLOOKUP('Données projet'!$B$14,Paramètres!$A$1:$I$89,5,0)</f>
        <v>195.87734400000005</v>
      </c>
      <c r="DQ80" s="13">
        <f t="shared" si="97"/>
        <v>48.8370373231038</v>
      </c>
      <c r="DR80" s="20">
        <f t="shared" si="70"/>
        <v>426.21088080440586</v>
      </c>
      <c r="DS80" s="59">
        <f t="shared" si="71"/>
        <v>705.96500489557434</v>
      </c>
      <c r="DT80" s="59">
        <f ca="1">AVERAGE(OFFSET($DS$3,0,0,'Données projet'!$E$14+1,1))-AVERAGE(OFFSET($H$3,0,0,'Données projet'!$E$14+1,1))</f>
        <v>537.37164071064103</v>
      </c>
      <c r="DU80" s="59">
        <f t="shared" si="98"/>
        <v>263.29777321132235</v>
      </c>
      <c r="DV80" s="15">
        <f>IF(ISNA(VLOOKUP(A80,'Données projet'!$A$165:$I$185,3,0)),0,VLOOKUP(A80,'Données projet'!$A$165:$I$185,3,0))</f>
        <v>3</v>
      </c>
      <c r="DW80" s="15">
        <f>IF(ISNA(VLOOKUP(A80,'Données projet'!$A$165:$I$185,4,0)),0,VLOOKUP(A80,'Données projet'!$A$165:$I$185,4,0))</f>
        <v>33.950000000000017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0.1075</v>
      </c>
      <c r="DZ80" s="16">
        <f>IF(ISNA(VLOOKUP(A80,'Données projet'!$A$165:$I$185,7,0)),0%,VLOOKUP(A80,'Données projet'!$A$165:$I$185,7,0))</f>
        <v>0.25</v>
      </c>
      <c r="EA80" s="21">
        <f>EXP(-LN(2)/35)*EA79+(1-EXP(-LN(2)/35))/(LN(2)/35)*DW80*DX80*VLOOKUP('Données projet'!$B$14,Paramètres!$A$1:$I$89,3,0)*0.475*44/12</f>
        <v>0</v>
      </c>
      <c r="EB80" s="21">
        <f>EXP(-LN(2)/25)*EB79+(1-EXP(-LN(2)/25))/(LN(2)/25)*Calculateur!DW80*Calculateur!DY80*VLOOKUP('Données projet'!$B$14,Paramètres!$A$1:$I$89,3,0)*0.475*44/12</f>
        <v>12.966190969115489</v>
      </c>
      <c r="EC80" s="21">
        <f>EXP(-LN(2)/2)*EC79+(1-EXP(-LN(2)/2))/(LN(2)/2)*DW80*DZ80*VLOOKUP('Données projet'!$B$14,Paramètres!$A$1:$I$89,3,0)*0.475*44/12</f>
        <v>8.3934536080390156</v>
      </c>
      <c r="ED80" s="22">
        <f t="shared" si="72"/>
        <v>21.359644577154505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66.296579297591421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66.296579297591421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66.296579297591421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66.296579297591421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45">
      <c r="A81" s="10">
        <f t="shared" si="85"/>
        <v>78</v>
      </c>
      <c r="B81" s="73">
        <f>'Scénario référence'!$B$16*5+'Scénario référence'!$B$17*0+'Scénario référence'!$B$18*5</f>
        <v>2.8499999999999996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10.449999999999998</v>
      </c>
      <c r="H81" s="67">
        <f t="shared" si="56"/>
        <v>214.86666666666667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66.36082536716988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12.082500000000003</v>
      </c>
      <c r="N81" s="13">
        <f>IF('Données projet'!$A$36&gt;35,N80+M81-V80,IF(A81&lt;'Données projet'!$A$36,$K$205^A81,IF(A81='Données projet'!$A$36,'Données projet'!$B$36,N80+M81-V80)))</f>
        <v>387.84000000000003</v>
      </c>
      <c r="O81" s="13">
        <f>N81*VLOOKUP('Données projet'!$B$9,Paramètres!$A$1:$I$89,3,0)*VLOOKUP('Données projet'!$B$9,Paramètres!$A$1:$I$89,5,0)</f>
        <v>350.91763200000003</v>
      </c>
      <c r="P81" s="13">
        <f t="shared" si="87"/>
        <v>81.751432393323299</v>
      </c>
      <c r="Q81" s="20">
        <f t="shared" si="54"/>
        <v>753.56528715170464</v>
      </c>
      <c r="R81" s="59">
        <f t="shared" si="55"/>
        <v>1033.5549801646609</v>
      </c>
      <c r="S81" s="59">
        <f ca="1">AVERAGE(OFFSET($R$3,0,0,'Données projet'!$E$9+1,1))-AVERAGE(OFFSET($H$3,0,0,'Données projet'!$E$9+1,1))</f>
        <v>719.20816951277925</v>
      </c>
      <c r="T81" s="59">
        <f t="shared" si="88"/>
        <v>237.1127421841087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26.215935127908896</v>
      </c>
      <c r="AA81" s="21">
        <f>EXP(-LN(2)/25)*AA80+(1-EXP(-LN(2)/25))/(LN(2)/25)*Calculateur!V81*Calculateur!X81*VLOOKUP('Données projet'!$B$9,Paramètres!$A$1:$I$89,3,0)*0.475*44/12</f>
        <v>35.914768193984685</v>
      </c>
      <c r="AB81" s="21">
        <f>EXP(-LN(2)/2)*AB80+(1-EXP(-LN(2)/2))/(LN(2)/2)*V81*Y81*VLOOKUP('Données projet'!$B$9,Paramètres!$A$1:$I$89,3,0)*0.475*44/12</f>
        <v>1.7151640874946621</v>
      </c>
      <c r="AC81" s="22">
        <f t="shared" si="57"/>
        <v>63.845867409388241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66.36082536716988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12.707777777777771</v>
      </c>
      <c r="AI81" s="13">
        <f>IF('Données projet'!$A$62&gt;35,AI80+AH81-AQ80,IF(A81&lt;'Données projet'!$A$62,$AF$205^A81,IF(A81='Données projet'!$A$62,'Données projet'!$B$62,AI80+AH81-AQ80)))</f>
        <v>395.15666666666641</v>
      </c>
      <c r="AJ81" s="13">
        <f>AI81*VLOOKUP('Données projet'!$B$10,Paramètres!$A$1:$I$89,3,0)*VLOOKUP('Données projet'!$B$10,Paramètres!$A$1:$I$89,5,0)</f>
        <v>332.87997599999977</v>
      </c>
      <c r="AK81" s="13">
        <f t="shared" si="89"/>
        <v>78.027097377942809</v>
      </c>
      <c r="AL81" s="20">
        <f t="shared" si="58"/>
        <v>715.6631527999167</v>
      </c>
      <c r="AM81" s="59">
        <f t="shared" si="59"/>
        <v>995.65284581287301</v>
      </c>
      <c r="AN81" s="59">
        <f ca="1">AVERAGE(OFFSET($AM$3,0,0,'Données projet'!$E$10+1,1))-AVERAGE(OFFSET($H$3,0,0,'Données projet'!$E$10+1,1))</f>
        <v>442.79037205372367</v>
      </c>
      <c r="AO81" s="59">
        <f t="shared" si="90"/>
        <v>288.23553637727969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28.037342050021067</v>
      </c>
      <c r="AV81" s="21">
        <f>EXP(-LN(2)/25)*AV80+(1-EXP(-LN(2)/25))/(LN(2)/25)*Calculateur!AQ81*Calculateur!AS81*VLOOKUP('Données projet'!$B$10,Paramètres!$A$1:$I$89,3,0)*0.475*44/12</f>
        <v>24.128948632593644</v>
      </c>
      <c r="AW81" s="21">
        <f>EXP(-LN(2)/2)*AW80+(1-EXP(-LN(2)/2))/(LN(2)/2)*AQ81*AT81*VLOOKUP('Données projet'!$B$10,Paramètres!$A$1:$I$89,3,0)*0.475*44/12</f>
        <v>0.71116493272024173</v>
      </c>
      <c r="AX81" s="21">
        <f t="shared" si="60"/>
        <v>52.877455615334959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66.36082536716988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6.7444444444444462</v>
      </c>
      <c r="BD81" s="12">
        <f>IF('Données projet'!$A$88&gt;35,BD80+BC81-BL80,IF(A81&lt;'Données projet'!$A$88,$BA$205^A81,IF(A81='Données projet'!$A$88,'Données projet'!$B$88,BD80+BC81-BL80)))</f>
        <v>175.31444444444446</v>
      </c>
      <c r="BE81" s="13">
        <f>BD81*VLOOKUP('Données projet'!$B$11,Paramètres!$A$1:$I$89,3,0)*VLOOKUP('Données projet'!$B$11,Paramètres!$A$1:$I$89,5,0)</f>
        <v>177.76884666666669</v>
      </c>
      <c r="BF81" s="13">
        <f t="shared" si="91"/>
        <v>44.825435894521945</v>
      </c>
      <c r="BG81" s="20">
        <f t="shared" si="61"/>
        <v>387.68504212740351</v>
      </c>
      <c r="BH81" s="59">
        <f t="shared" si="62"/>
        <v>667.67473514035976</v>
      </c>
      <c r="BI81" s="59">
        <f ca="1">AVERAGE(OFFSET($BH$3,0,0,'Données projet'!$E$11+1,1))-AVERAGE(OFFSET($H$3,0,0,'Données projet'!$E$11+1,1))</f>
        <v>559.91818701710872</v>
      </c>
      <c r="BJ81" s="59">
        <f t="shared" si="92"/>
        <v>273.47272623465915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0</v>
      </c>
      <c r="BQ81" s="21">
        <f>EXP(-LN(2)/25)*BQ80+(1-EXP(-LN(2)/25))/(LN(2)/25)*Calculateur!BL81*Calculateur!BN81*VLOOKUP('Données projet'!$B$11,Paramètres!$A$1:$I$89,3,0)*0.475*44/12</f>
        <v>42.30998382906705</v>
      </c>
      <c r="BR81" s="21">
        <f>EXP(-LN(2)/2)*BR80+(1-EXP(-LN(2)/2))/(LN(2)/2)*BL81*BO81*VLOOKUP('Données projet'!$B$11,Paramètres!$A$1:$I$89,3,0)*0.475*44/12</f>
        <v>4.97779893739665</v>
      </c>
      <c r="BS81" s="22">
        <f t="shared" si="63"/>
        <v>47.2877827664637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66.36082536716988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-1.1368683772161603E-13</v>
      </c>
      <c r="BZ81" s="13">
        <f>BY81*VLOOKUP('Données projet'!$B$12,Paramètres!$A$1:$I$89,3,0)*VLOOKUP('Données projet'!$B$12,Paramètres!$A$1:$I$89,5,0)</f>
        <v>-8.8675733422860506E-14</v>
      </c>
      <c r="CA81" s="13" t="e">
        <f t="shared" si="93"/>
        <v>#NUM!</v>
      </c>
      <c r="CB81" s="20" t="e">
        <f t="shared" si="64"/>
        <v>#NUM!</v>
      </c>
      <c r="CC81" s="59" t="e">
        <f t="shared" si="65"/>
        <v>#NUM!</v>
      </c>
      <c r="CD81" s="59">
        <f ca="1">AVERAGE(OFFSET($CC$3,0,0,'Données projet'!$E$12+1,1))-AVERAGE(OFFSET($H$3,0,0,'Données projet'!$E$12+1,1))</f>
        <v>208.92677786250815</v>
      </c>
      <c r="CE81" s="59">
        <f t="shared" si="94"/>
        <v>207.54290142772214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23.063318847240868</v>
      </c>
      <c r="CL81" s="21">
        <f>EXP(-LN(2)/25)*CL80+(1-EXP(-LN(2)/25))/(LN(2)/25)*Calculateur!CG81*Calculateur!CI81*VLOOKUP('Données projet'!$B$12,Paramètres!$A$1:$I$89,3,0)*0.475*44/12</f>
        <v>21.14491937538077</v>
      </c>
      <c r="CM81" s="21">
        <f>EXP(-LN(2)/2)*CM80+(1-EXP(-LN(2)/2))/(LN(2)/2)*CG81*CJ81*VLOOKUP('Données projet'!$B$12,Paramètres!$A$1:$I$89,3,0)*0.475*44/12</f>
        <v>1.7211937062881979</v>
      </c>
      <c r="CN81" s="22">
        <f t="shared" si="66"/>
        <v>45.929431928909835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66.36082536716988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9.4837500000000006</v>
      </c>
      <c r="CT81" s="12">
        <f>IF('Données projet'!$A$140&gt;35,CT80+CS81-DB80,IF(A81&lt;'Données projet'!$A$140,$CQ$205^A81,IF(A81='Données projet'!$A$140,'Données projet'!$B$140,CT80+CS81-DB80)))</f>
        <v>258.69124999999997</v>
      </c>
      <c r="CU81" s="17">
        <f>CT81*VLOOKUP('Données projet'!$B$13,Paramètres!$A$1:$I$89,3,0)*VLOOKUP('Données projet'!$B$13,Paramètres!$A$1:$I$89,5,0)</f>
        <v>246.17059349999994</v>
      </c>
      <c r="CV81" s="13">
        <f t="shared" si="95"/>
        <v>59.765195857244478</v>
      </c>
      <c r="CW81" s="20">
        <f t="shared" si="67"/>
        <v>532.83816646386731</v>
      </c>
      <c r="CX81" s="59">
        <f t="shared" si="68"/>
        <v>812.82785947682351</v>
      </c>
      <c r="CY81" s="59">
        <f ca="1">AVERAGE(OFFSET($CX$3,0,0,'Données projet'!$E$13+1,1))-AVERAGE(OFFSET($H$3,0,0,'Données projet'!$E$13+1,1))</f>
        <v>470.42022791389275</v>
      </c>
      <c r="CZ81" s="59">
        <f t="shared" si="96"/>
        <v>300.26117330627346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14.753319853121663</v>
      </c>
      <c r="DG81" s="21">
        <f>EXP(-LN(2)/25)*DG80+(1-EXP(-LN(2)/25))/(LN(2)/25)*Calculateur!DB81*Calculateur!DD81*VLOOKUP('Données projet'!$B$13,Paramètres!$A$1:$I$89,3,0)*0.475*44/12</f>
        <v>17.79737801847045</v>
      </c>
      <c r="DH81" s="21">
        <f>EXP(-LN(2)/2)*DH80+(1-EXP(-LN(2)/2))/(LN(2)/2)*DB81*DE81*VLOOKUP('Données projet'!$B$13,Paramètres!$A$1:$I$89,3,0)*0.475*44/12</f>
        <v>3.6791068080716478</v>
      </c>
      <c r="DI81" s="22">
        <f t="shared" si="69"/>
        <v>36.229804679663758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66.36082536716988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6.7444444444444462</v>
      </c>
      <c r="DO81" s="12">
        <f>IF('Données projet'!$A$166&gt;35,DO80+DN81-DW80,IF(A81&lt;'Données projet'!$A$166,$DL$205^A81,IF(A81='Données projet'!$A$166,'Données projet'!$B$166,DO80+DN81-DW80)))</f>
        <v>175.31444444444446</v>
      </c>
      <c r="DP81" s="17">
        <f>DO81*VLOOKUP('Données projet'!$B$14,Paramètres!$A$1:$I$89,3,0)*VLOOKUP('Données projet'!$B$14,Paramètres!$A$1:$I$89,5,0)</f>
        <v>169.5641306666667</v>
      </c>
      <c r="DQ81" s="13">
        <f t="shared" si="97"/>
        <v>42.992388773200261</v>
      </c>
      <c r="DR81" s="20">
        <f t="shared" si="70"/>
        <v>370.20260469110161</v>
      </c>
      <c r="DS81" s="59">
        <f t="shared" si="71"/>
        <v>650.19229770405786</v>
      </c>
      <c r="DT81" s="59">
        <f ca="1">AVERAGE(OFFSET($DS$3,0,0,'Données projet'!$E$14+1,1))-AVERAGE(OFFSET($H$3,0,0,'Données projet'!$E$14+1,1))</f>
        <v>537.37164071064103</v>
      </c>
      <c r="DU81" s="59">
        <f t="shared" si="98"/>
        <v>263.29777321132235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0</v>
      </c>
      <c r="EB81" s="21">
        <f>EXP(-LN(2)/25)*EB80+(1-EXP(-LN(2)/25))/(LN(2)/25)*Calculateur!DW81*Calculateur!DY81*VLOOKUP('Données projet'!$B$14,Paramètres!$A$1:$I$89,3,0)*0.475*44/12</f>
        <v>12.611629795202678</v>
      </c>
      <c r="EC81" s="21">
        <f>EXP(-LN(2)/2)*EC80+(1-EXP(-LN(2)/2))/(LN(2)/2)*DW81*DZ81*VLOOKUP('Données projet'!$B$14,Paramètres!$A$1:$I$89,3,0)*0.475*44/12</f>
        <v>5.9350679638190824</v>
      </c>
      <c r="ED81" s="22">
        <f t="shared" si="72"/>
        <v>18.546697759021761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66.36082536716988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66.36082536716988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66.36082536716988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66.36082536716988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45">
      <c r="A82" s="10">
        <f t="shared" si="85"/>
        <v>79</v>
      </c>
      <c r="B82" s="73">
        <f>'Scénario référence'!$B$16*5+'Scénario référence'!$B$17*0+'Scénario référence'!$B$18*5</f>
        <v>2.8499999999999996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10.449999999999998</v>
      </c>
      <c r="H82" s="67">
        <f t="shared" si="56"/>
        <v>214.86666666666667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66.423956911073873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12.082500000000003</v>
      </c>
      <c r="N82" s="13">
        <f>IF('Données projet'!$A$36&gt;35,N81+M82-V81,IF(A82&lt;'Données projet'!$A$36,$K$205^A82,IF(A82='Données projet'!$A$36,'Données projet'!$B$36,N81+M82-V81)))</f>
        <v>399.92250000000001</v>
      </c>
      <c r="O82" s="13">
        <f>N82*VLOOKUP('Données projet'!$B$9,Paramètres!$A$1:$I$89,3,0)*VLOOKUP('Données projet'!$B$9,Paramètres!$A$1:$I$89,5,0)</f>
        <v>361.84987799999999</v>
      </c>
      <c r="P82" s="13">
        <f t="shared" si="87"/>
        <v>83.997775738072022</v>
      </c>
      <c r="Q82" s="20">
        <f t="shared" si="54"/>
        <v>776.51799692714212</v>
      </c>
      <c r="R82" s="59">
        <f t="shared" si="55"/>
        <v>1056.7391722677462</v>
      </c>
      <c r="S82" s="59">
        <f ca="1">AVERAGE(OFFSET($R$3,0,0,'Données projet'!$E$9+1,1))-AVERAGE(OFFSET($H$3,0,0,'Données projet'!$E$9+1,1))</f>
        <v>719.20816951277925</v>
      </c>
      <c r="T82" s="59">
        <f t="shared" si="88"/>
        <v>237.1127421841087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25.701856630192136</v>
      </c>
      <c r="AA82" s="21">
        <f>EXP(-LN(2)/25)*AA81+(1-EXP(-LN(2)/25))/(LN(2)/25)*Calculateur!V82*Calculateur!X82*VLOOKUP('Données projet'!$B$9,Paramètres!$A$1:$I$89,3,0)*0.475*44/12</f>
        <v>34.9326769690446</v>
      </c>
      <c r="AB82" s="21">
        <f>EXP(-LN(2)/2)*AB81+(1-EXP(-LN(2)/2))/(LN(2)/2)*V82*Y82*VLOOKUP('Données projet'!$B$9,Paramètres!$A$1:$I$89,3,0)*0.475*44/12</f>
        <v>1.2128041571151125</v>
      </c>
      <c r="AC82" s="22">
        <f t="shared" si="57"/>
        <v>61.847337756351848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66.423956911073873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12.707777777777771</v>
      </c>
      <c r="AI82" s="13">
        <f>IF('Données projet'!$A$62&gt;35,AI81+AH82-AQ81,IF(A82&lt;'Données projet'!$A$62,$AF$205^A82,IF(A82='Données projet'!$A$62,'Données projet'!$B$62,AI81+AH82-AQ81)))</f>
        <v>407.86444444444419</v>
      </c>
      <c r="AJ82" s="13">
        <f>AI82*VLOOKUP('Données projet'!$B$10,Paramètres!$A$1:$I$89,3,0)*VLOOKUP('Données projet'!$B$10,Paramètres!$A$1:$I$89,5,0)</f>
        <v>343.58500799999979</v>
      </c>
      <c r="AK82" s="13">
        <f t="shared" si="89"/>
        <v>80.240179010511568</v>
      </c>
      <c r="AL82" s="20">
        <f t="shared" si="58"/>
        <v>738.16220070997394</v>
      </c>
      <c r="AM82" s="59">
        <f t="shared" si="59"/>
        <v>1018.3833760505781</v>
      </c>
      <c r="AN82" s="59">
        <f ca="1">AVERAGE(OFFSET($AM$3,0,0,'Données projet'!$E$10+1,1))-AVERAGE(OFFSET($H$3,0,0,'Données projet'!$E$10+1,1))</f>
        <v>442.79037205372367</v>
      </c>
      <c r="AO82" s="59">
        <f t="shared" si="90"/>
        <v>288.23553637727969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27.487546873510212</v>
      </c>
      <c r="AV82" s="21">
        <f>EXP(-LN(2)/25)*AV81+(1-EXP(-LN(2)/25))/(LN(2)/25)*Calculateur!AQ82*Calculateur!AS82*VLOOKUP('Données projet'!$B$10,Paramètres!$A$1:$I$89,3,0)*0.475*44/12</f>
        <v>23.469141263349108</v>
      </c>
      <c r="AW82" s="21">
        <f>EXP(-LN(2)/2)*AW81+(1-EXP(-LN(2)/2))/(LN(2)/2)*AQ82*AT82*VLOOKUP('Données projet'!$B$10,Paramètres!$A$1:$I$89,3,0)*0.475*44/12</f>
        <v>0.50286954646855775</v>
      </c>
      <c r="AX82" s="21">
        <f t="shared" si="60"/>
        <v>51.45955768332788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66.423956911073873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6.7444444444444462</v>
      </c>
      <c r="BD82" s="12">
        <f>IF('Données projet'!$A$88&gt;35,BD81+BC82-BL81,IF(A82&lt;'Données projet'!$A$88,$BA$205^A82,IF(A82='Données projet'!$A$88,'Données projet'!$B$88,BD81+BC82-BL81)))</f>
        <v>182.0588888888889</v>
      </c>
      <c r="BE82" s="13">
        <f>BD82*VLOOKUP('Données projet'!$B$11,Paramètres!$A$1:$I$89,3,0)*VLOOKUP('Données projet'!$B$11,Paramètres!$A$1:$I$89,5,0)</f>
        <v>184.60771333333335</v>
      </c>
      <c r="BF82" s="13">
        <f t="shared" si="91"/>
        <v>46.345804577336679</v>
      </c>
      <c r="BG82" s="20">
        <f t="shared" si="61"/>
        <v>402.24404369441692</v>
      </c>
      <c r="BH82" s="59">
        <f t="shared" si="62"/>
        <v>682.46521903502116</v>
      </c>
      <c r="BI82" s="59">
        <f ca="1">AVERAGE(OFFSET($BH$3,0,0,'Données projet'!$E$11+1,1))-AVERAGE(OFFSET($H$3,0,0,'Données projet'!$E$11+1,1))</f>
        <v>559.91818701710872</v>
      </c>
      <c r="BJ82" s="59">
        <f t="shared" si="92"/>
        <v>273.47272623465915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0</v>
      </c>
      <c r="BQ82" s="21">
        <f>EXP(-LN(2)/25)*BQ81+(1-EXP(-LN(2)/25))/(LN(2)/25)*Calculateur!BL82*Calculateur!BN82*VLOOKUP('Données projet'!$B$11,Paramètres!$A$1:$I$89,3,0)*0.475*44/12</f>
        <v>41.153015096275865</v>
      </c>
      <c r="BR82" s="21">
        <f>EXP(-LN(2)/2)*BR81+(1-EXP(-LN(2)/2))/(LN(2)/2)*BL82*BO82*VLOOKUP('Données projet'!$B$11,Paramètres!$A$1:$I$89,3,0)*0.475*44/12</f>
        <v>3.5198353840163619</v>
      </c>
      <c r="BS82" s="22">
        <f t="shared" si="63"/>
        <v>44.672850480292226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66.423956911073873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-1.1368683772161603E-13</v>
      </c>
      <c r="BZ82" s="13">
        <f>BY82*VLOOKUP('Données projet'!$B$12,Paramètres!$A$1:$I$89,3,0)*VLOOKUP('Données projet'!$B$12,Paramètres!$A$1:$I$89,5,0)</f>
        <v>-8.8675733422860506E-14</v>
      </c>
      <c r="CA82" s="13" t="e">
        <f t="shared" si="93"/>
        <v>#NUM!</v>
      </c>
      <c r="CB82" s="20" t="e">
        <f t="shared" si="64"/>
        <v>#NUM!</v>
      </c>
      <c r="CC82" s="59" t="e">
        <f t="shared" si="65"/>
        <v>#NUM!</v>
      </c>
      <c r="CD82" s="59">
        <f ca="1">AVERAGE(OFFSET($CC$3,0,0,'Données projet'!$E$12+1,1))-AVERAGE(OFFSET($H$3,0,0,'Données projet'!$E$12+1,1))</f>
        <v>208.92677786250815</v>
      </c>
      <c r="CE82" s="59">
        <f t="shared" si="94"/>
        <v>207.54290142772214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22.611061231881948</v>
      </c>
      <c r="CL82" s="21">
        <f>EXP(-LN(2)/25)*CL81+(1-EXP(-LN(2)/25))/(LN(2)/25)*Calculateur!CG82*Calculateur!CI82*VLOOKUP('Données projet'!$B$12,Paramètres!$A$1:$I$89,3,0)*0.475*44/12</f>
        <v>20.566710443098</v>
      </c>
      <c r="CM82" s="21">
        <f>EXP(-LN(2)/2)*CM81+(1-EXP(-LN(2)/2))/(LN(2)/2)*CG82*CJ82*VLOOKUP('Données projet'!$B$12,Paramètres!$A$1:$I$89,3,0)*0.475*44/12</f>
        <v>1.2170677414519915</v>
      </c>
      <c r="CN82" s="22">
        <f t="shared" si="66"/>
        <v>44.394839416431942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66.423956911073873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9.4837500000000006</v>
      </c>
      <c r="CT82" s="12">
        <f>IF('Données projet'!$A$140&gt;35,CT81+CS82-DB81,IF(A82&lt;'Données projet'!$A$140,$CQ$205^A82,IF(A82='Données projet'!$A$140,'Données projet'!$B$140,CT81+CS82-DB81)))</f>
        <v>268.17499999999995</v>
      </c>
      <c r="CU82" s="17">
        <f>CT82*VLOOKUP('Données projet'!$B$13,Paramètres!$A$1:$I$89,3,0)*VLOOKUP('Données projet'!$B$13,Paramètres!$A$1:$I$89,5,0)</f>
        <v>255.19532999999996</v>
      </c>
      <c r="CV82" s="13">
        <f t="shared" si="95"/>
        <v>61.697107330819122</v>
      </c>
      <c r="CW82" s="20">
        <f t="shared" si="67"/>
        <v>551.92099501784321</v>
      </c>
      <c r="CX82" s="59">
        <f t="shared" si="68"/>
        <v>832.1421703584474</v>
      </c>
      <c r="CY82" s="59">
        <f ca="1">AVERAGE(OFFSET($CX$3,0,0,'Données projet'!$E$13+1,1))-AVERAGE(OFFSET($H$3,0,0,'Données projet'!$E$13+1,1))</f>
        <v>470.42022791389275</v>
      </c>
      <c r="CZ82" s="59">
        <f t="shared" si="96"/>
        <v>300.26117330627346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14.464016249438517</v>
      </c>
      <c r="DG82" s="21">
        <f>EXP(-LN(2)/25)*DG81+(1-EXP(-LN(2)/25))/(LN(2)/25)*Calculateur!DB82*Calculateur!DD82*VLOOKUP('Données projet'!$B$13,Paramètres!$A$1:$I$89,3,0)*0.475*44/12</f>
        <v>17.310707780631944</v>
      </c>
      <c r="DH82" s="21">
        <f>EXP(-LN(2)/2)*DH81+(1-EXP(-LN(2)/2))/(LN(2)/2)*DB82*DE82*VLOOKUP('Données projet'!$B$13,Paramètres!$A$1:$I$89,3,0)*0.475*44/12</f>
        <v>2.6015213726970563</v>
      </c>
      <c r="DI82" s="22">
        <f t="shared" si="69"/>
        <v>34.376245402767516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66.423956911073873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6.7444444444444462</v>
      </c>
      <c r="DO82" s="12">
        <f>IF('Données projet'!$A$166&gt;35,DO81+DN82-DW81,IF(A82&lt;'Données projet'!$A$166,$DL$205^A82,IF(A82='Données projet'!$A$166,'Données projet'!$B$166,DO81+DN82-DW81)))</f>
        <v>182.0588888888889</v>
      </c>
      <c r="DP82" s="17">
        <f>DO82*VLOOKUP('Données projet'!$B$14,Paramètres!$A$1:$I$89,3,0)*VLOOKUP('Données projet'!$B$14,Paramètres!$A$1:$I$89,5,0)</f>
        <v>176.08735733333333</v>
      </c>
      <c r="DQ82" s="13">
        <f t="shared" si="97"/>
        <v>44.450585000092076</v>
      </c>
      <c r="DR82" s="20">
        <f t="shared" si="70"/>
        <v>384.10358289738252</v>
      </c>
      <c r="DS82" s="59">
        <f t="shared" si="71"/>
        <v>664.32475823798677</v>
      </c>
      <c r="DT82" s="59">
        <f ca="1">AVERAGE(OFFSET($DS$3,0,0,'Données projet'!$E$14+1,1))-AVERAGE(OFFSET($H$3,0,0,'Données projet'!$E$14+1,1))</f>
        <v>537.37164071064103</v>
      </c>
      <c r="DU82" s="59">
        <f t="shared" si="98"/>
        <v>263.29777321132235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0</v>
      </c>
      <c r="EB82" s="21">
        <f>EXP(-LN(2)/25)*EB81+(1-EXP(-LN(2)/25))/(LN(2)/25)*Calculateur!DW82*Calculateur!DY82*VLOOKUP('Données projet'!$B$14,Paramètres!$A$1:$I$89,3,0)*0.475*44/12</f>
        <v>12.266764115236073</v>
      </c>
      <c r="EC82" s="21">
        <f>EXP(-LN(2)/2)*EC81+(1-EXP(-LN(2)/2))/(LN(2)/2)*DW82*DZ82*VLOOKUP('Données projet'!$B$14,Paramètres!$A$1:$I$89,3,0)*0.475*44/12</f>
        <v>4.1967268040195087</v>
      </c>
      <c r="ED82" s="22">
        <f t="shared" si="72"/>
        <v>16.463490919255584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66.423956911073873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66.423956911073873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66.423956911073873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66.423956911073873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45">
      <c r="A83" s="10">
        <f t="shared" si="85"/>
        <v>80</v>
      </c>
      <c r="B83" s="73">
        <f>'Scénario référence'!$B$16*5+'Scénario référence'!$B$17*0+'Scénario référence'!$B$18*5</f>
        <v>2.8499999999999996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10.449999999999998</v>
      </c>
      <c r="H83" s="67">
        <f t="shared" si="56"/>
        <v>214.86666666666667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66.4859932638321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12.082500000000003</v>
      </c>
      <c r="N83" s="13">
        <f>IF('Données projet'!$A$36&gt;35,N82+M83-V82,IF(A83&lt;'Données projet'!$A$36,$K$205^A83,IF(A83='Données projet'!$A$36,'Données projet'!$B$36,N82+M83-V82)))</f>
        <v>412.005</v>
      </c>
      <c r="O83" s="13">
        <f>N83*VLOOKUP('Données projet'!$B$9,Paramètres!$A$1:$I$89,3,0)*VLOOKUP('Données projet'!$B$9,Paramètres!$A$1:$I$89,5,0)</f>
        <v>372.78212400000001</v>
      </c>
      <c r="P83" s="13">
        <f t="shared" si="87"/>
        <v>86.236231998585495</v>
      </c>
      <c r="Q83" s="20">
        <f t="shared" si="54"/>
        <v>799.45697003086968</v>
      </c>
      <c r="R83" s="59">
        <f t="shared" si="55"/>
        <v>1079.905611998254</v>
      </c>
      <c r="S83" s="59">
        <f ca="1">AVERAGE(OFFSET($R$3,0,0,'Données projet'!$E$9+1,1))-AVERAGE(OFFSET($H$3,0,0,'Données projet'!$E$9+1,1))</f>
        <v>719.20816951277925</v>
      </c>
      <c r="T83" s="59">
        <f t="shared" si="88"/>
        <v>237.1127421841087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25.19785889825868</v>
      </c>
      <c r="AA83" s="21">
        <f>EXP(-LN(2)/25)*AA82+(1-EXP(-LN(2)/25))/(LN(2)/25)*Calculateur!V83*Calculateur!X83*VLOOKUP('Données projet'!$B$9,Paramètres!$A$1:$I$89,3,0)*0.475*44/12</f>
        <v>33.97744108029643</v>
      </c>
      <c r="AB83" s="21">
        <f>EXP(-LN(2)/2)*AB82+(1-EXP(-LN(2)/2))/(LN(2)/2)*V83*Y83*VLOOKUP('Données projet'!$B$9,Paramètres!$A$1:$I$89,3,0)*0.475*44/12</f>
        <v>0.85758204374733105</v>
      </c>
      <c r="AC83" s="22">
        <f t="shared" si="57"/>
        <v>60.032882022302438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66.4859932638321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12.707777777777771</v>
      </c>
      <c r="AI83" s="13">
        <f>IF('Données projet'!$A$62&gt;35,AI82+AH83-AQ82,IF(A83&lt;'Données projet'!$A$62,$AF$205^A83,IF(A83='Données projet'!$A$62,'Données projet'!$B$62,AI82+AH83-AQ82)))</f>
        <v>420.57222222222197</v>
      </c>
      <c r="AJ83" s="13">
        <f>AI83*VLOOKUP('Données projet'!$B$10,Paramètres!$A$1:$I$89,3,0)*VLOOKUP('Données projet'!$B$10,Paramètres!$A$1:$I$89,5,0)</f>
        <v>354.29003999999981</v>
      </c>
      <c r="AK83" s="13">
        <f t="shared" si="89"/>
        <v>82.445247716912462</v>
      </c>
      <c r="AL83" s="20">
        <f t="shared" si="58"/>
        <v>760.6472927736221</v>
      </c>
      <c r="AM83" s="59">
        <f t="shared" si="59"/>
        <v>1041.0959347410064</v>
      </c>
      <c r="AN83" s="59">
        <f ca="1">AVERAGE(OFFSET($AM$3,0,0,'Données projet'!$E$10+1,1))-AVERAGE(OFFSET($H$3,0,0,'Données projet'!$E$10+1,1))</f>
        <v>442.79037205372367</v>
      </c>
      <c r="AO83" s="59">
        <f t="shared" si="90"/>
        <v>288.23553637727969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26.94853284506879</v>
      </c>
      <c r="AV83" s="21">
        <f>EXP(-LN(2)/25)*AV82+(1-EXP(-LN(2)/25))/(LN(2)/25)*Calculateur!AQ83*Calculateur!AS83*VLOOKUP('Données projet'!$B$10,Paramètres!$A$1:$I$89,3,0)*0.475*44/12</f>
        <v>22.827376361314329</v>
      </c>
      <c r="AW83" s="21">
        <f>EXP(-LN(2)/2)*AW82+(1-EXP(-LN(2)/2))/(LN(2)/2)*AQ83*AT83*VLOOKUP('Données projet'!$B$10,Paramètres!$A$1:$I$89,3,0)*0.475*44/12</f>
        <v>0.35558246636012086</v>
      </c>
      <c r="AX83" s="21">
        <f t="shared" si="60"/>
        <v>50.131491672743238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66.4859932638321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6.7444444444444462</v>
      </c>
      <c r="BD83" s="12">
        <f>IF('Données projet'!$A$88&gt;35,BD82+BC83-BL82,IF(A83&lt;'Données projet'!$A$88,$BA$205^A83,IF(A83='Données projet'!$A$88,'Données projet'!$B$88,BD82+BC83-BL82)))</f>
        <v>188.80333333333334</v>
      </c>
      <c r="BE83" s="13">
        <f>BD83*VLOOKUP('Données projet'!$B$11,Paramètres!$A$1:$I$89,3,0)*VLOOKUP('Données projet'!$B$11,Paramètres!$A$1:$I$89,5,0)</f>
        <v>191.44658000000004</v>
      </c>
      <c r="BF83" s="13">
        <f t="shared" si="91"/>
        <v>47.859629835500797</v>
      </c>
      <c r="BG83" s="20">
        <f t="shared" si="61"/>
        <v>416.79164879683066</v>
      </c>
      <c r="BH83" s="59">
        <f t="shared" si="62"/>
        <v>697.24029076421505</v>
      </c>
      <c r="BI83" s="59">
        <f ca="1">AVERAGE(OFFSET($BH$3,0,0,'Données projet'!$E$11+1,1))-AVERAGE(OFFSET($H$3,0,0,'Données projet'!$E$11+1,1))</f>
        <v>559.91818701710872</v>
      </c>
      <c r="BJ83" s="59">
        <f t="shared" si="92"/>
        <v>273.47272623465915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0</v>
      </c>
      <c r="BQ83" s="21">
        <f>EXP(-LN(2)/25)*BQ82+(1-EXP(-LN(2)/25))/(LN(2)/25)*Calculateur!BL83*Calculateur!BN83*VLOOKUP('Données projet'!$B$11,Paramètres!$A$1:$I$89,3,0)*0.475*44/12</f>
        <v>40.027683734325194</v>
      </c>
      <c r="BR83" s="21">
        <f>EXP(-LN(2)/2)*BR82+(1-EXP(-LN(2)/2))/(LN(2)/2)*BL83*BO83*VLOOKUP('Données projet'!$B$11,Paramètres!$A$1:$I$89,3,0)*0.475*44/12</f>
        <v>2.4888994686983255</v>
      </c>
      <c r="BS83" s="22">
        <f t="shared" si="63"/>
        <v>42.516583203023522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66.4859932638321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-1.1368683772161603E-13</v>
      </c>
      <c r="BZ83" s="13">
        <f>BY83*VLOOKUP('Données projet'!$B$12,Paramètres!$A$1:$I$89,3,0)*VLOOKUP('Données projet'!$B$12,Paramètres!$A$1:$I$89,5,0)</f>
        <v>-8.8675733422860506E-14</v>
      </c>
      <c r="CA83" s="13" t="e">
        <f t="shared" si="93"/>
        <v>#NUM!</v>
      </c>
      <c r="CB83" s="20" t="e">
        <f t="shared" si="64"/>
        <v>#NUM!</v>
      </c>
      <c r="CC83" s="59" t="e">
        <f t="shared" si="65"/>
        <v>#NUM!</v>
      </c>
      <c r="CD83" s="59">
        <f ca="1">AVERAGE(OFFSET($CC$3,0,0,'Données projet'!$E$12+1,1))-AVERAGE(OFFSET($H$3,0,0,'Données projet'!$E$12+1,1))</f>
        <v>208.92677786250815</v>
      </c>
      <c r="CE83" s="59">
        <f t="shared" si="94"/>
        <v>207.54290142772214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22.167672112510306</v>
      </c>
      <c r="CL83" s="21">
        <f>EXP(-LN(2)/25)*CL82+(1-EXP(-LN(2)/25))/(LN(2)/25)*Calculateur!CG83*Calculateur!CI83*VLOOKUP('Données projet'!$B$12,Paramètres!$A$1:$I$89,3,0)*0.475*44/12</f>
        <v>20.00431266447519</v>
      </c>
      <c r="CM83" s="21">
        <f>EXP(-LN(2)/2)*CM82+(1-EXP(-LN(2)/2))/(LN(2)/2)*CG83*CJ83*VLOOKUP('Données projet'!$B$12,Paramètres!$A$1:$I$89,3,0)*0.475*44/12</f>
        <v>0.86059685314409895</v>
      </c>
      <c r="CN83" s="22">
        <f t="shared" si="66"/>
        <v>43.032581630129599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66.4859932638321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9.4837500000000006</v>
      </c>
      <c r="CT83" s="12">
        <f>IF('Données projet'!$A$140&gt;35,CT82+CS83-DB82,IF(A83&lt;'Données projet'!$A$140,$CQ$205^A83,IF(A83='Données projet'!$A$140,'Données projet'!$B$140,CT82+CS83-DB82)))</f>
        <v>277.65874999999994</v>
      </c>
      <c r="CU83" s="17">
        <f>CT83*VLOOKUP('Données projet'!$B$13,Paramètres!$A$1:$I$89,3,0)*VLOOKUP('Données projet'!$B$13,Paramètres!$A$1:$I$89,5,0)</f>
        <v>264.22006649999997</v>
      </c>
      <c r="CV83" s="13">
        <f t="shared" si="95"/>
        <v>63.621080932408354</v>
      </c>
      <c r="CW83" s="20">
        <f t="shared" si="67"/>
        <v>570.98999844477783</v>
      </c>
      <c r="CX83" s="59">
        <f t="shared" si="68"/>
        <v>851.43864041216216</v>
      </c>
      <c r="CY83" s="59">
        <f ca="1">AVERAGE(OFFSET($CX$3,0,0,'Données projet'!$E$13+1,1))-AVERAGE(OFFSET($H$3,0,0,'Données projet'!$E$13+1,1))</f>
        <v>470.42022791389275</v>
      </c>
      <c r="CZ83" s="59">
        <f t="shared" si="96"/>
        <v>300.26117330627346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14.180385712965823</v>
      </c>
      <c r="DG83" s="21">
        <f>EXP(-LN(2)/25)*DG82+(1-EXP(-LN(2)/25))/(LN(2)/25)*Calculateur!DB83*Calculateur!DD83*VLOOKUP('Données projet'!$B$13,Paramètres!$A$1:$I$89,3,0)*0.475*44/12</f>
        <v>16.837345566040007</v>
      </c>
      <c r="DH83" s="21">
        <f>EXP(-LN(2)/2)*DH82+(1-EXP(-LN(2)/2))/(LN(2)/2)*DB83*DE83*VLOOKUP('Données projet'!$B$13,Paramètres!$A$1:$I$89,3,0)*0.475*44/12</f>
        <v>1.8395534040358243</v>
      </c>
      <c r="DI83" s="22">
        <f t="shared" si="69"/>
        <v>32.857284683041655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66.4859932638321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6.7444444444444462</v>
      </c>
      <c r="DO83" s="12">
        <f>IF('Données projet'!$A$166&gt;35,DO82+DN83-DW82,IF(A83&lt;'Données projet'!$A$166,$DL$205^A83,IF(A83='Données projet'!$A$166,'Données projet'!$B$166,DO82+DN83-DW82)))</f>
        <v>188.80333333333334</v>
      </c>
      <c r="DP83" s="17">
        <f>DO83*VLOOKUP('Données projet'!$B$14,Paramètres!$A$1:$I$89,3,0)*VLOOKUP('Données projet'!$B$14,Paramètres!$A$1:$I$89,5,0)</f>
        <v>182.61058400000002</v>
      </c>
      <c r="DQ83" s="13">
        <f t="shared" si="97"/>
        <v>45.9025053826808</v>
      </c>
      <c r="DR83" s="20">
        <f t="shared" si="70"/>
        <v>397.99363067483574</v>
      </c>
      <c r="DS83" s="59">
        <f t="shared" si="71"/>
        <v>678.44227264222013</v>
      </c>
      <c r="DT83" s="59">
        <f ca="1">AVERAGE(OFFSET($DS$3,0,0,'Données projet'!$E$14+1,1))-AVERAGE(OFFSET($H$3,0,0,'Données projet'!$E$14+1,1))</f>
        <v>537.37164071064103</v>
      </c>
      <c r="DU83" s="59">
        <f t="shared" si="98"/>
        <v>263.29777321132235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0</v>
      </c>
      <c r="EB83" s="21">
        <f>EXP(-LN(2)/25)*EB82+(1-EXP(-LN(2)/25))/(LN(2)/25)*Calculateur!DW83*Calculateur!DY83*VLOOKUP('Données projet'!$B$14,Paramètres!$A$1:$I$89,3,0)*0.475*44/12</f>
        <v>11.931328805423854</v>
      </c>
      <c r="EC83" s="21">
        <f>EXP(-LN(2)/2)*EC82+(1-EXP(-LN(2)/2))/(LN(2)/2)*DW83*DZ83*VLOOKUP('Données projet'!$B$14,Paramètres!$A$1:$I$89,3,0)*0.475*44/12</f>
        <v>2.9675339819095417</v>
      </c>
      <c r="ED83" s="22">
        <f t="shared" si="72"/>
        <v>14.898862787333396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66.4859932638321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66.4859932638321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66.4859932638321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66.4859932638321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45">
      <c r="A84" s="10">
        <f t="shared" si="85"/>
        <v>81</v>
      </c>
      <c r="B84" s="73">
        <f>'Scénario référence'!$B$16*5+'Scénario référence'!$B$17*0+'Scénario référence'!$B$18*5</f>
        <v>2.8499999999999996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10.449999999999998</v>
      </c>
      <c r="H84" s="67">
        <f t="shared" si="56"/>
        <v>214.86666666666667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66.546953424562489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12.082500000000003</v>
      </c>
      <c r="N84" s="13">
        <f>IF('Données projet'!$A$36&gt;35,N83+M84-V83,IF(A84&lt;'Données projet'!$A$36,$K$205^A84,IF(A84='Données projet'!$A$36,'Données projet'!$B$36,N83+M84-V83)))</f>
        <v>424.08749999999998</v>
      </c>
      <c r="O84" s="13">
        <f>N84*VLOOKUP('Données projet'!$B$9,Paramètres!$A$1:$I$89,3,0)*VLOOKUP('Données projet'!$B$9,Paramètres!$A$1:$I$89,5,0)</f>
        <v>383.71436999999997</v>
      </c>
      <c r="P84" s="13">
        <f t="shared" si="87"/>
        <v>88.467059030009779</v>
      </c>
      <c r="Q84" s="20">
        <f t="shared" si="54"/>
        <v>822.38265556060048</v>
      </c>
      <c r="R84" s="59">
        <f t="shared" si="55"/>
        <v>1103.0548181173297</v>
      </c>
      <c r="S84" s="59">
        <f ca="1">AVERAGE(OFFSET($R$3,0,0,'Données projet'!$E$9+1,1))-AVERAGE(OFFSET($H$3,0,0,'Données projet'!$E$9+1,1))</f>
        <v>719.20816951277925</v>
      </c>
      <c r="T84" s="59">
        <f t="shared" si="88"/>
        <v>237.1127421841087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24.703744254440174</v>
      </c>
      <c r="AA84" s="21">
        <f>EXP(-LN(2)/25)*AA83+(1-EXP(-LN(2)/25))/(LN(2)/25)*Calculateur!V84*Calculateur!X84*VLOOKUP('Données projet'!$B$9,Paramètres!$A$1:$I$89,3,0)*0.475*44/12</f>
        <v>33.048326167159757</v>
      </c>
      <c r="AB84" s="21">
        <f>EXP(-LN(2)/2)*AB83+(1-EXP(-LN(2)/2))/(LN(2)/2)*V84*Y84*VLOOKUP('Données projet'!$B$9,Paramètres!$A$1:$I$89,3,0)*0.475*44/12</f>
        <v>0.60640207855755623</v>
      </c>
      <c r="AC84" s="22">
        <f t="shared" si="57"/>
        <v>58.35847250015749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66.546953424562489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>
        <f>VLOOKUP(A84,'Données projet'!$A$61:$I$81,2,0)</f>
        <v>433.28</v>
      </c>
      <c r="AG84" s="12">
        <f>VLOOKUP(A84,'Données projet'!$A$61:$I$81,9,0)</f>
        <v>12.707777777777771</v>
      </c>
      <c r="AH84" s="12">
        <f t="array" ref="AH84">INDEX(AG:AG,MIN(IF(ISNUMBER(AG84:AG280),ROW(AG84:AG280),"")))</f>
        <v>12.707777777777771</v>
      </c>
      <c r="AI84" s="13">
        <f>IF('Données projet'!$A$62&gt;35,AI83+AH84-AQ83,IF(A84&lt;'Données projet'!$A$62,$AF$205^A84,IF(A84='Données projet'!$A$62,'Données projet'!$B$62,AI83+AH84-AQ83)))</f>
        <v>433.27999999999975</v>
      </c>
      <c r="AJ84" s="13">
        <f>AI84*VLOOKUP('Données projet'!$B$10,Paramètres!$A$1:$I$89,3,0)*VLOOKUP('Données projet'!$B$10,Paramètres!$A$1:$I$89,5,0)</f>
        <v>364.99507199999982</v>
      </c>
      <c r="AK84" s="13">
        <f t="shared" si="89"/>
        <v>84.642573401902411</v>
      </c>
      <c r="AL84" s="20">
        <f t="shared" si="58"/>
        <v>783.11889907497971</v>
      </c>
      <c r="AM84" s="59">
        <f t="shared" si="59"/>
        <v>1063.7910616317088</v>
      </c>
      <c r="AN84" s="59">
        <f ca="1">AVERAGE(OFFSET($AM$3,0,0,'Données projet'!$E$10+1,1))-AVERAGE(OFFSET($H$3,0,0,'Données projet'!$E$10+1,1))</f>
        <v>442.79037205372367</v>
      </c>
      <c r="AO84" s="59">
        <f t="shared" si="90"/>
        <v>288.23553637727969</v>
      </c>
      <c r="AP84" s="15">
        <f>IF(ISNA(VLOOKUP(A84,'Données projet'!$A$61:$I$81,3,0)),0,VLOOKUP(A84,'Données projet'!$A$61:$I$81,3,0))</f>
        <v>8</v>
      </c>
      <c r="AQ84" s="15">
        <f>IF(ISNA(VLOOKUP(A84,'Données projet'!$A$61:$I$81,4,0)),0,VLOOKUP(A84,'Données projet'!$A$61:$I$81,4,0))</f>
        <v>87.399999999999977</v>
      </c>
      <c r="AR84" s="16">
        <f>IF(ISNA(VLOOKUP(A84,'Données projet'!$A$61:$I$81,5,0)),0%,VLOOKUP(A84,'Données projet'!$A$61:$I$81,5,0)*VLOOKUP('Données projet'!$B$10,Paramètres!$A$1:$I$89,7,0))</f>
        <v>0.215</v>
      </c>
      <c r="AS84" s="16">
        <f>IF(ISNA(VLOOKUP(A84,'Données projet'!$A$61:$I$81,6,0)),0%,VLOOKUP(A84,'Données projet'!$A$61:$I$81,6,0)*VLOOKUP('Données projet'!$B$10,Paramètres!$A$1:$I$89,7,0))</f>
        <v>8.6000000000000007E-2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43.919174375838409</v>
      </c>
      <c r="AV84" s="21">
        <f>EXP(-LN(2)/25)*AV83+(1-EXP(-LN(2)/25))/(LN(2)/25)*Calculateur!AQ84*Calculateur!AS84*VLOOKUP('Données projet'!$B$10,Paramètres!$A$1:$I$89,3,0)*0.475*44/12</f>
        <v>29.175234656002758</v>
      </c>
      <c r="AW84" s="21">
        <f>EXP(-LN(2)/2)*AW83+(1-EXP(-LN(2)/2))/(LN(2)/2)*AQ84*AT84*VLOOKUP('Données projet'!$B$10,Paramètres!$A$1:$I$89,3,0)*0.475*44/12</f>
        <v>0.25143477323427887</v>
      </c>
      <c r="AX84" s="21">
        <f t="shared" si="60"/>
        <v>73.345843805075447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66.546953424562489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6.7444444444444462</v>
      </c>
      <c r="BD84" s="12">
        <f>IF('Données projet'!$A$88&gt;35,BD83+BC84-BL83,IF(A84&lt;'Données projet'!$A$88,$BA$205^A84,IF(A84='Données projet'!$A$88,'Données projet'!$B$88,BD83+BC84-BL83)))</f>
        <v>195.54777777777778</v>
      </c>
      <c r="BE84" s="13">
        <f>BD84*VLOOKUP('Données projet'!$B$11,Paramètres!$A$1:$I$89,3,0)*VLOOKUP('Données projet'!$B$11,Paramètres!$A$1:$I$89,5,0)</f>
        <v>198.28544666666667</v>
      </c>
      <c r="BF84" s="13">
        <f t="shared" si="91"/>
        <v>49.367172192409612</v>
      </c>
      <c r="BG84" s="20">
        <f t="shared" si="61"/>
        <v>431.32831117955783</v>
      </c>
      <c r="BH84" s="59">
        <f t="shared" si="62"/>
        <v>712.00047373628695</v>
      </c>
      <c r="BI84" s="59">
        <f ca="1">AVERAGE(OFFSET($BH$3,0,0,'Données projet'!$E$11+1,1))-AVERAGE(OFFSET($H$3,0,0,'Données projet'!$E$11+1,1))</f>
        <v>559.91818701710872</v>
      </c>
      <c r="BJ84" s="59">
        <f t="shared" si="92"/>
        <v>273.47272623465915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0</v>
      </c>
      <c r="BQ84" s="21">
        <f>EXP(-LN(2)/25)*BQ83+(1-EXP(-LN(2)/25))/(LN(2)/25)*Calculateur!BL84*Calculateur!BN84*VLOOKUP('Données projet'!$B$11,Paramètres!$A$1:$I$89,3,0)*0.475*44/12</f>
        <v>38.933124617645667</v>
      </c>
      <c r="BR84" s="21">
        <f>EXP(-LN(2)/2)*BR83+(1-EXP(-LN(2)/2))/(LN(2)/2)*BL84*BO84*VLOOKUP('Données projet'!$B$11,Paramètres!$A$1:$I$89,3,0)*0.475*44/12</f>
        <v>1.7599176920081814</v>
      </c>
      <c r="BS84" s="22">
        <f t="shared" si="63"/>
        <v>40.693042309653848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66.546953424562489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-1.1368683772161603E-13</v>
      </c>
      <c r="BZ84" s="13">
        <f>BY84*VLOOKUP('Données projet'!$B$12,Paramètres!$A$1:$I$89,3,0)*VLOOKUP('Données projet'!$B$12,Paramètres!$A$1:$I$89,5,0)</f>
        <v>-8.8675733422860506E-14</v>
      </c>
      <c r="CA84" s="13" t="e">
        <f t="shared" si="93"/>
        <v>#NUM!</v>
      </c>
      <c r="CB84" s="20" t="e">
        <f t="shared" si="64"/>
        <v>#NUM!</v>
      </c>
      <c r="CC84" s="59" t="e">
        <f t="shared" si="65"/>
        <v>#NUM!</v>
      </c>
      <c r="CD84" s="59">
        <f ca="1">AVERAGE(OFFSET($CC$3,0,0,'Données projet'!$E$12+1,1))-AVERAGE(OFFSET($H$3,0,0,'Données projet'!$E$12+1,1))</f>
        <v>208.92677786250815</v>
      </c>
      <c r="CE84" s="59">
        <f t="shared" si="94"/>
        <v>207.54290142772214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21.732977583328886</v>
      </c>
      <c r="CL84" s="21">
        <f>EXP(-LN(2)/25)*CL83+(1-EXP(-LN(2)/25))/(LN(2)/25)*Calculateur!CG84*Calculateur!CI84*VLOOKUP('Données projet'!$B$12,Paramètres!$A$1:$I$89,3,0)*0.475*44/12</f>
        <v>19.457293682684032</v>
      </c>
      <c r="CM84" s="21">
        <f>EXP(-LN(2)/2)*CM83+(1-EXP(-LN(2)/2))/(LN(2)/2)*CG84*CJ84*VLOOKUP('Données projet'!$B$12,Paramètres!$A$1:$I$89,3,0)*0.475*44/12</f>
        <v>0.60853387072599574</v>
      </c>
      <c r="CN84" s="22">
        <f t="shared" si="66"/>
        <v>41.798805136738906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66.546953424562489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9.4837500000000006</v>
      </c>
      <c r="CT84" s="12">
        <f>IF('Données projet'!$A$140&gt;35,CT83+CS84-DB83,IF(A84&lt;'Données projet'!$A$140,$CQ$205^A84,IF(A84='Données projet'!$A$140,'Données projet'!$B$140,CT83+CS84-DB83)))</f>
        <v>287.14249999999993</v>
      </c>
      <c r="CU84" s="17">
        <f>CT84*VLOOKUP('Données projet'!$B$13,Paramètres!$A$1:$I$89,3,0)*VLOOKUP('Données projet'!$B$13,Paramètres!$A$1:$I$89,5,0)</f>
        <v>273.24480299999993</v>
      </c>
      <c r="CV84" s="13">
        <f t="shared" si="95"/>
        <v>65.537418866724181</v>
      </c>
      <c r="CW84" s="20">
        <f t="shared" si="67"/>
        <v>590.04570308454447</v>
      </c>
      <c r="CX84" s="59">
        <f t="shared" si="68"/>
        <v>870.71786564127365</v>
      </c>
      <c r="CY84" s="59">
        <f ca="1">AVERAGE(OFFSET($CX$3,0,0,'Données projet'!$E$13+1,1))-AVERAGE(OFFSET($H$3,0,0,'Données projet'!$E$13+1,1))</f>
        <v>470.42022791389275</v>
      </c>
      <c r="CZ84" s="59">
        <f t="shared" si="96"/>
        <v>300.26117330627346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13.902316998315811</v>
      </c>
      <c r="DG84" s="21">
        <f>EXP(-LN(2)/25)*DG83+(1-EXP(-LN(2)/25))/(LN(2)/25)*Calculateur!DB84*Calculateur!DD84*VLOOKUP('Données projet'!$B$13,Paramètres!$A$1:$I$89,3,0)*0.475*44/12</f>
        <v>16.376927466099122</v>
      </c>
      <c r="DH84" s="21">
        <f>EXP(-LN(2)/2)*DH83+(1-EXP(-LN(2)/2))/(LN(2)/2)*DB84*DE84*VLOOKUP('Données projet'!$B$13,Paramètres!$A$1:$I$89,3,0)*0.475*44/12</f>
        <v>1.3007606863485284</v>
      </c>
      <c r="DI84" s="22">
        <f t="shared" si="69"/>
        <v>31.580005150763462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66.546953424562489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6.7444444444444462</v>
      </c>
      <c r="DO84" s="12">
        <f>IF('Données projet'!$A$166&gt;35,DO83+DN84-DW83,IF(A84&lt;'Données projet'!$A$166,$DL$205^A84,IF(A84='Données projet'!$A$166,'Données projet'!$B$166,DO83+DN84-DW83)))</f>
        <v>195.54777777777778</v>
      </c>
      <c r="DP84" s="17">
        <f>DO84*VLOOKUP('Données projet'!$B$14,Paramètres!$A$1:$I$89,3,0)*VLOOKUP('Données projet'!$B$14,Paramètres!$A$1:$I$89,5,0)</f>
        <v>189.13381066666668</v>
      </c>
      <c r="DQ84" s="13">
        <f t="shared" si="97"/>
        <v>47.348399790775353</v>
      </c>
      <c r="DR84" s="20">
        <f t="shared" si="70"/>
        <v>411.87318321337824</v>
      </c>
      <c r="DS84" s="59">
        <f t="shared" si="71"/>
        <v>692.54534577010736</v>
      </c>
      <c r="DT84" s="59">
        <f ca="1">AVERAGE(OFFSET($DS$3,0,0,'Données projet'!$E$14+1,1))-AVERAGE(OFFSET($H$3,0,0,'Données projet'!$E$14+1,1))</f>
        <v>537.37164071064103</v>
      </c>
      <c r="DU84" s="59">
        <f t="shared" si="98"/>
        <v>263.29777321132235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0</v>
      </c>
      <c r="EB84" s="21">
        <f>EXP(-LN(2)/25)*EB83+(1-EXP(-LN(2)/25))/(LN(2)/25)*Calculateur!DW84*Calculateur!DY84*VLOOKUP('Données projet'!$B$14,Paramètres!$A$1:$I$89,3,0)*0.475*44/12</f>
        <v>11.605065991798227</v>
      </c>
      <c r="EC84" s="21">
        <f>EXP(-LN(2)/2)*EC83+(1-EXP(-LN(2)/2))/(LN(2)/2)*DW84*DZ84*VLOOKUP('Données projet'!$B$14,Paramètres!$A$1:$I$89,3,0)*0.475*44/12</f>
        <v>2.0983634020097544</v>
      </c>
      <c r="ED84" s="22">
        <f t="shared" si="72"/>
        <v>13.703429393807982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66.546953424562489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66.546953424562489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66.546953424562489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66.546953424562489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45">
      <c r="A85" s="10">
        <f t="shared" si="85"/>
        <v>82</v>
      </c>
      <c r="B85" s="73">
        <f>'Scénario référence'!$B$16*5+'Scénario référence'!$B$17*0+'Scénario référence'!$B$18*5</f>
        <v>2.8499999999999996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10.449999999999998</v>
      </c>
      <c r="H85" s="67">
        <f t="shared" si="56"/>
        <v>214.86666666666667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66.606856062790712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>
        <f>VLOOKUP(A85,'Données projet'!$A$35:$I$55,2,0)</f>
        <v>436.17</v>
      </c>
      <c r="L85" s="12">
        <f>VLOOKUP(A85,'Données projet'!$A$35:$I$55,9,0)</f>
        <v>12.082500000000003</v>
      </c>
      <c r="M85" s="12">
        <f t="array" ref="M85">INDEX(L:L,MIN(IF(ISNUMBER(L85:L281),ROW(L85:L281),"")))</f>
        <v>12.082500000000003</v>
      </c>
      <c r="N85" s="13">
        <f>IF('Données projet'!$A$36&gt;35,N84+M85-V84,IF(A85&lt;'Données projet'!$A$36,$K$205^A85,IF(A85='Données projet'!$A$36,'Données projet'!$B$36,N84+M85-V84)))</f>
        <v>436.16999999999996</v>
      </c>
      <c r="O85" s="13">
        <f>N85*VLOOKUP('Données projet'!$B$9,Paramètres!$A$1:$I$89,3,0)*VLOOKUP('Données projet'!$B$9,Paramètres!$A$1:$I$89,5,0)</f>
        <v>394.64661599999999</v>
      </c>
      <c r="P85" s="13">
        <f t="shared" si="87"/>
        <v>90.690499158874985</v>
      </c>
      <c r="Q85" s="20">
        <f t="shared" si="54"/>
        <v>845.29547556837406</v>
      </c>
      <c r="R85" s="59">
        <f t="shared" si="55"/>
        <v>1126.1872811319399</v>
      </c>
      <c r="S85" s="59">
        <f ca="1">AVERAGE(OFFSET($R$3,0,0,'Données projet'!$E$9+1,1))-AVERAGE(OFFSET($H$3,0,0,'Données projet'!$E$9+1,1))</f>
        <v>719.20816951277925</v>
      </c>
      <c r="T85" s="59">
        <f t="shared" si="88"/>
        <v>237.1127421841087</v>
      </c>
      <c r="U85" s="15">
        <f>IF(ISNA(VLOOKUP(A85,'Données projet'!$A$35:$I$55,3,0)),0,VLOOKUP(A85,'Données projet'!$A$35:$I$55,3,0))</f>
        <v>7</v>
      </c>
      <c r="V85" s="15">
        <f>IF(ISNA(VLOOKUP(A85,'Données projet'!$A$35:$I$55,4,0)),0,VLOOKUP(A85,'Données projet'!$A$35:$I$55,4,0))</f>
        <v>58.140000000000043</v>
      </c>
      <c r="W85" s="16">
        <f>IF(ISNA(VLOOKUP(A85,'Données projet'!$A$35:$I$55,5,0)),0%,VLOOKUP(A85,'Données projet'!$A$35:$I$55,5,0)*VLOOKUP('Données projet'!$B$9,Paramètres!$A$1:$I$89,7,0))</f>
        <v>0.15049999999999999</v>
      </c>
      <c r="X85" s="16">
        <f>IF(ISNA(VLOOKUP(A85,'Données projet'!$A$35:$I$55,6,0)),0%,VLOOKUP(A85,'Données projet'!$A$35:$I$55,6,0)*VLOOKUP('Données projet'!$B$9,Paramètres!$A$1:$I$89,7,0))</f>
        <v>8.6000000000000007E-2</v>
      </c>
      <c r="Y85" s="16">
        <f>IF(ISNA(VLOOKUP(A85,'Données projet'!$A$35:$I$55,7,0)),0%,VLOOKUP(A85,'Données projet'!$A$35:$I$55,7,0))</f>
        <v>0.1</v>
      </c>
      <c r="Z85" s="21">
        <f>EXP(-LN(2)/35)*Z84+(1-EXP(-LN(2)/35))/(LN(2)/35)*V85*W85*VLOOKUP('Données projet'!$B$9,Paramètres!$A$1:$I$89,3,0)*0.475*44/12</f>
        <v>32.971397908241109</v>
      </c>
      <c r="AA85" s="21">
        <f>EXP(-LN(2)/25)*AA84+(1-EXP(-LN(2)/25))/(LN(2)/25)*Calculateur!V85*Calculateur!X85*VLOOKUP('Données projet'!$B$9,Paramètres!$A$1:$I$89,3,0)*0.475*44/12</f>
        <v>37.126114373591477</v>
      </c>
      <c r="AB85" s="21">
        <f>EXP(-LN(2)/2)*AB84+(1-EXP(-LN(2)/2))/(LN(2)/2)*V85*Y85*VLOOKUP('Données projet'!$B$9,Paramètres!$A$1:$I$89,3,0)*0.475*44/12</f>
        <v>5.3922211495490986</v>
      </c>
      <c r="AC85" s="22">
        <f t="shared" si="57"/>
        <v>75.489733431381694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66.606856062790712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11.905555555555553</v>
      </c>
      <c r="AI85" s="13">
        <f>IF('Données projet'!$A$62&gt;35,AI84+AH85-AQ84,IF(A85&lt;'Données projet'!$A$62,$AF$205^A85,IF(A85='Données projet'!$A$62,'Données projet'!$B$62,AI84+AH85-AQ84)))</f>
        <v>357.78555555555533</v>
      </c>
      <c r="AJ85" s="13">
        <f>AI85*VLOOKUP('Données projet'!$B$10,Paramètres!$A$1:$I$89,3,0)*VLOOKUP('Données projet'!$B$10,Paramètres!$A$1:$I$89,5,0)</f>
        <v>301.39855199999988</v>
      </c>
      <c r="AK85" s="13">
        <f t="shared" si="89"/>
        <v>71.469574283423256</v>
      </c>
      <c r="AL85" s="20">
        <f t="shared" si="58"/>
        <v>649.41198661029523</v>
      </c>
      <c r="AM85" s="59">
        <f t="shared" si="59"/>
        <v>930.30379217386121</v>
      </c>
      <c r="AN85" s="59">
        <f ca="1">AVERAGE(OFFSET($AM$3,0,0,'Données projet'!$E$10+1,1))-AVERAGE(OFFSET($H$3,0,0,'Données projet'!$E$10+1,1))</f>
        <v>442.79037205372367</v>
      </c>
      <c r="AO85" s="59">
        <f t="shared" si="90"/>
        <v>288.23553637727969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43.057946154379486</v>
      </c>
      <c r="AV85" s="21">
        <f>EXP(-LN(2)/25)*AV84+(1-EXP(-LN(2)/25))/(LN(2)/25)*Calculateur!AQ85*Calculateur!AS85*VLOOKUP('Données projet'!$B$10,Paramètres!$A$1:$I$89,3,0)*0.475*44/12</f>
        <v>28.377436330075451</v>
      </c>
      <c r="AW85" s="21">
        <f>EXP(-LN(2)/2)*AW84+(1-EXP(-LN(2)/2))/(LN(2)/2)*AQ85*AT85*VLOOKUP('Données projet'!$B$10,Paramètres!$A$1:$I$89,3,0)*0.475*44/12</f>
        <v>0.17779123318006043</v>
      </c>
      <c r="AX85" s="21">
        <f t="shared" si="60"/>
        <v>71.613173717634993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66.606856062790712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6.7444444444444462</v>
      </c>
      <c r="BD85" s="12">
        <f>IF('Données projet'!$A$88&gt;35,BD84+BC85-BL84,IF(A85&lt;'Données projet'!$A$88,$BA$205^A85,IF(A85='Données projet'!$A$88,'Données projet'!$B$88,BD84+BC85-BL84)))</f>
        <v>202.29222222222222</v>
      </c>
      <c r="BE85" s="13">
        <f>BD85*VLOOKUP('Données projet'!$B$11,Paramètres!$A$1:$I$89,3,0)*VLOOKUP('Données projet'!$B$11,Paramètres!$A$1:$I$89,5,0)</f>
        <v>205.12431333333336</v>
      </c>
      <c r="BF85" s="13">
        <f t="shared" si="91"/>
        <v>50.868673181302917</v>
      </c>
      <c r="BG85" s="20">
        <f t="shared" si="61"/>
        <v>445.85445151299149</v>
      </c>
      <c r="BH85" s="59">
        <f t="shared" si="62"/>
        <v>726.74625707655741</v>
      </c>
      <c r="BI85" s="59">
        <f ca="1">AVERAGE(OFFSET($BH$3,0,0,'Données projet'!$E$11+1,1))-AVERAGE(OFFSET($H$3,0,0,'Données projet'!$E$11+1,1))</f>
        <v>559.91818701710872</v>
      </c>
      <c r="BJ85" s="59">
        <f t="shared" si="92"/>
        <v>273.47272623465915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0</v>
      </c>
      <c r="BQ85" s="21">
        <f>EXP(-LN(2)/25)*BQ84+(1-EXP(-LN(2)/25))/(LN(2)/25)*Calculateur!BL85*Calculateur!BN85*VLOOKUP('Données projet'!$B$11,Paramètres!$A$1:$I$89,3,0)*0.475*44/12</f>
        <v>37.868496277572106</v>
      </c>
      <c r="BR85" s="21">
        <f>EXP(-LN(2)/2)*BR84+(1-EXP(-LN(2)/2))/(LN(2)/2)*BL85*BO85*VLOOKUP('Données projet'!$B$11,Paramètres!$A$1:$I$89,3,0)*0.475*44/12</f>
        <v>1.244449734349163</v>
      </c>
      <c r="BS85" s="22">
        <f t="shared" si="63"/>
        <v>39.112946011921267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66.606856062790712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-1.1368683772161603E-13</v>
      </c>
      <c r="BZ85" s="13">
        <f>BY85*VLOOKUP('Données projet'!$B$12,Paramètres!$A$1:$I$89,3,0)*VLOOKUP('Données projet'!$B$12,Paramètres!$A$1:$I$89,5,0)</f>
        <v>-8.8675733422860506E-14</v>
      </c>
      <c r="CA85" s="13" t="e">
        <f t="shared" si="93"/>
        <v>#NUM!</v>
      </c>
      <c r="CB85" s="20" t="e">
        <f t="shared" si="64"/>
        <v>#NUM!</v>
      </c>
      <c r="CC85" s="59" t="e">
        <f t="shared" si="65"/>
        <v>#NUM!</v>
      </c>
      <c r="CD85" s="59">
        <f ca="1">AVERAGE(OFFSET($CC$3,0,0,'Données projet'!$E$12+1,1))-AVERAGE(OFFSET($H$3,0,0,'Données projet'!$E$12+1,1))</f>
        <v>208.92677786250815</v>
      </c>
      <c r="CE85" s="59">
        <f t="shared" si="94"/>
        <v>207.54290142772214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21.306807148727231</v>
      </c>
      <c r="CL85" s="21">
        <f>EXP(-LN(2)/25)*CL84+(1-EXP(-LN(2)/25))/(LN(2)/25)*Calculateur!CG85*Calculateur!CI85*VLOOKUP('Données projet'!$B$12,Paramètres!$A$1:$I$89,3,0)*0.475*44/12</f>
        <v>18.925232963716432</v>
      </c>
      <c r="CM85" s="21">
        <f>EXP(-LN(2)/2)*CM84+(1-EXP(-LN(2)/2))/(LN(2)/2)*CG85*CJ85*VLOOKUP('Données projet'!$B$12,Paramètres!$A$1:$I$89,3,0)*0.475*44/12</f>
        <v>0.43029842657204947</v>
      </c>
      <c r="CN85" s="22">
        <f t="shared" si="66"/>
        <v>40.662338539015714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66.606856062790712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9.4837500000000006</v>
      </c>
      <c r="CT85" s="12">
        <f>IF('Données projet'!$A$140&gt;35,CT84+CS85-DB84,IF(A85&lt;'Données projet'!$A$140,$CQ$205^A85,IF(A85='Données projet'!$A$140,'Données projet'!$B$140,CT84+CS85-DB84)))</f>
        <v>296.62624999999991</v>
      </c>
      <c r="CU85" s="17">
        <f>CT85*VLOOKUP('Données projet'!$B$13,Paramètres!$A$1:$I$89,3,0)*VLOOKUP('Données projet'!$B$13,Paramètres!$A$1:$I$89,5,0)</f>
        <v>282.26953949999995</v>
      </c>
      <c r="CV85" s="13">
        <f t="shared" si="95"/>
        <v>67.446402243109091</v>
      </c>
      <c r="CW85" s="20">
        <f t="shared" si="67"/>
        <v>609.08859853591491</v>
      </c>
      <c r="CX85" s="59">
        <f t="shared" si="68"/>
        <v>889.98040409948089</v>
      </c>
      <c r="CY85" s="59">
        <f ca="1">AVERAGE(OFFSET($CX$3,0,0,'Données projet'!$E$13+1,1))-AVERAGE(OFFSET($H$3,0,0,'Données projet'!$E$13+1,1))</f>
        <v>470.42022791389275</v>
      </c>
      <c r="CZ85" s="59">
        <f t="shared" si="96"/>
        <v>300.26117330627346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13.629701041554918</v>
      </c>
      <c r="DG85" s="21">
        <f>EXP(-LN(2)/25)*DG84+(1-EXP(-LN(2)/25))/(LN(2)/25)*Calculateur!DB85*Calculateur!DD85*VLOOKUP('Données projet'!$B$13,Paramètres!$A$1:$I$89,3,0)*0.475*44/12</f>
        <v>15.929099523313456</v>
      </c>
      <c r="DH85" s="21">
        <f>EXP(-LN(2)/2)*DH84+(1-EXP(-LN(2)/2))/(LN(2)/2)*DB85*DE85*VLOOKUP('Données projet'!$B$13,Paramètres!$A$1:$I$89,3,0)*0.475*44/12</f>
        <v>0.91977670201791228</v>
      </c>
      <c r="DI85" s="22">
        <f t="shared" si="69"/>
        <v>30.478577266886287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66.606856062790712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6.7444444444444462</v>
      </c>
      <c r="DO85" s="12">
        <f>IF('Données projet'!$A$166&gt;35,DO84+DN85-DW84,IF(A85&lt;'Données projet'!$A$166,$DL$205^A85,IF(A85='Données projet'!$A$166,'Données projet'!$B$166,DO84+DN85-DW84)))</f>
        <v>202.29222222222222</v>
      </c>
      <c r="DP85" s="17">
        <f>DO85*VLOOKUP('Données projet'!$B$14,Paramètres!$A$1:$I$89,3,0)*VLOOKUP('Données projet'!$B$14,Paramètres!$A$1:$I$89,5,0)</f>
        <v>195.65703733333334</v>
      </c>
      <c r="DQ85" s="13">
        <f t="shared" si="97"/>
        <v>48.788499880593612</v>
      </c>
      <c r="DR85" s="20">
        <f t="shared" si="70"/>
        <v>425.74264398092276</v>
      </c>
      <c r="DS85" s="59">
        <f t="shared" si="71"/>
        <v>706.63444954448869</v>
      </c>
      <c r="DT85" s="59">
        <f ca="1">AVERAGE(OFFSET($DS$3,0,0,'Données projet'!$E$14+1,1))-AVERAGE(OFFSET($H$3,0,0,'Données projet'!$E$14+1,1))</f>
        <v>537.37164071064103</v>
      </c>
      <c r="DU85" s="59">
        <f t="shared" si="98"/>
        <v>263.29777321132235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0</v>
      </c>
      <c r="EB85" s="21">
        <f>EXP(-LN(2)/25)*EB84+(1-EXP(-LN(2)/25))/(LN(2)/25)*Calculateur!DW85*Calculateur!DY85*VLOOKUP('Données projet'!$B$14,Paramètres!$A$1:$I$89,3,0)*0.475*44/12</f>
        <v>11.287724851968608</v>
      </c>
      <c r="EC85" s="21">
        <f>EXP(-LN(2)/2)*EC84+(1-EXP(-LN(2)/2))/(LN(2)/2)*DW85*DZ85*VLOOKUP('Données projet'!$B$14,Paramètres!$A$1:$I$89,3,0)*0.475*44/12</f>
        <v>1.4837669909547708</v>
      </c>
      <c r="ED85" s="22">
        <f t="shared" si="72"/>
        <v>12.771491842923378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66.606856062790712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66.606856062790712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66.606856062790712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66.606856062790712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45">
      <c r="A86" s="10">
        <f t="shared" si="85"/>
        <v>83</v>
      </c>
      <c r="B86" s="73">
        <f>'Scénario référence'!$B$16*5+'Scénario référence'!$B$17*0+'Scénario référence'!$B$18*5</f>
        <v>2.8499999999999996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10.449999999999998</v>
      </c>
      <c r="H86" s="67">
        <f t="shared" si="56"/>
        <v>214.86666666666667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66.665719524167898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11.667500000000004</v>
      </c>
      <c r="N86" s="13">
        <f>IF('Données projet'!$A$36&gt;35,N85+M86-V85,IF(A86&lt;'Données projet'!$A$36,$K$205^A86,IF(A86='Données projet'!$A$36,'Données projet'!$B$36,N85+M86-V85)))</f>
        <v>389.69749999999993</v>
      </c>
      <c r="O86" s="13">
        <f>N86*VLOOKUP('Données projet'!$B$9,Paramètres!$A$1:$I$89,3,0)*VLOOKUP('Données projet'!$B$9,Paramètres!$A$1:$I$89,5,0)</f>
        <v>352.59829799999994</v>
      </c>
      <c r="P86" s="13">
        <f t="shared" si="87"/>
        <v>82.097297257859907</v>
      </c>
      <c r="Q86" s="20">
        <f t="shared" si="54"/>
        <v>757.09482840743919</v>
      </c>
      <c r="R86" s="59">
        <f t="shared" si="55"/>
        <v>1038.2024666627215</v>
      </c>
      <c r="S86" s="59">
        <f ca="1">AVERAGE(OFFSET($R$3,0,0,'Données projet'!$E$9+1,1))-AVERAGE(OFFSET($H$3,0,0,'Données projet'!$E$9+1,1))</f>
        <v>719.20816951277925</v>
      </c>
      <c r="T86" s="59">
        <f t="shared" si="88"/>
        <v>237.1127421841087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32.324848905827473</v>
      </c>
      <c r="AA86" s="21">
        <f>EXP(-LN(2)/25)*AA85+(1-EXP(-LN(2)/25))/(LN(2)/25)*Calculateur!V86*Calculateur!X86*VLOOKUP('Données projet'!$B$9,Paramètres!$A$1:$I$89,3,0)*0.475*44/12</f>
        <v>36.110898823668116</v>
      </c>
      <c r="AB86" s="21">
        <f>EXP(-LN(2)/2)*AB85+(1-EXP(-LN(2)/2))/(LN(2)/2)*V86*Y86*VLOOKUP('Données projet'!$B$9,Paramètres!$A$1:$I$89,3,0)*0.475*44/12</f>
        <v>3.8128761405036884</v>
      </c>
      <c r="AC86" s="22">
        <f t="shared" si="57"/>
        <v>72.248623869999278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66.665719524167898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11.905555555555553</v>
      </c>
      <c r="AI86" s="13">
        <f>IF('Données projet'!$A$62&gt;35,AI85+AH86-AQ85,IF(A86&lt;'Données projet'!$A$62,$AF$205^A86,IF(A86='Données projet'!$A$62,'Données projet'!$B$62,AI85+AH86-AQ85)))</f>
        <v>369.6911111111109</v>
      </c>
      <c r="AJ86" s="13">
        <f>AI86*VLOOKUP('Données projet'!$B$10,Paramètres!$A$1:$I$89,3,0)*VLOOKUP('Données projet'!$B$10,Paramètres!$A$1:$I$89,5,0)</f>
        <v>311.42779199999984</v>
      </c>
      <c r="AK86" s="13">
        <f t="shared" si="89"/>
        <v>73.566930176716866</v>
      </c>
      <c r="AL86" s="20">
        <f t="shared" si="58"/>
        <v>670.53247445778163</v>
      </c>
      <c r="AM86" s="59">
        <f t="shared" si="59"/>
        <v>951.6401127130639</v>
      </c>
      <c r="AN86" s="59">
        <f ca="1">AVERAGE(OFFSET($AM$3,0,0,'Données projet'!$E$10+1,1))-AVERAGE(OFFSET($H$3,0,0,'Données projet'!$E$10+1,1))</f>
        <v>442.79037205372367</v>
      </c>
      <c r="AO86" s="59">
        <f t="shared" si="90"/>
        <v>288.23553637727969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42.213606093046025</v>
      </c>
      <c r="AV86" s="21">
        <f>EXP(-LN(2)/25)*AV85+(1-EXP(-LN(2)/25))/(LN(2)/25)*Calculateur!AQ86*Calculateur!AS86*VLOOKUP('Données projet'!$B$10,Paramètres!$A$1:$I$89,3,0)*0.475*44/12</f>
        <v>27.601453841325018</v>
      </c>
      <c r="AW86" s="21">
        <f>EXP(-LN(2)/2)*AW85+(1-EXP(-LN(2)/2))/(LN(2)/2)*AQ86*AT86*VLOOKUP('Données projet'!$B$10,Paramètres!$A$1:$I$89,3,0)*0.475*44/12</f>
        <v>0.12571738661713944</v>
      </c>
      <c r="AX86" s="21">
        <f t="shared" si="60"/>
        <v>69.94077732098819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66.665719524167898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6.7444444444444462</v>
      </c>
      <c r="BD86" s="12">
        <f>IF('Données projet'!$A$88&gt;35,BD85+BC86-BL85,IF(A86&lt;'Données projet'!$A$88,$BA$205^A86,IF(A86='Données projet'!$A$88,'Données projet'!$B$88,BD85+BC86-BL85)))</f>
        <v>209.03666666666666</v>
      </c>
      <c r="BE86" s="13">
        <f>BD86*VLOOKUP('Données projet'!$B$11,Paramètres!$A$1:$I$89,3,0)*VLOOKUP('Données projet'!$B$11,Paramètres!$A$1:$I$89,5,0)</f>
        <v>211.96317999999999</v>
      </c>
      <c r="BF86" s="13">
        <f t="shared" si="91"/>
        <v>52.364357316031814</v>
      </c>
      <c r="BG86" s="20">
        <f t="shared" si="61"/>
        <v>460.37046082542201</v>
      </c>
      <c r="BH86" s="59">
        <f t="shared" si="62"/>
        <v>741.4780990807044</v>
      </c>
      <c r="BI86" s="59">
        <f ca="1">AVERAGE(OFFSET($BH$3,0,0,'Données projet'!$E$11+1,1))-AVERAGE(OFFSET($H$3,0,0,'Données projet'!$E$11+1,1))</f>
        <v>559.91818701710872</v>
      </c>
      <c r="BJ86" s="59">
        <f t="shared" si="92"/>
        <v>273.47272623465915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0</v>
      </c>
      <c r="BQ86" s="21">
        <f>EXP(-LN(2)/25)*BQ85+(1-EXP(-LN(2)/25))/(LN(2)/25)*Calculateur!BL86*Calculateur!BN86*VLOOKUP('Données projet'!$B$11,Paramètres!$A$1:$I$89,3,0)*0.475*44/12</f>
        <v>36.832980255444227</v>
      </c>
      <c r="BR86" s="21">
        <f>EXP(-LN(2)/2)*BR85+(1-EXP(-LN(2)/2))/(LN(2)/2)*BL86*BO86*VLOOKUP('Données projet'!$B$11,Paramètres!$A$1:$I$89,3,0)*0.475*44/12</f>
        <v>0.8799588460040908</v>
      </c>
      <c r="BS86" s="22">
        <f t="shared" si="63"/>
        <v>37.71293910144832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66.665719524167898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-1.1368683772161603E-13</v>
      </c>
      <c r="BZ86" s="13">
        <f>BY86*VLOOKUP('Données projet'!$B$12,Paramètres!$A$1:$I$89,3,0)*VLOOKUP('Données projet'!$B$12,Paramètres!$A$1:$I$89,5,0)</f>
        <v>-8.8675733422860506E-14</v>
      </c>
      <c r="CA86" s="13" t="e">
        <f t="shared" si="93"/>
        <v>#NUM!</v>
      </c>
      <c r="CB86" s="20" t="e">
        <f t="shared" si="64"/>
        <v>#NUM!</v>
      </c>
      <c r="CC86" s="59" t="e">
        <f t="shared" si="65"/>
        <v>#NUM!</v>
      </c>
      <c r="CD86" s="59">
        <f ca="1">AVERAGE(OFFSET($CC$3,0,0,'Données projet'!$E$12+1,1))-AVERAGE(OFFSET($H$3,0,0,'Données projet'!$E$12+1,1))</f>
        <v>208.92677786250815</v>
      </c>
      <c r="CE86" s="59">
        <f t="shared" si="94"/>
        <v>207.54290142772214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20.888993656409816</v>
      </c>
      <c r="CL86" s="21">
        <f>EXP(-LN(2)/25)*CL85+(1-EXP(-LN(2)/25))/(LN(2)/25)*Calculateur!CG86*Calculateur!CI86*VLOOKUP('Données projet'!$B$12,Paramètres!$A$1:$I$89,3,0)*0.475*44/12</f>
        <v>18.407721473088859</v>
      </c>
      <c r="CM86" s="21">
        <f>EXP(-LN(2)/2)*CM85+(1-EXP(-LN(2)/2))/(LN(2)/2)*CG86*CJ86*VLOOKUP('Données projet'!$B$12,Paramètres!$A$1:$I$89,3,0)*0.475*44/12</f>
        <v>0.30426693536299787</v>
      </c>
      <c r="CN86" s="22">
        <f t="shared" si="66"/>
        <v>39.600982064861675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66.665719524167898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>
        <f>VLOOKUP(A86,'Données projet'!$A$139:$I$159,2,0)</f>
        <v>306.11</v>
      </c>
      <c r="CR86" s="12">
        <f>VLOOKUP(A86,'Données projet'!$A$139:$I$159,9,0)</f>
        <v>9.4837500000000006</v>
      </c>
      <c r="CS86" s="12">
        <f t="array" ref="CS86">INDEX(CR:CR,MIN(IF(ISNUMBER(CR86:CR282),ROW(CR86:CR282),"")))</f>
        <v>9.4837500000000006</v>
      </c>
      <c r="CT86" s="12">
        <f>IF('Données projet'!$A$140&gt;35,CT85+CS86-DB85,IF(A86&lt;'Données projet'!$A$140,$CQ$205^A86,IF(A86='Données projet'!$A$140,'Données projet'!$B$140,CT85+CS86-DB85)))</f>
        <v>306.1099999999999</v>
      </c>
      <c r="CU86" s="17">
        <f>CT86*VLOOKUP('Données projet'!$B$13,Paramètres!$A$1:$I$89,3,0)*VLOOKUP('Données projet'!$B$13,Paramètres!$A$1:$I$89,5,0)</f>
        <v>291.29427599999991</v>
      </c>
      <c r="CV86" s="13">
        <f t="shared" si="95"/>
        <v>69.348293174982246</v>
      </c>
      <c r="CW86" s="20">
        <f t="shared" si="67"/>
        <v>628.11914131309391</v>
      </c>
      <c r="CX86" s="59">
        <f t="shared" si="68"/>
        <v>909.22677956837629</v>
      </c>
      <c r="CY86" s="59">
        <f ca="1">AVERAGE(OFFSET($CX$3,0,0,'Données projet'!$E$13+1,1))-AVERAGE(OFFSET($H$3,0,0,'Données projet'!$E$13+1,1))</f>
        <v>470.42022791389275</v>
      </c>
      <c r="CZ86" s="59">
        <f t="shared" si="96"/>
        <v>300.26117330627346</v>
      </c>
      <c r="DA86" s="15">
        <f>IF(ISNA(VLOOKUP(A86,'Données projet'!$A$139:$I$159,3,0)),0,VLOOKUP(A86,'Données projet'!$A$139:$I$159,3,0))</f>
        <v>7</v>
      </c>
      <c r="DB86" s="15">
        <f>IF(ISNA(VLOOKUP(A86,'Données projet'!$A$139:$I$159,4,0)),0,VLOOKUP(A86,'Données projet'!$A$139:$I$159,4,0))</f>
        <v>49.980000000000018</v>
      </c>
      <c r="DC86" s="16">
        <f>IF(ISNA(VLOOKUP(A86,'Données projet'!$A$139:$I$159,5,0)),0%,VLOOKUP(A86,'Données projet'!$A$139:$I$159,5,0)*VLOOKUP('Données projet'!$B$13,Paramètres!$A$1:$I$89,7,0))</f>
        <v>0.1075</v>
      </c>
      <c r="DD86" s="16">
        <f>IF(ISNA(VLOOKUP(A86,'Données projet'!$A$139:$I$159,6,0)),0%,VLOOKUP(A86,'Données projet'!$A$139:$I$159,6,0)*VLOOKUP('Données projet'!$B$13,Paramètres!$A$1:$I$89,7,0))</f>
        <v>0.1075</v>
      </c>
      <c r="DE86" s="16">
        <f>IF(ISNA(VLOOKUP(A86,'Données projet'!$A$139:$I$159,7,0)),0%,VLOOKUP(A86,'Données projet'!$A$139:$I$159,7,0))</f>
        <v>0.25</v>
      </c>
      <c r="DF86" s="21">
        <f>EXP(-LN(2)/35)*DF85+(1-EXP(-LN(2)/35))/(LN(2)/35)*DB86*DC86*VLOOKUP('Données projet'!$B$13,Paramètres!$A$1:$I$89,3,0)*0.475*44/12</f>
        <v>19.014484362112601</v>
      </c>
      <c r="DG86" s="21">
        <f>EXP(-LN(2)/25)*DG85+(1-EXP(-LN(2)/25))/(LN(2)/25)*Calculateur!DB86*Calculateur!DD86*VLOOKUP('Données projet'!$B$13,Paramètres!$A$1:$I$89,3,0)*0.475*44/12</f>
        <v>21.123316615846392</v>
      </c>
      <c r="DH86" s="21">
        <f>EXP(-LN(2)/2)*DH85+(1-EXP(-LN(2)/2))/(LN(2)/2)*DB86*DE86*VLOOKUP('Données projet'!$B$13,Paramètres!$A$1:$I$89,3,0)*0.475*44/12</f>
        <v>11.86914369134567</v>
      </c>
      <c r="DI86" s="22">
        <f t="shared" si="69"/>
        <v>52.006944669304659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66.665719524167898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6.7444444444444462</v>
      </c>
      <c r="DO86" s="12">
        <f>IF('Données projet'!$A$166&gt;35,DO85+DN86-DW85,IF(A86&lt;'Données projet'!$A$166,$DL$205^A86,IF(A86='Données projet'!$A$166,'Données projet'!$B$166,DO85+DN86-DW85)))</f>
        <v>209.03666666666666</v>
      </c>
      <c r="DP86" s="17">
        <f>DO86*VLOOKUP('Données projet'!$B$14,Paramètres!$A$1:$I$89,3,0)*VLOOKUP('Données projet'!$B$14,Paramètres!$A$1:$I$89,5,0)</f>
        <v>202.18026399999999</v>
      </c>
      <c r="DQ86" s="13">
        <f t="shared" si="97"/>
        <v>50.223020984939033</v>
      </c>
      <c r="DR86" s="20">
        <f t="shared" si="70"/>
        <v>439.60238801543551</v>
      </c>
      <c r="DS86" s="59">
        <f t="shared" si="71"/>
        <v>720.71002627071789</v>
      </c>
      <c r="DT86" s="59">
        <f ca="1">AVERAGE(OFFSET($DS$3,0,0,'Données projet'!$E$14+1,1))-AVERAGE(OFFSET($H$3,0,0,'Données projet'!$E$14+1,1))</f>
        <v>537.37164071064103</v>
      </c>
      <c r="DU86" s="59">
        <f t="shared" si="98"/>
        <v>263.29777321132235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0</v>
      </c>
      <c r="EB86" s="21">
        <f>EXP(-LN(2)/25)*EB85+(1-EXP(-LN(2)/25))/(LN(2)/25)*Calculateur!DW86*Calculateur!DY86*VLOOKUP('Données projet'!$B$14,Paramètres!$A$1:$I$89,3,0)*0.475*44/12</f>
        <v>10.979061422295874</v>
      </c>
      <c r="EC86" s="21">
        <f>EXP(-LN(2)/2)*EC85+(1-EXP(-LN(2)/2))/(LN(2)/2)*DW86*DZ86*VLOOKUP('Données projet'!$B$14,Paramètres!$A$1:$I$89,3,0)*0.475*44/12</f>
        <v>1.0491817010048772</v>
      </c>
      <c r="ED86" s="22">
        <f t="shared" si="72"/>
        <v>12.028243123300751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66.665719524167898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66.665719524167898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66.665719524167898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66.665719524167898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45">
      <c r="A87" s="10">
        <f t="shared" si="85"/>
        <v>84</v>
      </c>
      <c r="B87" s="73">
        <f>'Scénario référence'!$B$16*5+'Scénario référence'!$B$17*0+'Scénario référence'!$B$18*5</f>
        <v>2.8499999999999996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10.449999999999998</v>
      </c>
      <c r="H87" s="67">
        <f t="shared" si="56"/>
        <v>214.86666666666667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66.723561836089175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11.667500000000004</v>
      </c>
      <c r="N87" s="13">
        <f>IF('Données projet'!$A$36&gt;35,N86+M87-V86,IF(A87&lt;'Données projet'!$A$36,$K$205^A87,IF(A87='Données projet'!$A$36,'Données projet'!$B$36,N86+M87-V86)))</f>
        <v>401.36499999999995</v>
      </c>
      <c r="O87" s="13">
        <f>N87*VLOOKUP('Données projet'!$B$9,Paramètres!$A$1:$I$89,3,0)*VLOOKUP('Données projet'!$B$9,Paramètres!$A$1:$I$89,5,0)</f>
        <v>363.15505199999996</v>
      </c>
      <c r="P87" s="13">
        <f t="shared" si="87"/>
        <v>84.265428925746718</v>
      </c>
      <c r="Q87" s="20">
        <f t="shared" si="54"/>
        <v>779.25733761234221</v>
      </c>
      <c r="R87" s="59">
        <f t="shared" si="55"/>
        <v>1060.5770643446692</v>
      </c>
      <c r="S87" s="59">
        <f ca="1">AVERAGE(OFFSET($R$3,0,0,'Données projet'!$E$9+1,1))-AVERAGE(OFFSET($H$3,0,0,'Données projet'!$E$9+1,1))</f>
        <v>719.20816951277925</v>
      </c>
      <c r="T87" s="59">
        <f t="shared" si="88"/>
        <v>237.1127421841087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31.690978334995215</v>
      </c>
      <c r="AA87" s="21">
        <f>EXP(-LN(2)/25)*AA86+(1-EXP(-LN(2)/25))/(LN(2)/25)*Calculateur!V87*Calculateur!X87*VLOOKUP('Données projet'!$B$9,Paramètres!$A$1:$I$89,3,0)*0.475*44/12</f>
        <v>35.123444396345278</v>
      </c>
      <c r="AB87" s="21">
        <f>EXP(-LN(2)/2)*AB86+(1-EXP(-LN(2)/2))/(LN(2)/2)*V87*Y87*VLOOKUP('Données projet'!$B$9,Paramètres!$A$1:$I$89,3,0)*0.475*44/12</f>
        <v>2.6961105747745497</v>
      </c>
      <c r="AC87" s="22">
        <f t="shared" si="57"/>
        <v>69.51053330611505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66.723561836089175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11.905555555555553</v>
      </c>
      <c r="AI87" s="13">
        <f>IF('Données projet'!$A$62&gt;35,AI86+AH87-AQ86,IF(A87&lt;'Données projet'!$A$62,$AF$205^A87,IF(A87='Données projet'!$A$62,'Données projet'!$B$62,AI86+AH87-AQ86)))</f>
        <v>381.59666666666647</v>
      </c>
      <c r="AJ87" s="13">
        <f>AI87*VLOOKUP('Données projet'!$B$10,Paramètres!$A$1:$I$89,3,0)*VLOOKUP('Données projet'!$B$10,Paramètres!$A$1:$I$89,5,0)</f>
        <v>321.45703199999986</v>
      </c>
      <c r="AK87" s="13">
        <f t="shared" si="89"/>
        <v>75.656437304576173</v>
      </c>
      <c r="AL87" s="20">
        <f t="shared" si="58"/>
        <v>691.63929237213654</v>
      </c>
      <c r="AM87" s="59">
        <f t="shared" si="59"/>
        <v>972.95901910446355</v>
      </c>
      <c r="AN87" s="59">
        <f ca="1">AVERAGE(OFFSET($AM$3,0,0,'Données projet'!$E$10+1,1))-AVERAGE(OFFSET($H$3,0,0,'Données projet'!$E$10+1,1))</f>
        <v>442.79037205372367</v>
      </c>
      <c r="AO87" s="59">
        <f t="shared" si="90"/>
        <v>288.23553637727969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41.385823025318729</v>
      </c>
      <c r="AV87" s="21">
        <f>EXP(-LN(2)/25)*AV86+(1-EXP(-LN(2)/25))/(LN(2)/25)*Calculateur!AQ87*Calculateur!AS87*VLOOKUP('Données projet'!$B$10,Paramètres!$A$1:$I$89,3,0)*0.475*44/12</f>
        <v>26.846690634536611</v>
      </c>
      <c r="AW87" s="21">
        <f>EXP(-LN(2)/2)*AW86+(1-EXP(-LN(2)/2))/(LN(2)/2)*AQ87*AT87*VLOOKUP('Données projet'!$B$10,Paramètres!$A$1:$I$89,3,0)*0.475*44/12</f>
        <v>8.8895616590030216E-2</v>
      </c>
      <c r="AX87" s="21">
        <f t="shared" si="60"/>
        <v>68.32140927644538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66.723561836089175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6.7444444444444462</v>
      </c>
      <c r="BD87" s="12">
        <f>IF('Données projet'!$A$88&gt;35,BD86+BC87-BL86,IF(A87&lt;'Données projet'!$A$88,$BA$205^A87,IF(A87='Données projet'!$A$88,'Données projet'!$B$88,BD86+BC87-BL86)))</f>
        <v>215.7811111111111</v>
      </c>
      <c r="BE87" s="13">
        <f>BD87*VLOOKUP('Données projet'!$B$11,Paramètres!$A$1:$I$89,3,0)*VLOOKUP('Données projet'!$B$11,Paramètres!$A$1:$I$89,5,0)</f>
        <v>218.80204666666666</v>
      </c>
      <c r="BF87" s="13">
        <f t="shared" si="91"/>
        <v>53.854433800339066</v>
      </c>
      <c r="BG87" s="20">
        <f t="shared" si="61"/>
        <v>474.87670348003502</v>
      </c>
      <c r="BH87" s="59">
        <f t="shared" si="62"/>
        <v>756.19643021236197</v>
      </c>
      <c r="BI87" s="59">
        <f ca="1">AVERAGE(OFFSET($BH$3,0,0,'Données projet'!$E$11+1,1))-AVERAGE(OFFSET($H$3,0,0,'Données projet'!$E$11+1,1))</f>
        <v>559.91818701710872</v>
      </c>
      <c r="BJ87" s="59">
        <f t="shared" si="92"/>
        <v>273.47272623465915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0</v>
      </c>
      <c r="BQ87" s="21">
        <f>EXP(-LN(2)/25)*BQ86+(1-EXP(-LN(2)/25))/(LN(2)/25)*Calculateur!BL87*Calculateur!BN87*VLOOKUP('Données projet'!$B$11,Paramètres!$A$1:$I$89,3,0)*0.475*44/12</f>
        <v>35.825780473396854</v>
      </c>
      <c r="BR87" s="21">
        <f>EXP(-LN(2)/2)*BR86+(1-EXP(-LN(2)/2))/(LN(2)/2)*BL87*BO87*VLOOKUP('Données projet'!$B$11,Paramètres!$A$1:$I$89,3,0)*0.475*44/12</f>
        <v>0.62222486717458159</v>
      </c>
      <c r="BS87" s="22">
        <f t="shared" si="63"/>
        <v>36.448005340571434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66.723561836089175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-1.1368683772161603E-13</v>
      </c>
      <c r="BZ87" s="13">
        <f>BY87*VLOOKUP('Données projet'!$B$12,Paramètres!$A$1:$I$89,3,0)*VLOOKUP('Données projet'!$B$12,Paramètres!$A$1:$I$89,5,0)</f>
        <v>-8.8675733422860506E-14</v>
      </c>
      <c r="CA87" s="13" t="e">
        <f t="shared" si="93"/>
        <v>#NUM!</v>
      </c>
      <c r="CB87" s="20" t="e">
        <f t="shared" si="64"/>
        <v>#NUM!</v>
      </c>
      <c r="CC87" s="59" t="e">
        <f t="shared" si="65"/>
        <v>#NUM!</v>
      </c>
      <c r="CD87" s="59">
        <f ca="1">AVERAGE(OFFSET($CC$3,0,0,'Données projet'!$E$12+1,1))-AVERAGE(OFFSET($H$3,0,0,'Données projet'!$E$12+1,1))</f>
        <v>208.92677786250815</v>
      </c>
      <c r="CE87" s="59">
        <f t="shared" si="94"/>
        <v>207.54290142772214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20.479373231835677</v>
      </c>
      <c r="CL87" s="21">
        <f>EXP(-LN(2)/25)*CL86+(1-EXP(-LN(2)/25))/(LN(2)/25)*Calculateur!CG87*Calculateur!CI87*VLOOKUP('Données projet'!$B$12,Paramètres!$A$1:$I$89,3,0)*0.475*44/12</f>
        <v>17.904361361387245</v>
      </c>
      <c r="CM87" s="21">
        <f>EXP(-LN(2)/2)*CM86+(1-EXP(-LN(2)/2))/(LN(2)/2)*CG87*CJ87*VLOOKUP('Données projet'!$B$12,Paramètres!$A$1:$I$89,3,0)*0.475*44/12</f>
        <v>0.21514921328602474</v>
      </c>
      <c r="CN87" s="22">
        <f t="shared" si="66"/>
        <v>38.598883806508951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66.723561836089175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9.2740000000000009</v>
      </c>
      <c r="CT87" s="12">
        <f>IF('Données projet'!$A$140&gt;35,CT86+CS87-DB86,IF(A87&lt;'Données projet'!$A$140,$CQ$205^A87,IF(A87='Données projet'!$A$140,'Données projet'!$B$140,CT86+CS87-DB86)))</f>
        <v>265.40399999999988</v>
      </c>
      <c r="CU87" s="17">
        <f>CT87*VLOOKUP('Données projet'!$B$13,Paramètres!$A$1:$I$89,3,0)*VLOOKUP('Données projet'!$B$13,Paramètres!$A$1:$I$89,5,0)</f>
        <v>252.55844639999989</v>
      </c>
      <c r="CV87" s="13">
        <f t="shared" si="95"/>
        <v>61.133468574024647</v>
      </c>
      <c r="CW87" s="20">
        <f t="shared" si="67"/>
        <v>546.34675191309282</v>
      </c>
      <c r="CX87" s="59">
        <f t="shared" si="68"/>
        <v>827.66647864541983</v>
      </c>
      <c r="CY87" s="59">
        <f ca="1">AVERAGE(OFFSET($CX$3,0,0,'Données projet'!$E$13+1,1))-AVERAGE(OFFSET($H$3,0,0,'Données projet'!$E$13+1,1))</f>
        <v>470.42022791389275</v>
      </c>
      <c r="CZ87" s="59">
        <f t="shared" si="96"/>
        <v>300.26117330627346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18.641621921461855</v>
      </c>
      <c r="DG87" s="21">
        <f>EXP(-LN(2)/25)*DG86+(1-EXP(-LN(2)/25))/(LN(2)/25)*Calculateur!DB87*Calculateur!DD87*VLOOKUP('Données projet'!$B$13,Paramètres!$A$1:$I$89,3,0)*0.475*44/12</f>
        <v>20.54569841215913</v>
      </c>
      <c r="DH87" s="21">
        <f>EXP(-LN(2)/2)*DH86+(1-EXP(-LN(2)/2))/(LN(2)/2)*DB87*DE87*VLOOKUP('Données projet'!$B$13,Paramètres!$A$1:$I$89,3,0)*0.475*44/12</f>
        <v>8.3927519910280548</v>
      </c>
      <c r="DI87" s="22">
        <f t="shared" si="69"/>
        <v>47.580072324649045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66.723561836089175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6.7444444444444462</v>
      </c>
      <c r="DO87" s="12">
        <f>IF('Données projet'!$A$166&gt;35,DO86+DN87-DW86,IF(A87&lt;'Données projet'!$A$166,$DL$205^A87,IF(A87='Données projet'!$A$166,'Données projet'!$B$166,DO86+DN87-DW86)))</f>
        <v>215.7811111111111</v>
      </c>
      <c r="DP87" s="17">
        <f>DO87*VLOOKUP('Données projet'!$B$14,Paramètres!$A$1:$I$89,3,0)*VLOOKUP('Données projet'!$B$14,Paramètres!$A$1:$I$89,5,0)</f>
        <v>208.70349066666665</v>
      </c>
      <c r="DQ87" s="13">
        <f t="shared" si="97"/>
        <v>51.652163752582879</v>
      </c>
      <c r="DR87" s="20">
        <f t="shared" si="70"/>
        <v>453.45276478019287</v>
      </c>
      <c r="DS87" s="59">
        <f t="shared" si="71"/>
        <v>734.77249151251976</v>
      </c>
      <c r="DT87" s="59">
        <f ca="1">AVERAGE(OFFSET($DS$3,0,0,'Données projet'!$E$14+1,1))-AVERAGE(OFFSET($H$3,0,0,'Données projet'!$E$14+1,1))</f>
        <v>537.37164071064103</v>
      </c>
      <c r="DU87" s="59">
        <f t="shared" si="98"/>
        <v>263.29777321132235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0</v>
      </c>
      <c r="EB87" s="21">
        <f>EXP(-LN(2)/25)*EB86+(1-EXP(-LN(2)/25))/(LN(2)/25)*Calculateur!DW87*Calculateur!DY87*VLOOKUP('Données projet'!$B$14,Paramètres!$A$1:$I$89,3,0)*0.475*44/12</f>
        <v>10.678838410339447</v>
      </c>
      <c r="EC87" s="21">
        <f>EXP(-LN(2)/2)*EC86+(1-EXP(-LN(2)/2))/(LN(2)/2)*DW87*DZ87*VLOOKUP('Données projet'!$B$14,Paramètres!$A$1:$I$89,3,0)*0.475*44/12</f>
        <v>0.74188349547738541</v>
      </c>
      <c r="ED87" s="22">
        <f t="shared" si="72"/>
        <v>11.420721905816832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66.723561836089175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66.723561836089175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66.723561836089175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66.723561836089175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45">
      <c r="A88" s="10">
        <f t="shared" si="85"/>
        <v>85</v>
      </c>
      <c r="B88" s="73">
        <f>'Scénario référence'!$B$16*5+'Scénario référence'!$B$17*0+'Scénario référence'!$B$18*5</f>
        <v>2.8499999999999996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10.449999999999998</v>
      </c>
      <c r="H88" s="67">
        <f t="shared" si="56"/>
        <v>214.86666666666667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66.780400713214661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11.667500000000004</v>
      </c>
      <c r="N88" s="13">
        <f>IF('Données projet'!$A$36&gt;35,N87+M88-V87,IF(A88&lt;'Données projet'!$A$36,$K$205^A88,IF(A88='Données projet'!$A$36,'Données projet'!$B$36,N87+M88-V87)))</f>
        <v>413.03249999999997</v>
      </c>
      <c r="O88" s="13">
        <f>N88*VLOOKUP('Données projet'!$B$9,Paramètres!$A$1:$I$89,3,0)*VLOOKUP('Données projet'!$B$9,Paramètres!$A$1:$I$89,5,0)</f>
        <v>373.71180599999997</v>
      </c>
      <c r="P88" s="13">
        <f t="shared" si="87"/>
        <v>86.426235603807172</v>
      </c>
      <c r="Q88" s="20">
        <f t="shared" si="54"/>
        <v>801.40708912663069</v>
      </c>
      <c r="R88" s="59">
        <f t="shared" si="55"/>
        <v>1082.9352250750844</v>
      </c>
      <c r="S88" s="59">
        <f ca="1">AVERAGE(OFFSET($R$3,0,0,'Données projet'!$E$9+1,1))-AVERAGE(OFFSET($H$3,0,0,'Données projet'!$E$9+1,1))</f>
        <v>719.20816951277925</v>
      </c>
      <c r="T88" s="59">
        <f t="shared" si="88"/>
        <v>237.1127421841087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31.069537579434105</v>
      </c>
      <c r="AA88" s="21">
        <f>EXP(-LN(2)/25)*AA87+(1-EXP(-LN(2)/25))/(LN(2)/25)*Calculateur!V88*Calculateur!X88*VLOOKUP('Données projet'!$B$9,Paramètres!$A$1:$I$89,3,0)*0.475*44/12</f>
        <v>34.162991962265551</v>
      </c>
      <c r="AB88" s="21">
        <f>EXP(-LN(2)/2)*AB87+(1-EXP(-LN(2)/2))/(LN(2)/2)*V88*Y88*VLOOKUP('Données projet'!$B$9,Paramètres!$A$1:$I$89,3,0)*0.475*44/12</f>
        <v>1.9064380702518446</v>
      </c>
      <c r="AC88" s="22">
        <f t="shared" si="57"/>
        <v>67.138967611951486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66.780400713214661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11.905555555555553</v>
      </c>
      <c r="AI88" s="13">
        <f>IF('Données projet'!$A$62&gt;35,AI87+AH88-AQ87,IF(A88&lt;'Données projet'!$A$62,$AF$205^A88,IF(A88='Données projet'!$A$62,'Données projet'!$B$62,AI87+AH88-AQ87)))</f>
        <v>393.50222222222203</v>
      </c>
      <c r="AJ88" s="13">
        <f>AI88*VLOOKUP('Données projet'!$B$10,Paramètres!$A$1:$I$89,3,0)*VLOOKUP('Données projet'!$B$10,Paramètres!$A$1:$I$89,5,0)</f>
        <v>331.48627199999987</v>
      </c>
      <c r="AK88" s="13">
        <f t="shared" si="89"/>
        <v>77.738368640761308</v>
      </c>
      <c r="AL88" s="20">
        <f t="shared" si="58"/>
        <v>712.73291578265901</v>
      </c>
      <c r="AM88" s="59">
        <f t="shared" si="59"/>
        <v>994.26105173111273</v>
      </c>
      <c r="AN88" s="59">
        <f ca="1">AVERAGE(OFFSET($AM$3,0,0,'Données projet'!$E$10+1,1))-AVERAGE(OFFSET($H$3,0,0,'Données projet'!$E$10+1,1))</f>
        <v>442.79037205372367</v>
      </c>
      <c r="AO88" s="59">
        <f t="shared" si="90"/>
        <v>288.23553637727969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40.574272278651748</v>
      </c>
      <c r="AV88" s="21">
        <f>EXP(-LN(2)/25)*AV87+(1-EXP(-LN(2)/25))/(LN(2)/25)*Calculateur!AQ88*Calculateur!AS88*VLOOKUP('Données projet'!$B$10,Paramètres!$A$1:$I$89,3,0)*0.475*44/12</f>
        <v>26.112566467329106</v>
      </c>
      <c r="AW88" s="21">
        <f>EXP(-LN(2)/2)*AW87+(1-EXP(-LN(2)/2))/(LN(2)/2)*AQ88*AT88*VLOOKUP('Données projet'!$B$10,Paramètres!$A$1:$I$89,3,0)*0.475*44/12</f>
        <v>6.2858693308569719E-2</v>
      </c>
      <c r="AX88" s="21">
        <f t="shared" si="60"/>
        <v>66.74969743928942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66.780400713214661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6.7444444444444462</v>
      </c>
      <c r="BD88" s="12">
        <f>IF('Données projet'!$A$88&gt;35,BD87+BC88-BL87,IF(A88&lt;'Données projet'!$A$88,$BA$205^A88,IF(A88='Données projet'!$A$88,'Données projet'!$B$88,BD87+BC88-BL87)))</f>
        <v>222.52555555555554</v>
      </c>
      <c r="BE88" s="13">
        <f>BD88*VLOOKUP('Données projet'!$B$11,Paramètres!$A$1:$I$89,3,0)*VLOOKUP('Données projet'!$B$11,Paramètres!$A$1:$I$89,5,0)</f>
        <v>225.64091333333332</v>
      </c>
      <c r="BF88" s="13">
        <f t="shared" si="91"/>
        <v>55.339098017434395</v>
      </c>
      <c r="BG88" s="20">
        <f t="shared" si="61"/>
        <v>489.37351976925379</v>
      </c>
      <c r="BH88" s="59">
        <f t="shared" si="62"/>
        <v>770.90165571770763</v>
      </c>
      <c r="BI88" s="59">
        <f ca="1">AVERAGE(OFFSET($BH$3,0,0,'Données projet'!$E$11+1,1))-AVERAGE(OFFSET($H$3,0,0,'Données projet'!$E$11+1,1))</f>
        <v>559.91818701710872</v>
      </c>
      <c r="BJ88" s="59">
        <f t="shared" si="92"/>
        <v>273.47272623465915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0</v>
      </c>
      <c r="BQ88" s="21">
        <f>EXP(-LN(2)/25)*BQ87+(1-EXP(-LN(2)/25))/(LN(2)/25)*Calculateur!BL88*Calculateur!BN88*VLOOKUP('Données projet'!$B$11,Paramètres!$A$1:$I$89,3,0)*0.475*44/12</f>
        <v>34.8461226223559</v>
      </c>
      <c r="BR88" s="21">
        <f>EXP(-LN(2)/2)*BR87+(1-EXP(-LN(2)/2))/(LN(2)/2)*BL88*BO88*VLOOKUP('Données projet'!$B$11,Paramètres!$A$1:$I$89,3,0)*0.475*44/12</f>
        <v>0.43997942300204551</v>
      </c>
      <c r="BS88" s="22">
        <f t="shared" si="63"/>
        <v>35.286102045357943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66.780400713214661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-1.1368683772161603E-13</v>
      </c>
      <c r="BZ88" s="13">
        <f>BY88*VLOOKUP('Données projet'!$B$12,Paramètres!$A$1:$I$89,3,0)*VLOOKUP('Données projet'!$B$12,Paramètres!$A$1:$I$89,5,0)</f>
        <v>-8.8675733422860506E-14</v>
      </c>
      <c r="CA88" s="13" t="e">
        <f t="shared" si="93"/>
        <v>#NUM!</v>
      </c>
      <c r="CB88" s="20" t="e">
        <f t="shared" si="64"/>
        <v>#NUM!</v>
      </c>
      <c r="CC88" s="59" t="e">
        <f t="shared" si="65"/>
        <v>#NUM!</v>
      </c>
      <c r="CD88" s="59">
        <f ca="1">AVERAGE(OFFSET($CC$3,0,0,'Données projet'!$E$12+1,1))-AVERAGE(OFFSET($H$3,0,0,'Données projet'!$E$12+1,1))</f>
        <v>208.92677786250815</v>
      </c>
      <c r="CE88" s="59">
        <f t="shared" si="94"/>
        <v>207.54290142772214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20.077785213943649</v>
      </c>
      <c r="CL88" s="21">
        <f>EXP(-LN(2)/25)*CL87+(1-EXP(-LN(2)/25))/(LN(2)/25)*Calculateur!CG88*Calculateur!CI88*VLOOKUP('Données projet'!$B$12,Paramètres!$A$1:$I$89,3,0)*0.475*44/12</f>
        <v>17.414765658410669</v>
      </c>
      <c r="CM88" s="21">
        <f>EXP(-LN(2)/2)*CM87+(1-EXP(-LN(2)/2))/(LN(2)/2)*CG88*CJ88*VLOOKUP('Données projet'!$B$12,Paramètres!$A$1:$I$89,3,0)*0.475*44/12</f>
        <v>0.15213346768149894</v>
      </c>
      <c r="CN88" s="22">
        <f t="shared" si="66"/>
        <v>37.644684340035816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66.780400713214661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9.2740000000000009</v>
      </c>
      <c r="CT88" s="12">
        <f>IF('Données projet'!$A$140&gt;35,CT87+CS88-DB87,IF(A88&lt;'Données projet'!$A$140,$CQ$205^A88,IF(A88='Données projet'!$A$140,'Données projet'!$B$140,CT87+CS88-DB87)))</f>
        <v>274.67799999999988</v>
      </c>
      <c r="CU88" s="17">
        <f>CT88*VLOOKUP('Données projet'!$B$13,Paramètres!$A$1:$I$89,3,0)*VLOOKUP('Données projet'!$B$13,Paramètres!$A$1:$I$89,5,0)</f>
        <v>261.38358479999988</v>
      </c>
      <c r="CV88" s="13">
        <f t="shared" si="95"/>
        <v>63.017211162903877</v>
      </c>
      <c r="CW88" s="20">
        <f t="shared" si="67"/>
        <v>564.9980529687241</v>
      </c>
      <c r="CX88" s="59">
        <f t="shared" si="68"/>
        <v>846.52618891717793</v>
      </c>
      <c r="CY88" s="59">
        <f ca="1">AVERAGE(OFFSET($CX$3,0,0,'Données projet'!$E$13+1,1))-AVERAGE(OFFSET($H$3,0,0,'Données projet'!$E$13+1,1))</f>
        <v>470.42022791389275</v>
      </c>
      <c r="CZ88" s="59">
        <f t="shared" si="96"/>
        <v>300.26117330627346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18.276071085848638</v>
      </c>
      <c r="DG88" s="21">
        <f>EXP(-LN(2)/25)*DG87+(1-EXP(-LN(2)/25))/(LN(2)/25)*Calculateur!DB88*Calculateur!DD88*VLOOKUP('Données projet'!$B$13,Paramètres!$A$1:$I$89,3,0)*0.475*44/12</f>
        <v>19.983875208627317</v>
      </c>
      <c r="DH88" s="21">
        <f>EXP(-LN(2)/2)*DH87+(1-EXP(-LN(2)/2))/(LN(2)/2)*DB88*DE88*VLOOKUP('Données projet'!$B$13,Paramètres!$A$1:$I$89,3,0)*0.475*44/12</f>
        <v>5.9345718456728358</v>
      </c>
      <c r="DI88" s="22">
        <f t="shared" si="69"/>
        <v>44.194518140148787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66.780400713214661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6.7444444444444462</v>
      </c>
      <c r="DO88" s="12">
        <f>IF('Données projet'!$A$166&gt;35,DO87+DN88-DW87,IF(A88&lt;'Données projet'!$A$166,$DL$205^A88,IF(A88='Données projet'!$A$166,'Données projet'!$B$166,DO87+DN88-DW87)))</f>
        <v>222.52555555555554</v>
      </c>
      <c r="DP88" s="17">
        <f>DO88*VLOOKUP('Données projet'!$B$14,Paramètres!$A$1:$I$89,3,0)*VLOOKUP('Données projet'!$B$14,Paramètres!$A$1:$I$89,5,0)</f>
        <v>215.22671733333331</v>
      </c>
      <c r="DQ88" s="13">
        <f t="shared" si="97"/>
        <v>53.076115576927016</v>
      </c>
      <c r="DR88" s="20">
        <f t="shared" si="70"/>
        <v>467.29410065203678</v>
      </c>
      <c r="DS88" s="59">
        <f t="shared" si="71"/>
        <v>748.82223660049056</v>
      </c>
      <c r="DT88" s="59">
        <f ca="1">AVERAGE(OFFSET($DS$3,0,0,'Données projet'!$E$14+1,1))-AVERAGE(OFFSET($H$3,0,0,'Données projet'!$E$14+1,1))</f>
        <v>537.37164071064103</v>
      </c>
      <c r="DU88" s="59">
        <f t="shared" si="98"/>
        <v>263.29777321132235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0</v>
      </c>
      <c r="EB88" s="21">
        <f>EXP(-LN(2)/25)*EB87+(1-EXP(-LN(2)/25))/(LN(2)/25)*Calculateur!DW88*Calculateur!DY88*VLOOKUP('Données projet'!$B$14,Paramètres!$A$1:$I$89,3,0)*0.475*44/12</f>
        <v>10.386825012433009</v>
      </c>
      <c r="EC88" s="21">
        <f>EXP(-LN(2)/2)*EC87+(1-EXP(-LN(2)/2))/(LN(2)/2)*DW88*DZ88*VLOOKUP('Données projet'!$B$14,Paramètres!$A$1:$I$89,3,0)*0.475*44/12</f>
        <v>0.52459085050243859</v>
      </c>
      <c r="ED88" s="22">
        <f t="shared" si="72"/>
        <v>10.911415862935447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66.780400713214661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66.780400713214661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66.780400713214661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66.780400713214661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45">
      <c r="A89" s="10">
        <f t="shared" si="85"/>
        <v>86</v>
      </c>
      <c r="B89" s="73">
        <f>'Scénario référence'!$B$16*5+'Scénario référence'!$B$17*0+'Scénario référence'!$B$18*5</f>
        <v>2.8499999999999996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10.449999999999998</v>
      </c>
      <c r="H89" s="67">
        <f t="shared" si="56"/>
        <v>214.86666666666667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66.836253562894726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11.667500000000004</v>
      </c>
      <c r="N89" s="13">
        <f>IF('Données projet'!$A$36&gt;35,N88+M89-V88,IF(A89&lt;'Données projet'!$A$36,$K$205^A89,IF(A89='Données projet'!$A$36,'Données projet'!$B$36,N88+M89-V88)))</f>
        <v>424.7</v>
      </c>
      <c r="O89" s="13">
        <f>N89*VLOOKUP('Données projet'!$B$9,Paramètres!$A$1:$I$89,3,0)*VLOOKUP('Données projet'!$B$9,Paramètres!$A$1:$I$89,5,0)</f>
        <v>384.26855999999998</v>
      </c>
      <c r="P89" s="13">
        <f t="shared" si="87"/>
        <v>88.579947979334634</v>
      </c>
      <c r="Q89" s="20">
        <f t="shared" si="54"/>
        <v>823.54448473067441</v>
      </c>
      <c r="R89" s="59">
        <f t="shared" si="55"/>
        <v>1105.2774144612883</v>
      </c>
      <c r="S89" s="59">
        <f ca="1">AVERAGE(OFFSET($R$3,0,0,'Données projet'!$E$9+1,1))-AVERAGE(OFFSET($H$3,0,0,'Données projet'!$E$9+1,1))</f>
        <v>719.20816951277925</v>
      </c>
      <c r="T89" s="59">
        <f t="shared" si="88"/>
        <v>237.1127421841087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30.460282898048114</v>
      </c>
      <c r="AA89" s="21">
        <f>EXP(-LN(2)/25)*AA88+(1-EXP(-LN(2)/25))/(LN(2)/25)*Calculateur!V89*Calculateur!X89*VLOOKUP('Données projet'!$B$9,Paramètres!$A$1:$I$89,3,0)*0.475*44/12</f>
        <v>33.22880315050373</v>
      </c>
      <c r="AB89" s="21">
        <f>EXP(-LN(2)/2)*AB88+(1-EXP(-LN(2)/2))/(LN(2)/2)*V89*Y89*VLOOKUP('Données projet'!$B$9,Paramètres!$A$1:$I$89,3,0)*0.475*44/12</f>
        <v>1.3480552873872751</v>
      </c>
      <c r="AC89" s="22">
        <f t="shared" si="57"/>
        <v>65.037141335939111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66.836253562894726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11.905555555555553</v>
      </c>
      <c r="AI89" s="13">
        <f>IF('Données projet'!$A$62&gt;35,AI88+AH89-AQ88,IF(A89&lt;'Données projet'!$A$62,$AF$205^A89,IF(A89='Données projet'!$A$62,'Données projet'!$B$62,AI88+AH89-AQ88)))</f>
        <v>405.4077777777776</v>
      </c>
      <c r="AJ89" s="13">
        <f>AI89*VLOOKUP('Données projet'!$B$10,Paramètres!$A$1:$I$89,3,0)*VLOOKUP('Données projet'!$B$10,Paramètres!$A$1:$I$89,5,0)</f>
        <v>341.51551199999989</v>
      </c>
      <c r="AK89" s="13">
        <f t="shared" si="89"/>
        <v>79.812979702519371</v>
      </c>
      <c r="AL89" s="20">
        <f t="shared" si="58"/>
        <v>733.81378971522111</v>
      </c>
      <c r="AM89" s="59">
        <f t="shared" si="59"/>
        <v>1015.5467194458352</v>
      </c>
      <c r="AN89" s="59">
        <f ca="1">AVERAGE(OFFSET($AM$3,0,0,'Données projet'!$E$10+1,1))-AVERAGE(OFFSET($H$3,0,0,'Données projet'!$E$10+1,1))</f>
        <v>442.79037205372367</v>
      </c>
      <c r="AO89" s="59">
        <f t="shared" si="90"/>
        <v>288.23553637727969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39.778635547129831</v>
      </c>
      <c r="AV89" s="21">
        <f>EXP(-LN(2)/25)*AV88+(1-EXP(-LN(2)/25))/(LN(2)/25)*Calculateur!AQ89*Calculateur!AS89*VLOOKUP('Données projet'!$B$10,Paramètres!$A$1:$I$89,3,0)*0.475*44/12</f>
        <v>25.398516964079803</v>
      </c>
      <c r="AW89" s="21">
        <f>EXP(-LN(2)/2)*AW88+(1-EXP(-LN(2)/2))/(LN(2)/2)*AQ89*AT89*VLOOKUP('Données projet'!$B$10,Paramètres!$A$1:$I$89,3,0)*0.475*44/12</f>
        <v>4.4447808295015108E-2</v>
      </c>
      <c r="AX89" s="21">
        <f t="shared" si="60"/>
        <v>65.22160031950466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66.836253562894726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>
        <f>VLOOKUP(A89,'Données projet'!$A$87:$I$107,2,0)</f>
        <v>229.27</v>
      </c>
      <c r="BB89" s="12">
        <f>VLOOKUP(A89,'Données projet'!$A$87:$I$107,9,0)</f>
        <v>6.7444444444444462</v>
      </c>
      <c r="BC89" s="12">
        <f t="array" ref="BC89">INDEX(BB:BB,MIN(IF(ISNUMBER(BB89:BB285),ROW(BB89:BB285),"")))</f>
        <v>6.7444444444444462</v>
      </c>
      <c r="BD89" s="12">
        <f>IF('Données projet'!$A$88&gt;35,BD88+BC89-BL88,IF(A89&lt;'Données projet'!$A$88,$BA$205^A89,IF(A89='Données projet'!$A$88,'Données projet'!$B$88,BD88+BC89-BL88)))</f>
        <v>229.26999999999998</v>
      </c>
      <c r="BE89" s="13">
        <f>BD89*VLOOKUP('Données projet'!$B$11,Paramètres!$A$1:$I$89,3,0)*VLOOKUP('Données projet'!$B$11,Paramètres!$A$1:$I$89,5,0)</f>
        <v>232.47978000000001</v>
      </c>
      <c r="BF89" s="13">
        <f t="shared" si="91"/>
        <v>56.81853283390906</v>
      </c>
      <c r="BG89" s="20">
        <f t="shared" si="61"/>
        <v>503.86122818572488</v>
      </c>
      <c r="BH89" s="59">
        <f t="shared" si="62"/>
        <v>785.59415791633887</v>
      </c>
      <c r="BI89" s="59">
        <f ca="1">AVERAGE(OFFSET($BH$3,0,0,'Données projet'!$E$11+1,1))-AVERAGE(OFFSET($H$3,0,0,'Données projet'!$E$11+1,1))</f>
        <v>559.91818701710872</v>
      </c>
      <c r="BJ89" s="59">
        <f t="shared" si="92"/>
        <v>273.47272623465915</v>
      </c>
      <c r="BK89" s="15">
        <f>IF(ISNA(VLOOKUP(A89,'Données projet'!$A$87:$I$107,3,0)),0,VLOOKUP(A89,'Données projet'!$A$87:$I$107,3,0))</f>
        <v>4</v>
      </c>
      <c r="BL89" s="15">
        <f>IF(ISNA(VLOOKUP(A89,'Données projet'!$A$87:$I$107,4,0)),0,VLOOKUP(A89,'Données projet'!$A$87:$I$107,4,0))</f>
        <v>37.54000000000002</v>
      </c>
      <c r="BM89" s="16">
        <f>IF(ISNA(VLOOKUP(A89,'Données projet'!$A$87:$I$107,5,0)),0%,VLOOKUP(A89,'Données projet'!$A$87:$I$107,5,0)*VLOOKUP('Données projet'!$B$11,Paramètres!$A$1:$I$89,7,0))</f>
        <v>0.15049999999999999</v>
      </c>
      <c r="BN89" s="16">
        <f>IF(ISNA(VLOOKUP(A89,'Données projet'!$A$87:$I$107,6,0)),0%,VLOOKUP(A89,'Données projet'!$A$87:$I$107,6,0)*VLOOKUP('Données projet'!$B$11,Paramètres!$A$1:$I$89,7,0))</f>
        <v>8.6000000000000007E-2</v>
      </c>
      <c r="BO89" s="16">
        <f>IF(ISNA(VLOOKUP(A89,'Données projet'!$A$87:$I$107,7,0)),0%,VLOOKUP(A89,'Données projet'!$A$87:$I$107,7,0))</f>
        <v>0.1</v>
      </c>
      <c r="BP89" s="21">
        <f>EXP(-LN(2)/35)*BP88+(1-EXP(-LN(2)/35))/(LN(2)/35)*BL89*BM89*VLOOKUP('Données projet'!$B$11,Paramètres!$A$1:$I$89,3,0)*0.475*44/12</f>
        <v>6.333092533580313</v>
      </c>
      <c r="BQ89" s="21">
        <f>EXP(-LN(2)/25)*BQ88+(1-EXP(-LN(2)/25))/(LN(2)/25)*Calculateur!BL89*Calculateur!BN89*VLOOKUP('Données projet'!$B$11,Paramètres!$A$1:$I$89,3,0)*0.475*44/12</f>
        <v>37.49791455830001</v>
      </c>
      <c r="BR89" s="21">
        <f>EXP(-LN(2)/2)*BR88+(1-EXP(-LN(2)/2))/(LN(2)/2)*BL89*BO89*VLOOKUP('Données projet'!$B$11,Paramètres!$A$1:$I$89,3,0)*0.475*44/12</f>
        <v>3.9027004715399207</v>
      </c>
      <c r="BS89" s="22">
        <f t="shared" si="63"/>
        <v>47.733707563420246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66.836253562894726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-1.1368683772161603E-13</v>
      </c>
      <c r="BZ89" s="13">
        <f>BY89*VLOOKUP('Données projet'!$B$12,Paramètres!$A$1:$I$89,3,0)*VLOOKUP('Données projet'!$B$12,Paramètres!$A$1:$I$89,5,0)</f>
        <v>-8.8675733422860506E-14</v>
      </c>
      <c r="CA89" s="13" t="e">
        <f t="shared" si="93"/>
        <v>#NUM!</v>
      </c>
      <c r="CB89" s="20" t="e">
        <f t="shared" si="64"/>
        <v>#NUM!</v>
      </c>
      <c r="CC89" s="59" t="e">
        <f t="shared" si="65"/>
        <v>#NUM!</v>
      </c>
      <c r="CD89" s="59">
        <f ca="1">AVERAGE(OFFSET($CC$3,0,0,'Données projet'!$E$12+1,1))-AVERAGE(OFFSET($H$3,0,0,'Données projet'!$E$12+1,1))</f>
        <v>208.92677786250815</v>
      </c>
      <c r="CE89" s="59">
        <f t="shared" si="94"/>
        <v>207.54290142772214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19.684072092137978</v>
      </c>
      <c r="CL89" s="21">
        <f>EXP(-LN(2)/25)*CL88+(1-EXP(-LN(2)/25))/(LN(2)/25)*Calculateur!CG89*Calculateur!CI89*VLOOKUP('Données projet'!$B$12,Paramètres!$A$1:$I$89,3,0)*0.475*44/12</f>
        <v>16.938557975678705</v>
      </c>
      <c r="CM89" s="21">
        <f>EXP(-LN(2)/2)*CM88+(1-EXP(-LN(2)/2))/(LN(2)/2)*CG89*CJ89*VLOOKUP('Données projet'!$B$12,Paramètres!$A$1:$I$89,3,0)*0.475*44/12</f>
        <v>0.10757460664301237</v>
      </c>
      <c r="CN89" s="22">
        <f t="shared" si="66"/>
        <v>36.730204674459699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66.836253562894726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9.2740000000000009</v>
      </c>
      <c r="CT89" s="12">
        <f>IF('Données projet'!$A$140&gt;35,CT88+CS89-DB88,IF(A89&lt;'Données projet'!$A$140,$CQ$205^A89,IF(A89='Données projet'!$A$140,'Données projet'!$B$140,CT88+CS89-DB88)))</f>
        <v>283.95199999999988</v>
      </c>
      <c r="CU89" s="17">
        <f>CT89*VLOOKUP('Données projet'!$B$13,Paramètres!$A$1:$I$89,3,0)*VLOOKUP('Données projet'!$B$13,Paramètres!$A$1:$I$89,5,0)</f>
        <v>270.20872319999989</v>
      </c>
      <c r="CV89" s="13">
        <f t="shared" si="95"/>
        <v>64.893563626315952</v>
      </c>
      <c r="CW89" s="20">
        <f t="shared" si="67"/>
        <v>583.63648288916681</v>
      </c>
      <c r="CX89" s="59">
        <f t="shared" si="68"/>
        <v>865.36941261978086</v>
      </c>
      <c r="CY89" s="59">
        <f ca="1">AVERAGE(OFFSET($CX$3,0,0,'Données projet'!$E$13+1,1))-AVERAGE(OFFSET($H$3,0,0,'Données projet'!$E$13+1,1))</f>
        <v>470.42022791389275</v>
      </c>
      <c r="CZ89" s="59">
        <f t="shared" si="96"/>
        <v>300.26117330627346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17.917688479157803</v>
      </c>
      <c r="DG89" s="21">
        <f>EXP(-LN(2)/25)*DG88+(1-EXP(-LN(2)/25))/(LN(2)/25)*Calculateur!DB89*Calculateur!DD89*VLOOKUP('Données projet'!$B$13,Paramètres!$A$1:$I$89,3,0)*0.475*44/12</f>
        <v>19.43741509014108</v>
      </c>
      <c r="DH89" s="21">
        <f>EXP(-LN(2)/2)*DH88+(1-EXP(-LN(2)/2))/(LN(2)/2)*DB89*DE89*VLOOKUP('Données projet'!$B$13,Paramètres!$A$1:$I$89,3,0)*0.475*44/12</f>
        <v>4.1963759955140274</v>
      </c>
      <c r="DI89" s="22">
        <f t="shared" si="69"/>
        <v>41.551479564812908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66.836253562894726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>
        <f>VLOOKUP(A89,'Données projet'!$A$165:$I$185,2,0)</f>
        <v>229.27</v>
      </c>
      <c r="DM89" s="12">
        <f>VLOOKUP(A89,'Données projet'!$A$165:$I$185,9,0)</f>
        <v>6.7444444444444462</v>
      </c>
      <c r="DN89" s="12">
        <f t="array" ref="DN89">INDEX(DM:DM,MIN(IF(ISNUMBER(DM89:DM285),ROW(DM89:DM285),"")))</f>
        <v>6.7444444444444462</v>
      </c>
      <c r="DO89" s="12">
        <f>IF('Données projet'!$A$166&gt;35,DO88+DN89-DW88,IF(A89&lt;'Données projet'!$A$166,$DL$205^A89,IF(A89='Données projet'!$A$166,'Données projet'!$B$166,DO88+DN89-DW88)))</f>
        <v>229.26999999999998</v>
      </c>
      <c r="DP89" s="17">
        <f>DO89*VLOOKUP('Données projet'!$B$14,Paramètres!$A$1:$I$89,3,0)*VLOOKUP('Données projet'!$B$14,Paramètres!$A$1:$I$89,5,0)</f>
        <v>221.74994399999997</v>
      </c>
      <c r="DQ89" s="13">
        <f t="shared" si="97"/>
        <v>54.495051846596574</v>
      </c>
      <c r="DR89" s="20">
        <f t="shared" si="70"/>
        <v>481.12670109948903</v>
      </c>
      <c r="DS89" s="59">
        <f t="shared" si="71"/>
        <v>762.85963083010301</v>
      </c>
      <c r="DT89" s="59">
        <f ca="1">AVERAGE(OFFSET($DS$3,0,0,'Données projet'!$E$14+1,1))-AVERAGE(OFFSET($H$3,0,0,'Données projet'!$E$14+1,1))</f>
        <v>537.37164071064103</v>
      </c>
      <c r="DU89" s="59">
        <f t="shared" si="98"/>
        <v>263.29777321132235</v>
      </c>
      <c r="DV89" s="15">
        <f>IF(ISNA(VLOOKUP(A89,'Données projet'!$A$165:$I$185,3,0)),0,VLOOKUP(A89,'Données projet'!$A$165:$I$185,3,0))</f>
        <v>4</v>
      </c>
      <c r="DW89" s="15">
        <f>IF(ISNA(VLOOKUP(A89,'Données projet'!$A$165:$I$185,4,0)),0,VLOOKUP(A89,'Données projet'!$A$165:$I$185,4,0))</f>
        <v>37.54000000000002</v>
      </c>
      <c r="DX89" s="16">
        <f>IF(ISNA(VLOOKUP(A89,'Données projet'!$A$165:$I$185,5,0)),0%,VLOOKUP(A89,'Données projet'!$A$165:$I$185,5,0)*VLOOKUP('Données projet'!$B$14,Paramètres!$A$1:$I$89,7,0))</f>
        <v>0.1075</v>
      </c>
      <c r="DY89" s="16">
        <f>IF(ISNA(VLOOKUP(A89,'Données projet'!$A$165:$I$185,6,0)),0%,VLOOKUP(A89,'Données projet'!$A$165:$I$185,6,0)*VLOOKUP('Données projet'!$B$14,Paramètres!$A$1:$I$89,7,0))</f>
        <v>0.1075</v>
      </c>
      <c r="DZ89" s="16">
        <f>IF(ISNA(VLOOKUP(A89,'Données projet'!$A$165:$I$185,7,0)),0%,VLOOKUP(A89,'Données projet'!$A$165:$I$185,7,0))</f>
        <v>0.25</v>
      </c>
      <c r="EA89" s="21">
        <f>EXP(-LN(2)/35)*EA88+(1-EXP(-LN(2)/35))/(LN(2)/35)*DW89*DX89*VLOOKUP('Données projet'!$B$14,Paramètres!$A$1:$I$89,3,0)*0.475*44/12</f>
        <v>4.3148542536481251</v>
      </c>
      <c r="EB89" s="21">
        <f>EXP(-LN(2)/25)*EB88+(1-EXP(-LN(2)/25))/(LN(2)/25)*Calculateur!DW89*Calculateur!DY89*VLOOKUP('Données projet'!$B$14,Paramètres!$A$1:$I$89,3,0)*0.475*44/12</f>
        <v>14.400661764611787</v>
      </c>
      <c r="EC89" s="21">
        <f>EXP(-LN(2)/2)*EC88+(1-EXP(-LN(2)/2))/(LN(2)/2)*DW89*DZ89*VLOOKUP('Données projet'!$B$14,Paramètres!$A$1:$I$89,3,0)*0.475*44/12</f>
        <v>8.9354978382411172</v>
      </c>
      <c r="ED89" s="22">
        <f t="shared" si="72"/>
        <v>27.651013856501031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66.836253562894726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66.836253562894726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66.836253562894726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66.836253562894726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45">
      <c r="A90" s="10">
        <f t="shared" si="85"/>
        <v>87</v>
      </c>
      <c r="B90" s="73">
        <f>'Scénario référence'!$B$16*5+'Scénario référence'!$B$17*0+'Scénario référence'!$B$18*5</f>
        <v>2.8499999999999996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10.449999999999998</v>
      </c>
      <c r="H90" s="67">
        <f t="shared" si="56"/>
        <v>214.86666666666667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66.89113749050108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11.667500000000004</v>
      </c>
      <c r="N90" s="13">
        <f>IF('Données projet'!$A$36&gt;35,N89+M90-V89,IF(A90&lt;'Données projet'!$A$36,$K$205^A90,IF(A90='Données projet'!$A$36,'Données projet'!$B$36,N89+M90-V89)))</f>
        <v>436.36750000000001</v>
      </c>
      <c r="O90" s="13">
        <f>N90*VLOOKUP('Données projet'!$B$9,Paramètres!$A$1:$I$89,3,0)*VLOOKUP('Données projet'!$B$9,Paramètres!$A$1:$I$89,5,0)</f>
        <v>394.82531399999999</v>
      </c>
      <c r="P90" s="13">
        <f t="shared" si="87"/>
        <v>90.726783343228391</v>
      </c>
      <c r="Q90" s="20">
        <f t="shared" si="54"/>
        <v>845.66990287278952</v>
      </c>
      <c r="R90" s="59">
        <f t="shared" si="55"/>
        <v>1127.6040736712935</v>
      </c>
      <c r="S90" s="59">
        <f ca="1">AVERAGE(OFFSET($R$3,0,0,'Données projet'!$E$9+1,1))-AVERAGE(OFFSET($H$3,0,0,'Données projet'!$E$9+1,1))</f>
        <v>719.20816951277925</v>
      </c>
      <c r="T90" s="59">
        <f t="shared" si="88"/>
        <v>237.1127421841087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29.862975329355439</v>
      </c>
      <c r="AA90" s="21">
        <f>EXP(-LN(2)/25)*AA89+(1-EXP(-LN(2)/25))/(LN(2)/25)*Calculateur!V90*Calculateur!X90*VLOOKUP('Données projet'!$B$9,Paramètres!$A$1:$I$89,3,0)*0.475*44/12</f>
        <v>32.320159780926396</v>
      </c>
      <c r="AB90" s="21">
        <f>EXP(-LN(2)/2)*AB89+(1-EXP(-LN(2)/2))/(LN(2)/2)*V90*Y90*VLOOKUP('Données projet'!$B$9,Paramètres!$A$1:$I$89,3,0)*0.475*44/12</f>
        <v>0.95321903512592243</v>
      </c>
      <c r="AC90" s="22">
        <f t="shared" si="57"/>
        <v>63.136354145407765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66.89113749050108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11.905555555555553</v>
      </c>
      <c r="AI90" s="13">
        <f>IF('Données projet'!$A$62&gt;35,AI89+AH90-AQ89,IF(A90&lt;'Données projet'!$A$62,$AF$205^A90,IF(A90='Données projet'!$A$62,'Données projet'!$B$62,AI89+AH90-AQ89)))</f>
        <v>417.31333333333316</v>
      </c>
      <c r="AJ90" s="13">
        <f>AI90*VLOOKUP('Données projet'!$B$10,Paramètres!$A$1:$I$89,3,0)*VLOOKUP('Données projet'!$B$10,Paramètres!$A$1:$I$89,5,0)</f>
        <v>351.54475199999985</v>
      </c>
      <c r="AK90" s="13">
        <f t="shared" si="89"/>
        <v>81.880510146389071</v>
      </c>
      <c r="AL90" s="20">
        <f t="shared" si="58"/>
        <v>754.88233157162733</v>
      </c>
      <c r="AM90" s="59">
        <f t="shared" si="59"/>
        <v>1036.8165023701313</v>
      </c>
      <c r="AN90" s="59">
        <f ca="1">AVERAGE(OFFSET($AM$3,0,0,'Données projet'!$E$10+1,1))-AVERAGE(OFFSET($H$3,0,0,'Données projet'!$E$10+1,1))</f>
        <v>442.79037205372367</v>
      </c>
      <c r="AO90" s="59">
        <f t="shared" si="90"/>
        <v>288.23553637727969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38.998600766622566</v>
      </c>
      <c r="AV90" s="21">
        <f>EXP(-LN(2)/25)*AV89+(1-EXP(-LN(2)/25))/(LN(2)/25)*Calculateur!AQ90*Calculateur!AS90*VLOOKUP('Données projet'!$B$10,Paramètres!$A$1:$I$89,3,0)*0.475*44/12</f>
        <v>24.703993182047082</v>
      </c>
      <c r="AW90" s="21">
        <f>EXP(-LN(2)/2)*AW89+(1-EXP(-LN(2)/2))/(LN(2)/2)*AQ90*AT90*VLOOKUP('Données projet'!$B$10,Paramètres!$A$1:$I$89,3,0)*0.475*44/12</f>
        <v>3.1429346654284859E-2</v>
      </c>
      <c r="AX90" s="21">
        <f t="shared" si="60"/>
        <v>63.734023295323929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66.89113749050108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6.7600000000000007</v>
      </c>
      <c r="BD90" s="12">
        <f>IF('Données projet'!$A$88&gt;35,BD89+BC90-BL89,IF(A90&lt;'Données projet'!$A$88,$BA$205^A90,IF(A90='Données projet'!$A$88,'Données projet'!$B$88,BD89+BC90-BL89)))</f>
        <v>198.48999999999995</v>
      </c>
      <c r="BE90" s="13">
        <f>BD90*VLOOKUP('Données projet'!$B$11,Paramètres!$A$1:$I$89,3,0)*VLOOKUP('Données projet'!$B$11,Paramètres!$A$1:$I$89,5,0)</f>
        <v>201.26885999999993</v>
      </c>
      <c r="BF90" s="13">
        <f t="shared" si="91"/>
        <v>50.022922026408203</v>
      </c>
      <c r="BG90" s="20">
        <f t="shared" si="61"/>
        <v>437.66652036266078</v>
      </c>
      <c r="BH90" s="59">
        <f t="shared" si="62"/>
        <v>719.60069116116483</v>
      </c>
      <c r="BI90" s="59">
        <f ca="1">AVERAGE(OFFSET($BH$3,0,0,'Données projet'!$E$11+1,1))-AVERAGE(OFFSET($H$3,0,0,'Données projet'!$E$11+1,1))</f>
        <v>559.91818701710872</v>
      </c>
      <c r="BJ90" s="59">
        <f t="shared" si="92"/>
        <v>273.47272623465915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6.2089044518018284</v>
      </c>
      <c r="BQ90" s="21">
        <f>EXP(-LN(2)/25)*BQ89+(1-EXP(-LN(2)/25))/(LN(2)/25)*Calculateur!BL90*Calculateur!BN90*VLOOKUP('Données projet'!$B$11,Paramètres!$A$1:$I$89,3,0)*0.475*44/12</f>
        <v>36.472532112773671</v>
      </c>
      <c r="BR90" s="21">
        <f>EXP(-LN(2)/2)*BR89+(1-EXP(-LN(2)/2))/(LN(2)/2)*BL90*BO90*VLOOKUP('Données projet'!$B$11,Paramètres!$A$1:$I$89,3,0)*0.475*44/12</f>
        <v>2.7596259683658149</v>
      </c>
      <c r="BS90" s="22">
        <f t="shared" si="63"/>
        <v>45.441062532941316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66.89113749050108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-1.1368683772161603E-13</v>
      </c>
      <c r="BZ90" s="13">
        <f>BY90*VLOOKUP('Données projet'!$B$12,Paramètres!$A$1:$I$89,3,0)*VLOOKUP('Données projet'!$B$12,Paramètres!$A$1:$I$89,5,0)</f>
        <v>-8.8675733422860506E-14</v>
      </c>
      <c r="CA90" s="13" t="e">
        <f t="shared" si="93"/>
        <v>#NUM!</v>
      </c>
      <c r="CB90" s="20" t="e">
        <f t="shared" si="64"/>
        <v>#NUM!</v>
      </c>
      <c r="CC90" s="59" t="e">
        <f t="shared" si="65"/>
        <v>#NUM!</v>
      </c>
      <c r="CD90" s="59">
        <f ca="1">AVERAGE(OFFSET($CC$3,0,0,'Données projet'!$E$12+1,1))-AVERAGE(OFFSET($H$3,0,0,'Données projet'!$E$12+1,1))</f>
        <v>208.92677786250815</v>
      </c>
      <c r="CE90" s="59">
        <f t="shared" si="94"/>
        <v>207.54290142772214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19.298079444509625</v>
      </c>
      <c r="CL90" s="21">
        <f>EXP(-LN(2)/25)*CL89+(1-EXP(-LN(2)/25))/(LN(2)/25)*Calculateur!CG90*Calculateur!CI90*VLOOKUP('Données projet'!$B$12,Paramètres!$A$1:$I$89,3,0)*0.475*44/12</f>
        <v>16.475372217073719</v>
      </c>
      <c r="CM90" s="21">
        <f>EXP(-LN(2)/2)*CM89+(1-EXP(-LN(2)/2))/(LN(2)/2)*CG90*CJ90*VLOOKUP('Données projet'!$B$12,Paramètres!$A$1:$I$89,3,0)*0.475*44/12</f>
        <v>7.6066733840749468E-2</v>
      </c>
      <c r="CN90" s="22">
        <f t="shared" si="66"/>
        <v>35.849518395424091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66.89113749050108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9.2740000000000009</v>
      </c>
      <c r="CT90" s="12">
        <f>IF('Données projet'!$A$140&gt;35,CT89+CS90-DB89,IF(A90&lt;'Données projet'!$A$140,$CQ$205^A90,IF(A90='Données projet'!$A$140,'Données projet'!$B$140,CT89+CS90-DB89)))</f>
        <v>293.22599999999989</v>
      </c>
      <c r="CU90" s="17">
        <f>CT90*VLOOKUP('Données projet'!$B$13,Paramètres!$A$1:$I$89,3,0)*VLOOKUP('Données projet'!$B$13,Paramètres!$A$1:$I$89,5,0)</f>
        <v>279.03386159999991</v>
      </c>
      <c r="CV90" s="13">
        <f t="shared" si="95"/>
        <v>66.762795009518257</v>
      </c>
      <c r="CW90" s="20">
        <f t="shared" si="67"/>
        <v>602.2625102615774</v>
      </c>
      <c r="CX90" s="59">
        <f t="shared" si="68"/>
        <v>884.19668106008135</v>
      </c>
      <c r="CY90" s="59">
        <f ca="1">AVERAGE(OFFSET($CX$3,0,0,'Données projet'!$E$13+1,1))-AVERAGE(OFFSET($H$3,0,0,'Données projet'!$E$13+1,1))</f>
        <v>470.42022791389275</v>
      </c>
      <c r="CZ90" s="59">
        <f t="shared" si="96"/>
        <v>300.26117330627346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17.566333536792371</v>
      </c>
      <c r="DG90" s="21">
        <f>EXP(-LN(2)/25)*DG89+(1-EXP(-LN(2)/25))/(LN(2)/25)*Calculateur!DB90*Calculateur!DD90*VLOOKUP('Données projet'!$B$13,Paramètres!$A$1:$I$89,3,0)*0.475*44/12</f>
        <v>18.905897952331937</v>
      </c>
      <c r="DH90" s="21">
        <f>EXP(-LN(2)/2)*DH89+(1-EXP(-LN(2)/2))/(LN(2)/2)*DB90*DE90*VLOOKUP('Données projet'!$B$13,Paramètres!$A$1:$I$89,3,0)*0.475*44/12</f>
        <v>2.9672859228364179</v>
      </c>
      <c r="DI90" s="22">
        <f t="shared" si="69"/>
        <v>39.439517411960729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66.89113749050108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6.7600000000000007</v>
      </c>
      <c r="DO90" s="12">
        <f>IF('Données projet'!$A$166&gt;35,DO89+DN90-DW89,IF(A90&lt;'Données projet'!$A$166,$DL$205^A90,IF(A90='Données projet'!$A$166,'Données projet'!$B$166,DO89+DN90-DW89)))</f>
        <v>198.48999999999995</v>
      </c>
      <c r="DP90" s="17">
        <f>DO90*VLOOKUP('Données projet'!$B$14,Paramètres!$A$1:$I$89,3,0)*VLOOKUP('Données projet'!$B$14,Paramètres!$A$1:$I$89,5,0)</f>
        <v>191.97952799999996</v>
      </c>
      <c r="DQ90" s="13">
        <f t="shared" si="97"/>
        <v>47.977334038454906</v>
      </c>
      <c r="DR90" s="20">
        <f t="shared" si="70"/>
        <v>417.92486805030893</v>
      </c>
      <c r="DS90" s="59">
        <f t="shared" si="71"/>
        <v>699.85903884881293</v>
      </c>
      <c r="DT90" s="59">
        <f ca="1">AVERAGE(OFFSET($DS$3,0,0,'Données projet'!$E$14+1,1))-AVERAGE(OFFSET($H$3,0,0,'Données projet'!$E$14+1,1))</f>
        <v>537.37164071064103</v>
      </c>
      <c r="DU90" s="59">
        <f t="shared" si="98"/>
        <v>263.29777321132235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4.2302425935353112</v>
      </c>
      <c r="EB90" s="21">
        <f>EXP(-LN(2)/25)*EB89+(1-EXP(-LN(2)/25))/(LN(2)/25)*Calculateur!DW90*Calculateur!DY90*VLOOKUP('Données projet'!$B$14,Paramètres!$A$1:$I$89,3,0)*0.475*44/12</f>
        <v>14.006874911360589</v>
      </c>
      <c r="EC90" s="21">
        <f>EXP(-LN(2)/2)*EC89+(1-EXP(-LN(2)/2))/(LN(2)/2)*DW90*DZ90*VLOOKUP('Données projet'!$B$14,Paramètres!$A$1:$I$89,3,0)*0.475*44/12</f>
        <v>6.3183511146980305</v>
      </c>
      <c r="ED90" s="22">
        <f t="shared" si="72"/>
        <v>24.555468619593931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66.89113749050108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66.89113749050108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66.89113749050108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66.89113749050108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45">
      <c r="A91" s="10">
        <f t="shared" si="85"/>
        <v>88</v>
      </c>
      <c r="B91" s="73">
        <f>'Scénario référence'!$B$16*5+'Scénario référence'!$B$17*0+'Scénario référence'!$B$18*5</f>
        <v>2.8499999999999996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10.449999999999998</v>
      </c>
      <c r="H91" s="67">
        <f t="shared" si="56"/>
        <v>214.86666666666667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66.945069304665566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11.667500000000004</v>
      </c>
      <c r="N91" s="13">
        <f>IF('Données projet'!$A$36&gt;35,N90+M91-V90,IF(A91&lt;'Données projet'!$A$36,$K$205^A91,IF(A91='Données projet'!$A$36,'Données projet'!$B$36,N90+M91-V90)))</f>
        <v>448.03500000000003</v>
      </c>
      <c r="O91" s="13">
        <f>N91*VLOOKUP('Données projet'!$B$9,Paramètres!$A$1:$I$89,3,0)*VLOOKUP('Données projet'!$B$9,Paramètres!$A$1:$I$89,5,0)</f>
        <v>405.382068</v>
      </c>
      <c r="P91" s="13">
        <f t="shared" si="87"/>
        <v>92.866946705059107</v>
      </c>
      <c r="Q91" s="20">
        <f t="shared" si="54"/>
        <v>867.78370061131125</v>
      </c>
      <c r="R91" s="59">
        <f t="shared" si="55"/>
        <v>1149.9156213950851</v>
      </c>
      <c r="S91" s="59">
        <f ca="1">AVERAGE(OFFSET($R$3,0,0,'Données projet'!$E$9+1,1))-AVERAGE(OFFSET($H$3,0,0,'Données projet'!$E$9+1,1))</f>
        <v>719.20816951277925</v>
      </c>
      <c r="T91" s="59">
        <f t="shared" si="88"/>
        <v>237.1127421841087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29.277380597763187</v>
      </c>
      <c r="AA91" s="21">
        <f>EXP(-LN(2)/25)*AA90+(1-EXP(-LN(2)/25))/(LN(2)/25)*Calculateur!V91*Calculateur!X91*VLOOKUP('Données projet'!$B$9,Paramètres!$A$1:$I$89,3,0)*0.475*44/12</f>
        <v>31.436363312073631</v>
      </c>
      <c r="AB91" s="21">
        <f>EXP(-LN(2)/2)*AB90+(1-EXP(-LN(2)/2))/(LN(2)/2)*V91*Y91*VLOOKUP('Données projet'!$B$9,Paramètres!$A$1:$I$89,3,0)*0.475*44/12</f>
        <v>0.67402764369363766</v>
      </c>
      <c r="AC91" s="22">
        <f t="shared" si="57"/>
        <v>61.387771553530456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66.945069304665566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11.905555555555553</v>
      </c>
      <c r="AI91" s="13">
        <f>IF('Données projet'!$A$62&gt;35,AI90+AH91-AQ90,IF(A91&lt;'Données projet'!$A$62,$AF$205^A91,IF(A91='Données projet'!$A$62,'Données projet'!$B$62,AI90+AH91-AQ90)))</f>
        <v>429.21888888888873</v>
      </c>
      <c r="AJ91" s="13">
        <f>AI91*VLOOKUP('Données projet'!$B$10,Paramètres!$A$1:$I$89,3,0)*VLOOKUP('Données projet'!$B$10,Paramètres!$A$1:$I$89,5,0)</f>
        <v>361.57399199999992</v>
      </c>
      <c r="AK91" s="13">
        <f t="shared" si="89"/>
        <v>83.941185176780493</v>
      </c>
      <c r="AL91" s="20">
        <f t="shared" si="58"/>
        <v>775.93893358289245</v>
      </c>
      <c r="AM91" s="59">
        <f t="shared" si="59"/>
        <v>1058.0708543666663</v>
      </c>
      <c r="AN91" s="59">
        <f ca="1">AVERAGE(OFFSET($AM$3,0,0,'Données projet'!$E$10+1,1))-AVERAGE(OFFSET($H$3,0,0,'Données projet'!$E$10+1,1))</f>
        <v>442.79037205372367</v>
      </c>
      <c r="AO91" s="59">
        <f t="shared" si="90"/>
        <v>288.23553637727969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38.233861992386814</v>
      </c>
      <c r="AV91" s="21">
        <f>EXP(-LN(2)/25)*AV90+(1-EXP(-LN(2)/25))/(LN(2)/25)*Calculateur!AQ91*Calculateur!AS91*VLOOKUP('Données projet'!$B$10,Paramètres!$A$1:$I$89,3,0)*0.475*44/12</f>
        <v>24.028461189357465</v>
      </c>
      <c r="AW91" s="21">
        <f>EXP(-LN(2)/2)*AW90+(1-EXP(-LN(2)/2))/(LN(2)/2)*AQ91*AT91*VLOOKUP('Données projet'!$B$10,Paramètres!$A$1:$I$89,3,0)*0.475*44/12</f>
        <v>2.2223904147507554E-2</v>
      </c>
      <c r="AX91" s="21">
        <f t="shared" si="60"/>
        <v>62.284547085891788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66.945069304665566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6.7600000000000007</v>
      </c>
      <c r="BD91" s="12">
        <f>IF('Données projet'!$A$88&gt;35,BD90+BC91-BL90,IF(A91&lt;'Données projet'!$A$88,$BA$205^A91,IF(A91='Données projet'!$A$88,'Données projet'!$B$88,BD90+BC91-BL90)))</f>
        <v>205.24999999999994</v>
      </c>
      <c r="BE91" s="13">
        <f>BD91*VLOOKUP('Données projet'!$B$11,Paramètres!$A$1:$I$89,3,0)*VLOOKUP('Données projet'!$B$11,Paramètres!$A$1:$I$89,5,0)</f>
        <v>208.12349999999995</v>
      </c>
      <c r="BF91" s="13">
        <f t="shared" si="91"/>
        <v>51.525309267242157</v>
      </c>
      <c r="BG91" s="20">
        <f t="shared" si="61"/>
        <v>452.22167614044662</v>
      </c>
      <c r="BH91" s="59">
        <f t="shared" si="62"/>
        <v>734.35359692422037</v>
      </c>
      <c r="BI91" s="59">
        <f ca="1">AVERAGE(OFFSET($BH$3,0,0,'Données projet'!$E$11+1,1))-AVERAGE(OFFSET($H$3,0,0,'Données projet'!$E$11+1,1))</f>
        <v>559.91818701710872</v>
      </c>
      <c r="BJ91" s="59">
        <f t="shared" si="92"/>
        <v>273.47272623465915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6.0871516225597695</v>
      </c>
      <c r="BQ91" s="21">
        <f>EXP(-LN(2)/25)*BQ90+(1-EXP(-LN(2)/25))/(LN(2)/25)*Calculateur!BL91*Calculateur!BN91*VLOOKUP('Données projet'!$B$11,Paramètres!$A$1:$I$89,3,0)*0.475*44/12</f>
        <v>35.475188804142768</v>
      </c>
      <c r="BR91" s="21">
        <f>EXP(-LN(2)/2)*BR90+(1-EXP(-LN(2)/2))/(LN(2)/2)*BL91*BO91*VLOOKUP('Données projet'!$B$11,Paramètres!$A$1:$I$89,3,0)*0.475*44/12</f>
        <v>1.9513502357699608</v>
      </c>
      <c r="BS91" s="22">
        <f t="shared" si="63"/>
        <v>43.513690662472492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66.945069304665566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-1.1368683772161603E-13</v>
      </c>
      <c r="BZ91" s="13">
        <f>BY91*VLOOKUP('Données projet'!$B$12,Paramètres!$A$1:$I$89,3,0)*VLOOKUP('Données projet'!$B$12,Paramètres!$A$1:$I$89,5,0)</f>
        <v>-8.8675733422860506E-14</v>
      </c>
      <c r="CA91" s="13" t="e">
        <f t="shared" si="93"/>
        <v>#NUM!</v>
      </c>
      <c r="CB91" s="20" t="e">
        <f t="shared" si="64"/>
        <v>#NUM!</v>
      </c>
      <c r="CC91" s="59" t="e">
        <f t="shared" si="65"/>
        <v>#NUM!</v>
      </c>
      <c r="CD91" s="59">
        <f ca="1">AVERAGE(OFFSET($CC$3,0,0,'Données projet'!$E$12+1,1))-AVERAGE(OFFSET($H$3,0,0,'Données projet'!$E$12+1,1))</f>
        <v>208.92677786250815</v>
      </c>
      <c r="CE91" s="59">
        <f t="shared" si="94"/>
        <v>207.54290142772214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18.919655877268994</v>
      </c>
      <c r="CL91" s="21">
        <f>EXP(-LN(2)/25)*CL90+(1-EXP(-LN(2)/25))/(LN(2)/25)*Calculateur!CG91*Calculateur!CI91*VLOOKUP('Données projet'!$B$12,Paramètres!$A$1:$I$89,3,0)*0.475*44/12</f>
        <v>16.024852297395668</v>
      </c>
      <c r="CM91" s="21">
        <f>EXP(-LN(2)/2)*CM90+(1-EXP(-LN(2)/2))/(LN(2)/2)*CG91*CJ91*VLOOKUP('Données projet'!$B$12,Paramètres!$A$1:$I$89,3,0)*0.475*44/12</f>
        <v>5.3787303321506184E-2</v>
      </c>
      <c r="CN91" s="22">
        <f t="shared" si="66"/>
        <v>34.998295477986169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66.945069304665566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9.2740000000000009</v>
      </c>
      <c r="CT91" s="12">
        <f>IF('Données projet'!$A$140&gt;35,CT90+CS91-DB90,IF(A91&lt;'Données projet'!$A$140,$CQ$205^A91,IF(A91='Données projet'!$A$140,'Données projet'!$B$140,CT90+CS91-DB90)))</f>
        <v>302.49999999999989</v>
      </c>
      <c r="CU91" s="17">
        <f>CT91*VLOOKUP('Données projet'!$B$13,Paramètres!$A$1:$I$89,3,0)*VLOOKUP('Données projet'!$B$13,Paramètres!$A$1:$I$89,5,0)</f>
        <v>287.85899999999987</v>
      </c>
      <c r="CV91" s="13">
        <f t="shared" si="95"/>
        <v>68.625156372854391</v>
      </c>
      <c r="CW91" s="20">
        <f t="shared" si="67"/>
        <v>620.87657234938786</v>
      </c>
      <c r="CX91" s="59">
        <f t="shared" si="68"/>
        <v>903.00849313316166</v>
      </c>
      <c r="CY91" s="59">
        <f ca="1">AVERAGE(OFFSET($CX$3,0,0,'Données projet'!$E$13+1,1))-AVERAGE(OFFSET($H$3,0,0,'Données projet'!$E$13+1,1))</f>
        <v>470.42022791389275</v>
      </c>
      <c r="CZ91" s="59">
        <f t="shared" si="96"/>
        <v>300.26117330627346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17.221868450541368</v>
      </c>
      <c r="DG91" s="21">
        <f>EXP(-LN(2)/25)*DG90+(1-EXP(-LN(2)/25))/(LN(2)/25)*Calculateur!DB91*Calculateur!DD91*VLOOKUP('Données projet'!$B$13,Paramètres!$A$1:$I$89,3,0)*0.475*44/12</f>
        <v>18.388915178607459</v>
      </c>
      <c r="DH91" s="21">
        <f>EXP(-LN(2)/2)*DH90+(1-EXP(-LN(2)/2))/(LN(2)/2)*DB91*DE91*VLOOKUP('Données projet'!$B$13,Paramètres!$A$1:$I$89,3,0)*0.475*44/12</f>
        <v>2.0981879977570137</v>
      </c>
      <c r="DI91" s="22">
        <f t="shared" si="69"/>
        <v>37.708971626905843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66.945069304665566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6.7600000000000007</v>
      </c>
      <c r="DO91" s="12">
        <f>IF('Données projet'!$A$166&gt;35,DO90+DN91-DW90,IF(A91&lt;'Données projet'!$A$166,$DL$205^A91,IF(A91='Données projet'!$A$166,'Données projet'!$B$166,DO90+DN91-DW90)))</f>
        <v>205.24999999999994</v>
      </c>
      <c r="DP91" s="17">
        <f>DO91*VLOOKUP('Données projet'!$B$14,Paramètres!$A$1:$I$89,3,0)*VLOOKUP('Données projet'!$B$14,Paramètres!$A$1:$I$89,5,0)</f>
        <v>198.51779999999997</v>
      </c>
      <c r="DQ91" s="13">
        <f t="shared" si="97"/>
        <v>49.418284138701907</v>
      </c>
      <c r="DR91" s="20">
        <f t="shared" si="70"/>
        <v>431.82201320823901</v>
      </c>
      <c r="DS91" s="59">
        <f t="shared" si="71"/>
        <v>713.95393399201271</v>
      </c>
      <c r="DT91" s="59">
        <f ca="1">AVERAGE(OFFSET($DS$3,0,0,'Données projet'!$E$14+1,1))-AVERAGE(OFFSET($H$3,0,0,'Données projet'!$E$14+1,1))</f>
        <v>537.37164071064103</v>
      </c>
      <c r="DU91" s="59">
        <f t="shared" si="98"/>
        <v>263.29777321132235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4.1472901164692928</v>
      </c>
      <c r="EB91" s="21">
        <f>EXP(-LN(2)/25)*EB90+(1-EXP(-LN(2)/25))/(LN(2)/25)*Calculateur!DW91*Calculateur!DY91*VLOOKUP('Données projet'!$B$14,Paramètres!$A$1:$I$89,3,0)*0.475*44/12</f>
        <v>13.623856180319894</v>
      </c>
      <c r="EC91" s="21">
        <f>EXP(-LN(2)/2)*EC90+(1-EXP(-LN(2)/2))/(LN(2)/2)*DW91*DZ91*VLOOKUP('Données projet'!$B$14,Paramètres!$A$1:$I$89,3,0)*0.475*44/12</f>
        <v>4.4677489191205595</v>
      </c>
      <c r="ED91" s="22">
        <f t="shared" si="72"/>
        <v>22.238895215909746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66.945069304665566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66.945069304665566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66.945069304665566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66.945069304665566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45">
      <c r="A92" s="10">
        <f t="shared" si="85"/>
        <v>89</v>
      </c>
      <c r="B92" s="73">
        <f>'Scénario référence'!$B$16*5+'Scénario référence'!$B$17*0+'Scénario référence'!$B$18*5</f>
        <v>2.8499999999999996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10.449999999999998</v>
      </c>
      <c r="H92" s="67">
        <f t="shared" si="56"/>
        <v>214.86666666666667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66.998065522427751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11.667500000000004</v>
      </c>
      <c r="N92" s="13">
        <f>IF('Données projet'!$A$36&gt;35,N91+M92-V91,IF(A92&lt;'Données projet'!$A$36,$K$205^A92,IF(A92='Données projet'!$A$36,'Données projet'!$B$36,N91+M92-V91)))</f>
        <v>459.70250000000004</v>
      </c>
      <c r="O92" s="13">
        <f>N92*VLOOKUP('Données projet'!$B$9,Paramètres!$A$1:$I$89,3,0)*VLOOKUP('Données projet'!$B$9,Paramètres!$A$1:$I$89,5,0)</f>
        <v>415.93882200000002</v>
      </c>
      <c r="P92" s="13">
        <f t="shared" si="87"/>
        <v>95.000631788713704</v>
      </c>
      <c r="Q92" s="20">
        <f t="shared" si="54"/>
        <v>889.88621534867627</v>
      </c>
      <c r="R92" s="59">
        <f t="shared" si="55"/>
        <v>1172.2124555975779</v>
      </c>
      <c r="S92" s="59">
        <f ca="1">AVERAGE(OFFSET($R$3,0,0,'Données projet'!$E$9+1,1))-AVERAGE(OFFSET($H$3,0,0,'Données projet'!$E$9+1,1))</f>
        <v>719.20816951277925</v>
      </c>
      <c r="T92" s="59">
        <f t="shared" si="88"/>
        <v>237.1127421841087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28.70326902167994</v>
      </c>
      <c r="AA92" s="21">
        <f>EXP(-LN(2)/25)*AA91+(1-EXP(-LN(2)/25))/(LN(2)/25)*Calculateur!V92*Calculateur!X92*VLOOKUP('Données projet'!$B$9,Paramètres!$A$1:$I$89,3,0)*0.475*44/12</f>
        <v>30.57673430413848</v>
      </c>
      <c r="AB92" s="21">
        <f>EXP(-LN(2)/2)*AB91+(1-EXP(-LN(2)/2))/(LN(2)/2)*V92*Y92*VLOOKUP('Données projet'!$B$9,Paramètres!$A$1:$I$89,3,0)*0.475*44/12</f>
        <v>0.47660951756296127</v>
      </c>
      <c r="AC92" s="22">
        <f t="shared" si="57"/>
        <v>59.756612843381383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66.998065522427751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11.905555555555553</v>
      </c>
      <c r="AI92" s="13">
        <f>IF('Données projet'!$A$62&gt;35,AI91+AH92-AQ91,IF(A92&lt;'Données projet'!$A$62,$AF$205^A92,IF(A92='Données projet'!$A$62,'Données projet'!$B$62,AI91+AH92-AQ91)))</f>
        <v>441.12444444444429</v>
      </c>
      <c r="AJ92" s="13">
        <f>AI92*VLOOKUP('Données projet'!$B$10,Paramètres!$A$1:$I$89,3,0)*VLOOKUP('Données projet'!$B$10,Paramètres!$A$1:$I$89,5,0)</f>
        <v>371.60323199999993</v>
      </c>
      <c r="AK92" s="13">
        <f t="shared" si="89"/>
        <v>85.995216793877105</v>
      </c>
      <c r="AL92" s="20">
        <f t="shared" si="58"/>
        <v>796.98396498266914</v>
      </c>
      <c r="AM92" s="59">
        <f t="shared" si="59"/>
        <v>1079.3102052315708</v>
      </c>
      <c r="AN92" s="59">
        <f ca="1">AVERAGE(OFFSET($AM$3,0,0,'Données projet'!$E$10+1,1))-AVERAGE(OFFSET($H$3,0,0,'Données projet'!$E$10+1,1))</f>
        <v>442.79037205372367</v>
      </c>
      <c r="AO92" s="59">
        <f t="shared" si="90"/>
        <v>288.23553637727969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37.484119279069233</v>
      </c>
      <c r="AV92" s="21">
        <f>EXP(-LN(2)/25)*AV91+(1-EXP(-LN(2)/25))/(LN(2)/25)*Calculateur!AQ92*Calculateur!AS92*VLOOKUP('Données projet'!$B$10,Paramètres!$A$1:$I$89,3,0)*0.475*44/12</f>
        <v>23.37140165453263</v>
      </c>
      <c r="AW92" s="21">
        <f>EXP(-LN(2)/2)*AW91+(1-EXP(-LN(2)/2))/(LN(2)/2)*AQ92*AT92*VLOOKUP('Données projet'!$B$10,Paramètres!$A$1:$I$89,3,0)*0.475*44/12</f>
        <v>1.571467332714243E-2</v>
      </c>
      <c r="AX92" s="21">
        <f t="shared" si="60"/>
        <v>60.871235606929005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66.998065522427751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6.7600000000000007</v>
      </c>
      <c r="BD92" s="12">
        <f>IF('Données projet'!$A$88&gt;35,BD91+BC92-BL91,IF(A92&lt;'Données projet'!$A$88,$BA$205^A92,IF(A92='Données projet'!$A$88,'Données projet'!$B$88,BD91+BC92-BL91)))</f>
        <v>212.00999999999993</v>
      </c>
      <c r="BE92" s="13">
        <f>BD92*VLOOKUP('Données projet'!$B$11,Paramètres!$A$1:$I$89,3,0)*VLOOKUP('Données projet'!$B$11,Paramètres!$A$1:$I$89,5,0)</f>
        <v>214.97813999999997</v>
      </c>
      <c r="BF92" s="13">
        <f t="shared" si="91"/>
        <v>53.021946755647264</v>
      </c>
      <c r="BG92" s="20">
        <f t="shared" si="61"/>
        <v>466.76681776608552</v>
      </c>
      <c r="BH92" s="59">
        <f t="shared" si="62"/>
        <v>749.09305801498726</v>
      </c>
      <c r="BI92" s="59">
        <f ca="1">AVERAGE(OFFSET($BH$3,0,0,'Données projet'!$E$11+1,1))-AVERAGE(OFFSET($H$3,0,0,'Données projet'!$E$11+1,1))</f>
        <v>559.91818701710872</v>
      </c>
      <c r="BJ92" s="59">
        <f t="shared" si="92"/>
        <v>273.47272623465915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5.9677862920372542</v>
      </c>
      <c r="BQ92" s="21">
        <f>EXP(-LN(2)/25)*BQ91+(1-EXP(-LN(2)/25))/(LN(2)/25)*Calculateur!BL92*Calculateur!BN92*VLOOKUP('Données projet'!$B$11,Paramètres!$A$1:$I$89,3,0)*0.475*44/12</f>
        <v>34.505117900734383</v>
      </c>
      <c r="BR92" s="21">
        <f>EXP(-LN(2)/2)*BR91+(1-EXP(-LN(2)/2))/(LN(2)/2)*BL92*BO92*VLOOKUP('Données projet'!$B$11,Paramètres!$A$1:$I$89,3,0)*0.475*44/12</f>
        <v>1.3798129841829077</v>
      </c>
      <c r="BS92" s="22">
        <f t="shared" si="63"/>
        <v>41.852717176954542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66.998065522427751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-1.1368683772161603E-13</v>
      </c>
      <c r="BZ92" s="13">
        <f>BY92*VLOOKUP('Données projet'!$B$12,Paramètres!$A$1:$I$89,3,0)*VLOOKUP('Données projet'!$B$12,Paramètres!$A$1:$I$89,5,0)</f>
        <v>-8.8675733422860506E-14</v>
      </c>
      <c r="CA92" s="13" t="e">
        <f t="shared" si="93"/>
        <v>#NUM!</v>
      </c>
      <c r="CB92" s="20" t="e">
        <f t="shared" si="64"/>
        <v>#NUM!</v>
      </c>
      <c r="CC92" s="59" t="e">
        <f t="shared" si="65"/>
        <v>#NUM!</v>
      </c>
      <c r="CD92" s="59">
        <f ca="1">AVERAGE(OFFSET($CC$3,0,0,'Données projet'!$E$12+1,1))-AVERAGE(OFFSET($H$3,0,0,'Données projet'!$E$12+1,1))</f>
        <v>208.92677786250815</v>
      </c>
      <c r="CE92" s="59">
        <f t="shared" si="94"/>
        <v>207.54290142772214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18.548652965366369</v>
      </c>
      <c r="CL92" s="21">
        <f>EXP(-LN(2)/25)*CL91+(1-EXP(-LN(2)/25))/(LN(2)/25)*Calculateur!CG92*Calculateur!CI92*VLOOKUP('Données projet'!$B$12,Paramètres!$A$1:$I$89,3,0)*0.475*44/12</f>
        <v>15.586651868613027</v>
      </c>
      <c r="CM92" s="21">
        <f>EXP(-LN(2)/2)*CM91+(1-EXP(-LN(2)/2))/(LN(2)/2)*CG92*CJ92*VLOOKUP('Données projet'!$B$12,Paramètres!$A$1:$I$89,3,0)*0.475*44/12</f>
        <v>3.8033366920374734E-2</v>
      </c>
      <c r="CN92" s="22">
        <f t="shared" si="66"/>
        <v>34.173338200899771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66.998065522427751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9.2740000000000009</v>
      </c>
      <c r="CT92" s="12">
        <f>IF('Données projet'!$A$140&gt;35,CT91+CS92-DB91,IF(A92&lt;'Données projet'!$A$140,$CQ$205^A92,IF(A92='Données projet'!$A$140,'Données projet'!$B$140,CT91+CS92-DB91)))</f>
        <v>311.77399999999989</v>
      </c>
      <c r="CU92" s="17">
        <f>CT92*VLOOKUP('Données projet'!$B$13,Paramètres!$A$1:$I$89,3,0)*VLOOKUP('Données projet'!$B$13,Paramètres!$A$1:$I$89,5,0)</f>
        <v>296.68413839999988</v>
      </c>
      <c r="CV92" s="13">
        <f t="shared" si="95"/>
        <v>70.480882508102439</v>
      </c>
      <c r="CW92" s="20">
        <f t="shared" si="67"/>
        <v>639.47907808161142</v>
      </c>
      <c r="CX92" s="59">
        <f t="shared" si="68"/>
        <v>921.80531833051316</v>
      </c>
      <c r="CY92" s="59">
        <f ca="1">AVERAGE(OFFSET($CX$3,0,0,'Données projet'!$E$13+1,1))-AVERAGE(OFFSET($H$3,0,0,'Données projet'!$E$13+1,1))</f>
        <v>470.42022791389275</v>
      </c>
      <c r="CZ92" s="59">
        <f t="shared" si="96"/>
        <v>300.26117330627346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16.884158114528795</v>
      </c>
      <c r="DG92" s="21">
        <f>EXP(-LN(2)/25)*DG91+(1-EXP(-LN(2)/25))/(LN(2)/25)*Calculateur!DB92*Calculateur!DD92*VLOOKUP('Données projet'!$B$13,Paramètres!$A$1:$I$89,3,0)*0.475*44/12</f>
        <v>17.886069326017417</v>
      </c>
      <c r="DH92" s="21">
        <f>EXP(-LN(2)/2)*DH91+(1-EXP(-LN(2)/2))/(LN(2)/2)*DB92*DE92*VLOOKUP('Données projet'!$B$13,Paramètres!$A$1:$I$89,3,0)*0.475*44/12</f>
        <v>1.4836429614182089</v>
      </c>
      <c r="DI92" s="22">
        <f t="shared" si="69"/>
        <v>36.25387040196442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66.998065522427751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6.7600000000000007</v>
      </c>
      <c r="DO92" s="12">
        <f>IF('Données projet'!$A$166&gt;35,DO91+DN92-DW91,IF(A92&lt;'Données projet'!$A$166,$DL$205^A92,IF(A92='Données projet'!$A$166,'Données projet'!$B$166,DO91+DN92-DW91)))</f>
        <v>212.00999999999993</v>
      </c>
      <c r="DP92" s="17">
        <f>DO92*VLOOKUP('Données projet'!$B$14,Paramètres!$A$1:$I$89,3,0)*VLOOKUP('Données projet'!$B$14,Paramètres!$A$1:$I$89,5,0)</f>
        <v>205.05607199999992</v>
      </c>
      <c r="DQ92" s="13">
        <f t="shared" si="97"/>
        <v>50.853719611219461</v>
      </c>
      <c r="DR92" s="20">
        <f t="shared" si="70"/>
        <v>445.70955372287375</v>
      </c>
      <c r="DS92" s="59">
        <f t="shared" si="71"/>
        <v>728.03579397177555</v>
      </c>
      <c r="DT92" s="59">
        <f ca="1">AVERAGE(OFFSET($DS$3,0,0,'Données projet'!$E$14+1,1))-AVERAGE(OFFSET($H$3,0,0,'Données projet'!$E$14+1,1))</f>
        <v>537.37164071064103</v>
      </c>
      <c r="DU92" s="59">
        <f t="shared" si="98"/>
        <v>263.29777321132235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4.0659642868825241</v>
      </c>
      <c r="EB92" s="21">
        <f>EXP(-LN(2)/25)*EB91+(1-EXP(-LN(2)/25))/(LN(2)/25)*Calculateur!DW92*Calculateur!DY92*VLOOKUP('Données projet'!$B$14,Paramètres!$A$1:$I$89,3,0)*0.475*44/12</f>
        <v>13.251311116621588</v>
      </c>
      <c r="EC92" s="21">
        <f>EXP(-LN(2)/2)*EC91+(1-EXP(-LN(2)/2))/(LN(2)/2)*DW92*DZ92*VLOOKUP('Données projet'!$B$14,Paramètres!$A$1:$I$89,3,0)*0.475*44/12</f>
        <v>3.1591755573490157</v>
      </c>
      <c r="ED92" s="22">
        <f t="shared" si="72"/>
        <v>20.476450960853128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66.998065522427751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66.998065522427751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66.998065522427751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66.998065522427751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45">
      <c r="A93" s="10">
        <f t="shared" si="85"/>
        <v>90</v>
      </c>
      <c r="B93" s="73">
        <f>'Scénario référence'!$B$16*5+'Scénario référence'!$B$17*0+'Scénario référence'!$B$18*5</f>
        <v>2.8499999999999996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10.449999999999998</v>
      </c>
      <c r="H93" s="67">
        <f t="shared" si="56"/>
        <v>214.86666666666667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67.050142374293571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471.37</v>
      </c>
      <c r="L93" s="12">
        <f>VLOOKUP(A93,'Données projet'!$A$35:$I$55,9,0)</f>
        <v>11.667500000000004</v>
      </c>
      <c r="M93" s="12">
        <f t="array" ref="M93">INDEX(L:L,MIN(IF(ISNUMBER(L93:L289),ROW(L93:L289),"")))</f>
        <v>11.667500000000004</v>
      </c>
      <c r="N93" s="13">
        <f>IF('Données projet'!$A$36&gt;35,N92+M93-V92,IF(A93&lt;'Données projet'!$A$36,$K$205^A93,IF(A93='Données projet'!$A$36,'Données projet'!$B$36,N92+M93-V92)))</f>
        <v>471.37000000000006</v>
      </c>
      <c r="O93" s="13">
        <f>N93*VLOOKUP('Données projet'!$B$9,Paramètres!$A$1:$I$89,3,0)*VLOOKUP('Données projet'!$B$9,Paramètres!$A$1:$I$89,5,0)</f>
        <v>426.49557600000003</v>
      </c>
      <c r="P93" s="13">
        <f t="shared" si="87"/>
        <v>97.128021924116638</v>
      </c>
      <c r="Q93" s="20">
        <f t="shared" si="54"/>
        <v>911.9777663845033</v>
      </c>
      <c r="R93" s="59">
        <f t="shared" si="55"/>
        <v>1194.4949550902463</v>
      </c>
      <c r="S93" s="59">
        <f ca="1">AVERAGE(OFFSET($R$3,0,0,'Données projet'!$E$9+1,1))-AVERAGE(OFFSET($H$3,0,0,'Données projet'!$E$9+1,1))</f>
        <v>719.20816951277925</v>
      </c>
      <c r="T93" s="59">
        <f t="shared" si="88"/>
        <v>237.1127421841087</v>
      </c>
      <c r="U93" s="15">
        <f>IF(ISNA(VLOOKUP(A93,'Données projet'!$A$35:$I$55,3,0)),0,VLOOKUP(A93,'Données projet'!$A$35:$I$55,3,0))</f>
        <v>8</v>
      </c>
      <c r="V93" s="15">
        <f>IF(ISNA(VLOOKUP(A93,'Données projet'!$A$35:$I$55,4,0)),0,VLOOKUP(A93,'Données projet'!$A$35:$I$55,4,0))</f>
        <v>68.54000000000002</v>
      </c>
      <c r="W93" s="16">
        <f>IF(ISNA(VLOOKUP(A93,'Données projet'!$A$35:$I$55,5,0)),0%,VLOOKUP(A93,'Données projet'!$A$35:$I$55,5,0)*VLOOKUP('Données projet'!$B$9,Paramètres!$A$1:$I$89,7,0))</f>
        <v>0.15049999999999999</v>
      </c>
      <c r="X93" s="16">
        <f>IF(ISNA(VLOOKUP(A93,'Données projet'!$A$35:$I$55,6,0)),0%,VLOOKUP(A93,'Données projet'!$A$35:$I$55,6,0)*VLOOKUP('Données projet'!$B$9,Paramètres!$A$1:$I$89,7,0))</f>
        <v>8.6000000000000007E-2</v>
      </c>
      <c r="Y93" s="16">
        <f>IF(ISNA(VLOOKUP(A93,'Données projet'!$A$35:$I$55,7,0)),0%,VLOOKUP(A93,'Données projet'!$A$35:$I$55,7,0))</f>
        <v>0.1</v>
      </c>
      <c r="Z93" s="21">
        <f>EXP(-LN(2)/35)*Z92+(1-EXP(-LN(2)/35))/(LN(2)/35)*V93*W93*VLOOKUP('Données projet'!$B$9,Paramètres!$A$1:$I$89,3,0)*0.475*44/12</f>
        <v>38.458053803247623</v>
      </c>
      <c r="AA93" s="21">
        <f>EXP(-LN(2)/25)*AA92+(1-EXP(-LN(2)/25))/(LN(2)/25)*Calculateur!V93*Calculateur!X93*VLOOKUP('Données projet'!$B$9,Paramètres!$A$1:$I$89,3,0)*0.475*44/12</f>
        <v>35.61319127159561</v>
      </c>
      <c r="AB93" s="21">
        <f>EXP(-LN(2)/2)*AB92+(1-EXP(-LN(2)/2))/(LN(2)/2)*V93*Y93*VLOOKUP('Données projet'!$B$9,Paramètres!$A$1:$I$89,3,0)*0.475*44/12</f>
        <v>6.1882952279506034</v>
      </c>
      <c r="AC93" s="22">
        <f t="shared" si="57"/>
        <v>80.259540302793837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67.050142374293571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453.03</v>
      </c>
      <c r="AG93" s="12">
        <f>VLOOKUP(A93,'Données projet'!$A$61:$I$81,9,0)</f>
        <v>11.905555555555553</v>
      </c>
      <c r="AH93" s="12">
        <f t="array" ref="AH93">INDEX(AG:AG,MIN(IF(ISNUMBER(AG93:AG289),ROW(AG93:AG289),"")))</f>
        <v>11.905555555555553</v>
      </c>
      <c r="AI93" s="13">
        <f>IF('Données projet'!$A$62&gt;35,AI92+AH93-AQ92,IF(A93&lt;'Données projet'!$A$62,$AF$205^A93,IF(A93='Données projet'!$A$62,'Données projet'!$B$62,AI92+AH93-AQ92)))</f>
        <v>453.02999999999986</v>
      </c>
      <c r="AJ93" s="13">
        <f>AI93*VLOOKUP('Données projet'!$B$10,Paramètres!$A$1:$I$89,3,0)*VLOOKUP('Données projet'!$B$10,Paramètres!$A$1:$I$89,5,0)</f>
        <v>381.63247199999995</v>
      </c>
      <c r="AK93" s="13">
        <f t="shared" si="89"/>
        <v>88.042804903030387</v>
      </c>
      <c r="AL93" s="20">
        <f t="shared" si="58"/>
        <v>818.01777393944451</v>
      </c>
      <c r="AM93" s="59">
        <f t="shared" si="59"/>
        <v>1100.5349626451875</v>
      </c>
      <c r="AN93" s="59">
        <f ca="1">AVERAGE(OFFSET($AM$3,0,0,'Données projet'!$E$10+1,1))-AVERAGE(OFFSET($H$3,0,0,'Données projet'!$E$10+1,1))</f>
        <v>442.79037205372367</v>
      </c>
      <c r="AO93" s="59">
        <f t="shared" si="90"/>
        <v>288.23553637727969</v>
      </c>
      <c r="AP93" s="15">
        <f>IF(ISNA(VLOOKUP(A93,'Données projet'!$A$61:$I$81,3,0)),0,VLOOKUP(A93,'Données projet'!$A$61:$I$81,3,0))</f>
        <v>9</v>
      </c>
      <c r="AQ93" s="15">
        <f>IF(ISNA(VLOOKUP(A93,'Données projet'!$A$61:$I$81,4,0)),0,VLOOKUP(A93,'Données projet'!$A$61:$I$81,4,0))</f>
        <v>88.75</v>
      </c>
      <c r="AR93" s="16">
        <f>IF(ISNA(VLOOKUP(A93,'Données projet'!$A$61:$I$81,5,0)),0%,VLOOKUP(A93,'Données projet'!$A$61:$I$81,5,0)*VLOOKUP('Données projet'!$B$10,Paramètres!$A$1:$I$89,7,0))</f>
        <v>0.215</v>
      </c>
      <c r="AS93" s="16">
        <f>IF(ISNA(VLOOKUP(A93,'Données projet'!$A$61:$I$81,6,0)),0%,VLOOKUP(A93,'Données projet'!$A$61:$I$81,6,0)*VLOOKUP('Données projet'!$B$10,Paramètres!$A$1:$I$89,7,0))</f>
        <v>8.6000000000000007E-2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54.518459189841622</v>
      </c>
      <c r="AV93" s="21">
        <f>EXP(-LN(2)/25)*AV92+(1-EXP(-LN(2)/25))/(LN(2)/25)*Calculateur!AQ93*Calculateur!AS93*VLOOKUP('Données projet'!$B$10,Paramètres!$A$1:$I$89,3,0)*0.475*44/12</f>
        <v>29.812075769075744</v>
      </c>
      <c r="AW93" s="21">
        <f>EXP(-LN(2)/2)*AW92+(1-EXP(-LN(2)/2))/(LN(2)/2)*AQ93*AT93*VLOOKUP('Données projet'!$B$10,Paramètres!$A$1:$I$89,3,0)*0.475*44/12</f>
        <v>1.1111952073753777E-2</v>
      </c>
      <c r="AX93" s="21">
        <f t="shared" si="60"/>
        <v>84.341646910991116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67.050142374293571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6.7600000000000007</v>
      </c>
      <c r="BD93" s="12">
        <f>IF('Données projet'!$A$88&gt;35,BD92+BC93-BL92,IF(A93&lt;'Données projet'!$A$88,$BA$205^A93,IF(A93='Données projet'!$A$88,'Données projet'!$B$88,BD92+BC93-BL92)))</f>
        <v>218.76999999999992</v>
      </c>
      <c r="BE93" s="13">
        <f>BD93*VLOOKUP('Données projet'!$B$11,Paramètres!$A$1:$I$89,3,0)*VLOOKUP('Données projet'!$B$11,Paramètres!$A$1:$I$89,5,0)</f>
        <v>221.83277999999993</v>
      </c>
      <c r="BF93" s="13">
        <f t="shared" si="91"/>
        <v>54.513038854982973</v>
      </c>
      <c r="BG93" s="20">
        <f t="shared" si="61"/>
        <v>481.30230117242854</v>
      </c>
      <c r="BH93" s="59">
        <f t="shared" si="62"/>
        <v>763.81948987817168</v>
      </c>
      <c r="BI93" s="59">
        <f ca="1">AVERAGE(OFFSET($BH$3,0,0,'Données projet'!$E$11+1,1))-AVERAGE(OFFSET($H$3,0,0,'Données projet'!$E$11+1,1))</f>
        <v>559.91818701710872</v>
      </c>
      <c r="BJ93" s="59">
        <f t="shared" si="92"/>
        <v>273.47272623465915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5.8507616428406228</v>
      </c>
      <c r="BQ93" s="21">
        <f>EXP(-LN(2)/25)*BQ92+(1-EXP(-LN(2)/25))/(LN(2)/25)*Calculateur!BL93*Calculateur!BN93*VLOOKUP('Données projet'!$B$11,Paramètres!$A$1:$I$89,3,0)*0.475*44/12</f>
        <v>33.561573637193511</v>
      </c>
      <c r="BR93" s="21">
        <f>EXP(-LN(2)/2)*BR92+(1-EXP(-LN(2)/2))/(LN(2)/2)*BL93*BO93*VLOOKUP('Données projet'!$B$11,Paramètres!$A$1:$I$89,3,0)*0.475*44/12</f>
        <v>0.97567511788498051</v>
      </c>
      <c r="BS93" s="22">
        <f t="shared" si="63"/>
        <v>40.388010397919118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67.050142374293571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-1.1368683772161603E-13</v>
      </c>
      <c r="BZ93" s="13">
        <f>BY93*VLOOKUP('Données projet'!$B$12,Paramètres!$A$1:$I$89,3,0)*VLOOKUP('Données projet'!$B$12,Paramètres!$A$1:$I$89,5,0)</f>
        <v>-8.8675733422860506E-14</v>
      </c>
      <c r="CA93" s="13" t="e">
        <f t="shared" si="93"/>
        <v>#NUM!</v>
      </c>
      <c r="CB93" s="20" t="e">
        <f t="shared" si="64"/>
        <v>#NUM!</v>
      </c>
      <c r="CC93" s="59" t="e">
        <f t="shared" si="65"/>
        <v>#NUM!</v>
      </c>
      <c r="CD93" s="59">
        <f ca="1">AVERAGE(OFFSET($CC$3,0,0,'Données projet'!$E$12+1,1))-AVERAGE(OFFSET($H$3,0,0,'Données projet'!$E$12+1,1))</f>
        <v>208.92677786250815</v>
      </c>
      <c r="CE93" s="59">
        <f t="shared" si="94"/>
        <v>207.54290142772214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18.184925194276722</v>
      </c>
      <c r="CL93" s="21">
        <f>EXP(-LN(2)/25)*CL92+(1-EXP(-LN(2)/25))/(LN(2)/25)*Calculateur!CG93*Calculateur!CI93*VLOOKUP('Données projet'!$B$12,Paramètres!$A$1:$I$89,3,0)*0.475*44/12</f>
        <v>15.160434053599406</v>
      </c>
      <c r="CM93" s="21">
        <f>EXP(-LN(2)/2)*CM92+(1-EXP(-LN(2)/2))/(LN(2)/2)*CG93*CJ93*VLOOKUP('Données projet'!$B$12,Paramètres!$A$1:$I$89,3,0)*0.475*44/12</f>
        <v>2.6893651660753092E-2</v>
      </c>
      <c r="CN93" s="22">
        <f t="shared" si="66"/>
        <v>33.372252899536882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67.050142374293571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9.2740000000000009</v>
      </c>
      <c r="CT93" s="12">
        <f>IF('Données projet'!$A$140&gt;35,CT92+CS93-DB92,IF(A93&lt;'Données projet'!$A$140,$CQ$205^A93,IF(A93='Données projet'!$A$140,'Données projet'!$B$140,CT92+CS93-DB92)))</f>
        <v>321.04799999999989</v>
      </c>
      <c r="CU93" s="17">
        <f>CT93*VLOOKUP('Données projet'!$B$13,Paramètres!$A$1:$I$89,3,0)*VLOOKUP('Données projet'!$B$13,Paramètres!$A$1:$I$89,5,0)</f>
        <v>305.5092767999999</v>
      </c>
      <c r="CV93" s="13">
        <f t="shared" si="95"/>
        <v>72.330193444868527</v>
      </c>
      <c r="CW93" s="20">
        <f t="shared" si="67"/>
        <v>658.07041067647913</v>
      </c>
      <c r="CX93" s="59">
        <f t="shared" si="68"/>
        <v>940.58759938222215</v>
      </c>
      <c r="CY93" s="59">
        <f ca="1">AVERAGE(OFFSET($CX$3,0,0,'Données projet'!$E$13+1,1))-AVERAGE(OFFSET($H$3,0,0,'Données projet'!$E$13+1,1))</f>
        <v>470.42022791389275</v>
      </c>
      <c r="CZ93" s="59">
        <f t="shared" si="96"/>
        <v>300.26117330627346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16.553070072222461</v>
      </c>
      <c r="DG93" s="21">
        <f>EXP(-LN(2)/25)*DG92+(1-EXP(-LN(2)/25))/(LN(2)/25)*Calculateur!DB93*Calculateur!DD93*VLOOKUP('Données projet'!$B$13,Paramètres!$A$1:$I$89,3,0)*0.475*44/12</f>
        <v>17.396973819709963</v>
      </c>
      <c r="DH93" s="21">
        <f>EXP(-LN(2)/2)*DH92+(1-EXP(-LN(2)/2))/(LN(2)/2)*DB93*DE93*VLOOKUP('Données projet'!$B$13,Paramètres!$A$1:$I$89,3,0)*0.475*44/12</f>
        <v>1.0490939988785069</v>
      </c>
      <c r="DI93" s="22">
        <f t="shared" si="69"/>
        <v>34.999137890810928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67.050142374293571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6.7600000000000007</v>
      </c>
      <c r="DO93" s="12">
        <f>IF('Données projet'!$A$166&gt;35,DO92+DN93-DW92,IF(A93&lt;'Données projet'!$A$166,$DL$205^A93,IF(A93='Données projet'!$A$166,'Données projet'!$B$166,DO92+DN93-DW92)))</f>
        <v>218.76999999999992</v>
      </c>
      <c r="DP93" s="17">
        <f>DO93*VLOOKUP('Données projet'!$B$14,Paramètres!$A$1:$I$89,3,0)*VLOOKUP('Données projet'!$B$14,Paramètres!$A$1:$I$89,5,0)</f>
        <v>211.59434399999995</v>
      </c>
      <c r="DQ93" s="13">
        <f t="shared" si="97"/>
        <v>52.283836462333554</v>
      </c>
      <c r="DR93" s="20">
        <f t="shared" si="70"/>
        <v>459.58783097189752</v>
      </c>
      <c r="DS93" s="59">
        <f t="shared" si="71"/>
        <v>742.1050196776406</v>
      </c>
      <c r="DT93" s="59">
        <f ca="1">AVERAGE(OFFSET($DS$3,0,0,'Données projet'!$E$14+1,1))-AVERAGE(OFFSET($H$3,0,0,'Données projet'!$E$14+1,1))</f>
        <v>537.37164071064103</v>
      </c>
      <c r="DU93" s="59">
        <f t="shared" si="98"/>
        <v>263.29777321132235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3.9862332072100939</v>
      </c>
      <c r="EB93" s="21">
        <f>EXP(-LN(2)/25)*EB92+(1-EXP(-LN(2)/25))/(LN(2)/25)*Calculateur!DW93*Calculateur!DY93*VLOOKUP('Données projet'!$B$14,Paramètres!$A$1:$I$89,3,0)*0.475*44/12</f>
        <v>12.888953317281405</v>
      </c>
      <c r="EC93" s="21">
        <f>EXP(-LN(2)/2)*EC92+(1-EXP(-LN(2)/2))/(LN(2)/2)*DW93*DZ93*VLOOKUP('Données projet'!$B$14,Paramètres!$A$1:$I$89,3,0)*0.475*44/12</f>
        <v>2.2338744595602797</v>
      </c>
      <c r="ED93" s="22">
        <f t="shared" si="72"/>
        <v>19.10906098405178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67.050142374293571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67.050142374293571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67.050142374293571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67.050142374293571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45">
      <c r="A94" s="10">
        <f t="shared" si="85"/>
        <v>91</v>
      </c>
      <c r="B94" s="73">
        <f>'Scénario référence'!$B$16*5+'Scénario référence'!$B$17*0+'Scénario référence'!$B$18*5</f>
        <v>2.8499999999999996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10.449999999999998</v>
      </c>
      <c r="H94" s="67">
        <f t="shared" si="56"/>
        <v>214.86666666666667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67.101315809205914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11.283999999999997</v>
      </c>
      <c r="N94" s="13">
        <f>IF('Données projet'!$A$36&gt;35,N93+M94-V93,IF(A94&lt;'Données projet'!$A$36,$K$205^A94,IF(A94='Données projet'!$A$36,'Données projet'!$B$36,N93+M94-V93)))</f>
        <v>414.11400000000003</v>
      </c>
      <c r="O94" s="13">
        <f>N94*VLOOKUP('Données projet'!$B$9,Paramètres!$A$1:$I$89,3,0)*VLOOKUP('Données projet'!$B$9,Paramètres!$A$1:$I$89,5,0)</f>
        <v>374.69034720000002</v>
      </c>
      <c r="P94" s="13">
        <f t="shared" si="87"/>
        <v>86.626165379177522</v>
      </c>
      <c r="Q94" s="20">
        <f t="shared" si="54"/>
        <v>803.45959274206746</v>
      </c>
      <c r="R94" s="59">
        <f t="shared" si="55"/>
        <v>1086.1644173758225</v>
      </c>
      <c r="S94" s="59">
        <f ca="1">AVERAGE(OFFSET($R$3,0,0,'Données projet'!$E$9+1,1))-AVERAGE(OFFSET($H$3,0,0,'Données projet'!$E$9+1,1))</f>
        <v>719.20816951277925</v>
      </c>
      <c r="T94" s="59">
        <f t="shared" si="88"/>
        <v>237.1127421841087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37.703914825262558</v>
      </c>
      <c r="AA94" s="21">
        <f>EXP(-LN(2)/25)*AA93+(1-EXP(-LN(2)/25))/(LN(2)/25)*Calculateur!V94*Calculateur!X94*VLOOKUP('Données projet'!$B$9,Paramètres!$A$1:$I$89,3,0)*0.475*44/12</f>
        <v>34.639346683457497</v>
      </c>
      <c r="AB94" s="21">
        <f>EXP(-LN(2)/2)*AB93+(1-EXP(-LN(2)/2))/(LN(2)/2)*V94*Y94*VLOOKUP('Données projet'!$B$9,Paramètres!$A$1:$I$89,3,0)*0.475*44/12</f>
        <v>4.3757855196682236</v>
      </c>
      <c r="AC94" s="22">
        <f t="shared" si="57"/>
        <v>76.719047028388275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67.101315809205914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11.216666666666672</v>
      </c>
      <c r="AI94" s="13">
        <f>IF('Données projet'!$A$62&gt;35,AI93+AH94-AQ93,IF(A94&lt;'Données projet'!$A$62,$AF$205^A94,IF(A94='Données projet'!$A$62,'Données projet'!$B$62,AI93+AH94-AQ93)))</f>
        <v>375.49666666666656</v>
      </c>
      <c r="AJ94" s="13">
        <f>AI94*VLOOKUP('Données projet'!$B$10,Paramètres!$A$1:$I$89,3,0)*VLOOKUP('Données projet'!$B$10,Paramètres!$A$1:$I$89,5,0)</f>
        <v>316.31839199999996</v>
      </c>
      <c r="AK94" s="13">
        <f t="shared" si="89"/>
        <v>74.586808381726854</v>
      </c>
      <c r="AL94" s="20">
        <f t="shared" si="58"/>
        <v>680.82655733150739</v>
      </c>
      <c r="AM94" s="59">
        <f t="shared" si="59"/>
        <v>963.53138196526243</v>
      </c>
      <c r="AN94" s="59">
        <f ca="1">AVERAGE(OFFSET($AM$3,0,0,'Données projet'!$E$10+1,1))-AVERAGE(OFFSET($H$3,0,0,'Données projet'!$E$10+1,1))</f>
        <v>442.79037205372367</v>
      </c>
      <c r="AO94" s="59">
        <f t="shared" si="90"/>
        <v>288.23553637727969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53.449385458105475</v>
      </c>
      <c r="AV94" s="21">
        <f>EXP(-LN(2)/25)*AV93+(1-EXP(-LN(2)/25))/(LN(2)/25)*Calculateur!AQ94*Calculateur!AS94*VLOOKUP('Données projet'!$B$10,Paramètres!$A$1:$I$89,3,0)*0.475*44/12</f>
        <v>28.996862989421441</v>
      </c>
      <c r="AW94" s="21">
        <f>EXP(-LN(2)/2)*AW93+(1-EXP(-LN(2)/2))/(LN(2)/2)*AQ94*AT94*VLOOKUP('Données projet'!$B$10,Paramètres!$A$1:$I$89,3,0)*0.475*44/12</f>
        <v>7.8573366635712148E-3</v>
      </c>
      <c r="AX94" s="21">
        <f t="shared" si="60"/>
        <v>82.454105784190489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67.101315809205914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6.7600000000000007</v>
      </c>
      <c r="BD94" s="12">
        <f>IF('Données projet'!$A$88&gt;35,BD93+BC94-BL93,IF(A94&lt;'Données projet'!$A$88,$BA$205^A94,IF(A94='Données projet'!$A$88,'Données projet'!$B$88,BD93+BC94-BL93)))</f>
        <v>225.52999999999992</v>
      </c>
      <c r="BE94" s="13">
        <f>BD94*VLOOKUP('Données projet'!$B$11,Paramètres!$A$1:$I$89,3,0)*VLOOKUP('Données projet'!$B$11,Paramètres!$A$1:$I$89,5,0)</f>
        <v>228.68741999999995</v>
      </c>
      <c r="BF94" s="13">
        <f t="shared" si="91"/>
        <v>55.998776581457236</v>
      </c>
      <c r="BG94" s="20">
        <f t="shared" si="61"/>
        <v>495.82845904603795</v>
      </c>
      <c r="BH94" s="59">
        <f t="shared" si="62"/>
        <v>778.53328367979293</v>
      </c>
      <c r="BI94" s="59">
        <f ca="1">AVERAGE(OFFSET($BH$3,0,0,'Données projet'!$E$11+1,1))-AVERAGE(OFFSET($H$3,0,0,'Données projet'!$E$11+1,1))</f>
        <v>559.91818701710872</v>
      </c>
      <c r="BJ94" s="59">
        <f t="shared" si="92"/>
        <v>273.47272623465915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5.7360317756367492</v>
      </c>
      <c r="BQ94" s="21">
        <f>EXP(-LN(2)/25)*BQ93+(1-EXP(-LN(2)/25))/(LN(2)/25)*Calculateur!BL94*Calculateur!BN94*VLOOKUP('Données projet'!$B$11,Paramètres!$A$1:$I$89,3,0)*0.475*44/12</f>
        <v>32.643830641158004</v>
      </c>
      <c r="BR94" s="21">
        <f>EXP(-LN(2)/2)*BR93+(1-EXP(-LN(2)/2))/(LN(2)/2)*BL94*BO94*VLOOKUP('Données projet'!$B$11,Paramètres!$A$1:$I$89,3,0)*0.475*44/12</f>
        <v>0.68990649209145394</v>
      </c>
      <c r="BS94" s="22">
        <f t="shared" si="63"/>
        <v>39.069768908886203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67.101315809205914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-1.1368683772161603E-13</v>
      </c>
      <c r="BZ94" s="13">
        <f>BY94*VLOOKUP('Données projet'!$B$12,Paramètres!$A$1:$I$89,3,0)*VLOOKUP('Données projet'!$B$12,Paramètres!$A$1:$I$89,5,0)</f>
        <v>-8.8675733422860506E-14</v>
      </c>
      <c r="CA94" s="13" t="e">
        <f t="shared" si="93"/>
        <v>#NUM!</v>
      </c>
      <c r="CB94" s="20" t="e">
        <f t="shared" si="64"/>
        <v>#NUM!</v>
      </c>
      <c r="CC94" s="59" t="e">
        <f t="shared" si="65"/>
        <v>#NUM!</v>
      </c>
      <c r="CD94" s="59">
        <f ca="1">AVERAGE(OFFSET($CC$3,0,0,'Données projet'!$E$12+1,1))-AVERAGE(OFFSET($H$3,0,0,'Données projet'!$E$12+1,1))</f>
        <v>208.92677786250815</v>
      </c>
      <c r="CE94" s="59">
        <f t="shared" si="94"/>
        <v>207.54290142772214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17.828329902926111</v>
      </c>
      <c r="CL94" s="21">
        <f>EXP(-LN(2)/25)*CL93+(1-EXP(-LN(2)/25))/(LN(2)/25)*Calculateur!CG94*Calculateur!CI94*VLOOKUP('Données projet'!$B$12,Paramètres!$A$1:$I$89,3,0)*0.475*44/12</f>
        <v>14.745871187151153</v>
      </c>
      <c r="CM94" s="21">
        <f>EXP(-LN(2)/2)*CM93+(1-EXP(-LN(2)/2))/(LN(2)/2)*CG94*CJ94*VLOOKUP('Données projet'!$B$12,Paramètres!$A$1:$I$89,3,0)*0.475*44/12</f>
        <v>1.9016683460187367E-2</v>
      </c>
      <c r="CN94" s="22">
        <f t="shared" si="66"/>
        <v>32.593217773537454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67.101315809205914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9.2740000000000009</v>
      </c>
      <c r="CT94" s="12">
        <f>IF('Données projet'!$A$140&gt;35,CT93+CS94-DB93,IF(A94&lt;'Données projet'!$A$140,$CQ$205^A94,IF(A94='Données projet'!$A$140,'Données projet'!$B$140,CT93+CS94-DB93)))</f>
        <v>330.32199999999989</v>
      </c>
      <c r="CU94" s="17">
        <f>CT94*VLOOKUP('Données projet'!$B$13,Paramètres!$A$1:$I$89,3,0)*VLOOKUP('Données projet'!$B$13,Paramètres!$A$1:$I$89,5,0)</f>
        <v>314.33441519999985</v>
      </c>
      <c r="CV94" s="13">
        <f t="shared" si="95"/>
        <v>74.173295778029868</v>
      </c>
      <c r="CW94" s="20">
        <f t="shared" si="67"/>
        <v>676.65092995340171</v>
      </c>
      <c r="CX94" s="59">
        <f t="shared" si="68"/>
        <v>959.35575458715675</v>
      </c>
      <c r="CY94" s="59">
        <f ca="1">AVERAGE(OFFSET($CX$3,0,0,'Données projet'!$E$13+1,1))-AVERAGE(OFFSET($H$3,0,0,'Données projet'!$E$13+1,1))</f>
        <v>470.42022791389275</v>
      </c>
      <c r="CZ94" s="59">
        <f t="shared" si="96"/>
        <v>300.26117330627346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16.228474464481987</v>
      </c>
      <c r="DG94" s="21">
        <f>EXP(-LN(2)/25)*DG93+(1-EXP(-LN(2)/25))/(LN(2)/25)*Calculateur!DB94*Calculateur!DD94*VLOOKUP('Données projet'!$B$13,Paramètres!$A$1:$I$89,3,0)*0.475*44/12</f>
        <v>16.921252655742901</v>
      </c>
      <c r="DH94" s="21">
        <f>EXP(-LN(2)/2)*DH93+(1-EXP(-LN(2)/2))/(LN(2)/2)*DB94*DE94*VLOOKUP('Données projet'!$B$13,Paramètres!$A$1:$I$89,3,0)*0.475*44/12</f>
        <v>0.74182148070910447</v>
      </c>
      <c r="DI94" s="22">
        <f t="shared" si="69"/>
        <v>33.891548600933994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67.101315809205914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6.7600000000000007</v>
      </c>
      <c r="DO94" s="12">
        <f>IF('Données projet'!$A$166&gt;35,DO93+DN94-DW93,IF(A94&lt;'Données projet'!$A$166,$DL$205^A94,IF(A94='Données projet'!$A$166,'Données projet'!$B$166,DO93+DN94-DW93)))</f>
        <v>225.52999999999992</v>
      </c>
      <c r="DP94" s="17">
        <f>DO94*VLOOKUP('Données projet'!$B$14,Paramètres!$A$1:$I$89,3,0)*VLOOKUP('Données projet'!$B$14,Paramètres!$A$1:$I$89,5,0)</f>
        <v>218.1326159999999</v>
      </c>
      <c r="DQ94" s="13">
        <f t="shared" si="97"/>
        <v>53.708817897023764</v>
      </c>
      <c r="DR94" s="20">
        <f t="shared" si="70"/>
        <v>473.4571640373162</v>
      </c>
      <c r="DS94" s="59">
        <f t="shared" si="71"/>
        <v>756.16198867107119</v>
      </c>
      <c r="DT94" s="59">
        <f ca="1">AVERAGE(OFFSET($DS$3,0,0,'Données projet'!$E$14+1,1))-AVERAGE(OFFSET($H$3,0,0,'Données projet'!$E$14+1,1))</f>
        <v>537.37164071064103</v>
      </c>
      <c r="DU94" s="59">
        <f t="shared" si="98"/>
        <v>263.29777321132235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3.9080656053788831</v>
      </c>
      <c r="EB94" s="21">
        <f>EXP(-LN(2)/25)*EB93+(1-EXP(-LN(2)/25))/(LN(2)/25)*Calculateur!DW94*Calculateur!DY94*VLOOKUP('Données projet'!$B$14,Paramètres!$A$1:$I$89,3,0)*0.475*44/12</f>
        <v>12.536504211019748</v>
      </c>
      <c r="EC94" s="21">
        <f>EXP(-LN(2)/2)*EC93+(1-EXP(-LN(2)/2))/(LN(2)/2)*DW94*DZ94*VLOOKUP('Données projet'!$B$14,Paramètres!$A$1:$I$89,3,0)*0.475*44/12</f>
        <v>1.5795877786745078</v>
      </c>
      <c r="ED94" s="22">
        <f t="shared" si="72"/>
        <v>18.024157595073138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67.101315809205914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67.101315809205914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67.101315809205914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67.101315809205914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45">
      <c r="A95" s="10">
        <f t="shared" si="85"/>
        <v>92</v>
      </c>
      <c r="B95" s="73">
        <f>'Scénario référence'!$B$16*5+'Scénario référence'!$B$17*0+'Scénario référence'!$B$18*5</f>
        <v>2.8499999999999996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10.449999999999998</v>
      </c>
      <c r="H95" s="67">
        <f t="shared" si="56"/>
        <v>214.86666666666667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67.151601499429191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11.283999999999997</v>
      </c>
      <c r="N95" s="13">
        <f>IF('Données projet'!$A$36&gt;35,N94+M95-V94,IF(A95&lt;'Données projet'!$A$36,$K$205^A95,IF(A95='Données projet'!$A$36,'Données projet'!$B$36,N94+M95-V94)))</f>
        <v>425.39800000000002</v>
      </c>
      <c r="O95" s="13">
        <f>N95*VLOOKUP('Données projet'!$B$9,Paramètres!$A$1:$I$89,3,0)*VLOOKUP('Données projet'!$B$9,Paramètres!$A$1:$I$89,5,0)</f>
        <v>384.90011040000002</v>
      </c>
      <c r="P95" s="13">
        <f t="shared" si="87"/>
        <v>88.708572204563708</v>
      </c>
      <c r="Q95" s="20">
        <f t="shared" si="54"/>
        <v>824.86845553628189</v>
      </c>
      <c r="R95" s="59">
        <f t="shared" si="55"/>
        <v>1107.7576610341889</v>
      </c>
      <c r="S95" s="59">
        <f ca="1">AVERAGE(OFFSET($R$3,0,0,'Données projet'!$E$9+1,1))-AVERAGE(OFFSET($H$3,0,0,'Données projet'!$E$9+1,1))</f>
        <v>719.20816951277925</v>
      </c>
      <c r="T95" s="59">
        <f t="shared" si="88"/>
        <v>237.1127421841087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36.964564052656428</v>
      </c>
      <c r="AA95" s="21">
        <f>EXP(-LN(2)/25)*AA94+(1-EXP(-LN(2)/25))/(LN(2)/25)*Calculateur!V95*Calculateur!X95*VLOOKUP('Données projet'!$B$9,Paramètres!$A$1:$I$89,3,0)*0.475*44/12</f>
        <v>33.692131926794282</v>
      </c>
      <c r="AB95" s="21">
        <f>EXP(-LN(2)/2)*AB94+(1-EXP(-LN(2)/2))/(LN(2)/2)*V95*Y95*VLOOKUP('Données projet'!$B$9,Paramètres!$A$1:$I$89,3,0)*0.475*44/12</f>
        <v>3.0941476139753021</v>
      </c>
      <c r="AC95" s="22">
        <f t="shared" si="57"/>
        <v>73.750843593426026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67.151601499429191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11.216666666666672</v>
      </c>
      <c r="AI95" s="13">
        <f>IF('Données projet'!$A$62&gt;35,AI94+AH95-AQ94,IF(A95&lt;'Données projet'!$A$62,$AF$205^A95,IF(A95='Données projet'!$A$62,'Données projet'!$B$62,AI94+AH95-AQ94)))</f>
        <v>386.71333333333325</v>
      </c>
      <c r="AJ95" s="13">
        <f>AI95*VLOOKUP('Données projet'!$B$10,Paramètres!$A$1:$I$89,3,0)*VLOOKUP('Données projet'!$B$10,Paramètres!$A$1:$I$89,5,0)</f>
        <v>325.76731199999995</v>
      </c>
      <c r="AK95" s="13">
        <f t="shared" si="89"/>
        <v>76.552104731116984</v>
      </c>
      <c r="AL95" s="20">
        <f t="shared" si="58"/>
        <v>700.70631747336199</v>
      </c>
      <c r="AM95" s="59">
        <f t="shared" si="59"/>
        <v>983.59552297126902</v>
      </c>
      <c r="AN95" s="59">
        <f ca="1">AVERAGE(OFFSET($AM$3,0,0,'Données projet'!$E$10+1,1))-AVERAGE(OFFSET($H$3,0,0,'Données projet'!$E$10+1,1))</f>
        <v>442.79037205372367</v>
      </c>
      <c r="AO95" s="59">
        <f t="shared" si="90"/>
        <v>288.23553637727969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52.401275610178082</v>
      </c>
      <c r="AV95" s="21">
        <f>EXP(-LN(2)/25)*AV94+(1-EXP(-LN(2)/25))/(LN(2)/25)*Calculateur!AQ95*Calculateur!AS95*VLOOKUP('Données projet'!$B$10,Paramètres!$A$1:$I$89,3,0)*0.475*44/12</f>
        <v>28.203942246096961</v>
      </c>
      <c r="AW95" s="21">
        <f>EXP(-LN(2)/2)*AW94+(1-EXP(-LN(2)/2))/(LN(2)/2)*AQ95*AT95*VLOOKUP('Données projet'!$B$10,Paramètres!$A$1:$I$89,3,0)*0.475*44/12</f>
        <v>5.5559760368768885E-3</v>
      </c>
      <c r="AX95" s="21">
        <f t="shared" si="60"/>
        <v>80.610773832311921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67.151601499429191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6.7600000000000007</v>
      </c>
      <c r="BD95" s="12">
        <f>IF('Données projet'!$A$88&gt;35,BD94+BC95-BL94,IF(A95&lt;'Données projet'!$A$88,$BA$205^A95,IF(A95='Données projet'!$A$88,'Données projet'!$B$88,BD94+BC95-BL94)))</f>
        <v>232.28999999999991</v>
      </c>
      <c r="BE95" s="13">
        <f>BD95*VLOOKUP('Données projet'!$B$11,Paramètres!$A$1:$I$89,3,0)*VLOOKUP('Données projet'!$B$11,Paramètres!$A$1:$I$89,5,0)</f>
        <v>235.54205999999991</v>
      </c>
      <c r="BF95" s="13">
        <f t="shared" si="91"/>
        <v>57.479338849475639</v>
      </c>
      <c r="BG95" s="20">
        <f t="shared" si="61"/>
        <v>510.34560299616987</v>
      </c>
      <c r="BH95" s="59">
        <f t="shared" si="62"/>
        <v>793.2348084940769</v>
      </c>
      <c r="BI95" s="59">
        <f ca="1">AVERAGE(OFFSET($BH$3,0,0,'Données projet'!$E$11+1,1))-AVERAGE(OFFSET($H$3,0,0,'Données projet'!$E$11+1,1))</f>
        <v>559.91818701710872</v>
      </c>
      <c r="BJ95" s="59">
        <f t="shared" si="92"/>
        <v>273.47272623465915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5.6235516911504346</v>
      </c>
      <c r="BQ95" s="21">
        <f>EXP(-LN(2)/25)*BQ94+(1-EXP(-LN(2)/25))/(LN(2)/25)*Calculateur!BL95*Calculateur!BN95*VLOOKUP('Données projet'!$B$11,Paramètres!$A$1:$I$89,3,0)*0.475*44/12</f>
        <v>31.751183375611095</v>
      </c>
      <c r="BR95" s="21">
        <f>EXP(-LN(2)/2)*BR94+(1-EXP(-LN(2)/2))/(LN(2)/2)*BL95*BO95*VLOOKUP('Données projet'!$B$11,Paramètres!$A$1:$I$89,3,0)*0.475*44/12</f>
        <v>0.48783755894249031</v>
      </c>
      <c r="BS95" s="22">
        <f t="shared" si="63"/>
        <v>37.862572625704018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67.151601499429191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-1.1368683772161603E-13</v>
      </c>
      <c r="BZ95" s="13">
        <f>BY95*VLOOKUP('Données projet'!$B$12,Paramètres!$A$1:$I$89,3,0)*VLOOKUP('Données projet'!$B$12,Paramètres!$A$1:$I$89,5,0)</f>
        <v>-8.8675733422860506E-14</v>
      </c>
      <c r="CA95" s="13" t="e">
        <f t="shared" si="93"/>
        <v>#NUM!</v>
      </c>
      <c r="CB95" s="20" t="e">
        <f t="shared" si="64"/>
        <v>#NUM!</v>
      </c>
      <c r="CC95" s="59" t="e">
        <f t="shared" si="65"/>
        <v>#NUM!</v>
      </c>
      <c r="CD95" s="59">
        <f ca="1">AVERAGE(OFFSET($CC$3,0,0,'Données projet'!$E$12+1,1))-AVERAGE(OFFSET($H$3,0,0,'Données projet'!$E$12+1,1))</f>
        <v>208.92677786250815</v>
      </c>
      <c r="CE95" s="59">
        <f t="shared" si="94"/>
        <v>207.54290142772214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17.478727227737231</v>
      </c>
      <c r="CL95" s="21">
        <f>EXP(-LN(2)/25)*CL94+(1-EXP(-LN(2)/25))/(LN(2)/25)*Calculateur!CG95*Calculateur!CI95*VLOOKUP('Données projet'!$B$12,Paramètres!$A$1:$I$89,3,0)*0.475*44/12</f>
        <v>14.342644564086841</v>
      </c>
      <c r="CM95" s="21">
        <f>EXP(-LN(2)/2)*CM94+(1-EXP(-LN(2)/2))/(LN(2)/2)*CG95*CJ95*VLOOKUP('Données projet'!$B$12,Paramètres!$A$1:$I$89,3,0)*0.475*44/12</f>
        <v>1.3446825830376546E-2</v>
      </c>
      <c r="CN95" s="22">
        <f t="shared" si="66"/>
        <v>31.834818617654445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67.151601499429191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9.2740000000000009</v>
      </c>
      <c r="CT95" s="12">
        <f>IF('Données projet'!$A$140&gt;35,CT94+CS95-DB94,IF(A95&lt;'Données projet'!$A$140,$CQ$205^A95,IF(A95='Données projet'!$A$140,'Données projet'!$B$140,CT94+CS95-DB94)))</f>
        <v>339.59599999999989</v>
      </c>
      <c r="CU95" s="17">
        <f>CT95*VLOOKUP('Données projet'!$B$13,Paramètres!$A$1:$I$89,3,0)*VLOOKUP('Données projet'!$B$13,Paramètres!$A$1:$I$89,5,0)</f>
        <v>323.15955359999992</v>
      </c>
      <c r="CV95" s="13">
        <f t="shared" si="95"/>
        <v>76.010383841911221</v>
      </c>
      <c r="CW95" s="20">
        <f t="shared" si="67"/>
        <v>695.22097437799528</v>
      </c>
      <c r="CX95" s="59">
        <f t="shared" si="68"/>
        <v>978.1101798759023</v>
      </c>
      <c r="CY95" s="59">
        <f ca="1">AVERAGE(OFFSET($CX$3,0,0,'Données projet'!$E$13+1,1))-AVERAGE(OFFSET($H$3,0,0,'Données projet'!$E$13+1,1))</f>
        <v>470.42022791389275</v>
      </c>
      <c r="CZ95" s="59">
        <f t="shared" si="96"/>
        <v>300.26117330627346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15.910243978625534</v>
      </c>
      <c r="DG95" s="21">
        <f>EXP(-LN(2)/25)*DG94+(1-EXP(-LN(2)/25))/(LN(2)/25)*Calculateur!DB95*Calculateur!DD95*VLOOKUP('Données projet'!$B$13,Paramètres!$A$1:$I$89,3,0)*0.475*44/12</f>
        <v>16.458540112021609</v>
      </c>
      <c r="DH95" s="21">
        <f>EXP(-LN(2)/2)*DH94+(1-EXP(-LN(2)/2))/(LN(2)/2)*DB95*DE95*VLOOKUP('Données projet'!$B$13,Paramètres!$A$1:$I$89,3,0)*0.475*44/12</f>
        <v>0.52454699943925343</v>
      </c>
      <c r="DI95" s="22">
        <f t="shared" si="69"/>
        <v>32.893331090086392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67.151601499429191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6.7600000000000007</v>
      </c>
      <c r="DO95" s="12">
        <f>IF('Données projet'!$A$166&gt;35,DO94+DN95-DW94,IF(A95&lt;'Données projet'!$A$166,$DL$205^A95,IF(A95='Données projet'!$A$166,'Données projet'!$B$166,DO94+DN95-DW94)))</f>
        <v>232.28999999999991</v>
      </c>
      <c r="DP95" s="17">
        <f>DO95*VLOOKUP('Données projet'!$B$14,Paramètres!$A$1:$I$89,3,0)*VLOOKUP('Données projet'!$B$14,Paramètres!$A$1:$I$89,5,0)</f>
        <v>224.67088799999993</v>
      </c>
      <c r="DQ95" s="13">
        <f t="shared" si="97"/>
        <v>55.128835513346814</v>
      </c>
      <c r="DR95" s="20">
        <f t="shared" si="70"/>
        <v>487.31785178574552</v>
      </c>
      <c r="DS95" s="59">
        <f t="shared" si="71"/>
        <v>770.2070572836526</v>
      </c>
      <c r="DT95" s="59">
        <f ca="1">AVERAGE(OFFSET($DS$3,0,0,'Données projet'!$E$14+1,1))-AVERAGE(OFFSET($H$3,0,0,'Données projet'!$E$14+1,1))</f>
        <v>537.37164071064103</v>
      </c>
      <c r="DU95" s="59">
        <f t="shared" si="98"/>
        <v>263.29777321132235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3.8314308225420532</v>
      </c>
      <c r="EB95" s="21">
        <f>EXP(-LN(2)/25)*EB94+(1-EXP(-LN(2)/25))/(LN(2)/25)*Calculateur!DW95*Calculateur!DY95*VLOOKUP('Données projet'!$B$14,Paramètres!$A$1:$I$89,3,0)*0.475*44/12</f>
        <v>12.193692844103309</v>
      </c>
      <c r="EC95" s="21">
        <f>EXP(-LN(2)/2)*EC94+(1-EXP(-LN(2)/2))/(LN(2)/2)*DW95*DZ95*VLOOKUP('Données projet'!$B$14,Paramètres!$A$1:$I$89,3,0)*0.475*44/12</f>
        <v>1.1169372297801399</v>
      </c>
      <c r="ED95" s="22">
        <f t="shared" si="72"/>
        <v>17.142060896425505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67.151601499429191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67.151601499429191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67.151601499429191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67.151601499429191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45">
      <c r="A96" s="10">
        <f t="shared" si="85"/>
        <v>93</v>
      </c>
      <c r="B96" s="73">
        <f>'Scénario référence'!$B$16*5+'Scénario référence'!$B$17*0+'Scénario référence'!$B$18*5</f>
        <v>2.8499999999999996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10.449999999999998</v>
      </c>
      <c r="H96" s="67">
        <f t="shared" si="56"/>
        <v>214.86666666666667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67.201014845349036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11.283999999999997</v>
      </c>
      <c r="N96" s="13">
        <f>IF('Données projet'!$A$36&gt;35,N95+M96-V95,IF(A96&lt;'Données projet'!$A$36,$K$205^A96,IF(A96='Données projet'!$A$36,'Données projet'!$B$36,N95+M96-V95)))</f>
        <v>436.68200000000002</v>
      </c>
      <c r="O96" s="13">
        <f>N96*VLOOKUP('Données projet'!$B$9,Paramètres!$A$1:$I$89,3,0)*VLOOKUP('Données projet'!$B$9,Paramètres!$A$1:$I$89,5,0)</f>
        <v>395.10987360000001</v>
      </c>
      <c r="P96" s="13">
        <f t="shared" si="87"/>
        <v>90.784558517022006</v>
      </c>
      <c r="Q96" s="20">
        <f t="shared" si="54"/>
        <v>846.26613593714671</v>
      </c>
      <c r="R96" s="59">
        <f t="shared" si="55"/>
        <v>1129.3365237034266</v>
      </c>
      <c r="S96" s="59">
        <f ca="1">AVERAGE(OFFSET($R$3,0,0,'Données projet'!$E$9+1,1))-AVERAGE(OFFSET($H$3,0,0,'Données projet'!$E$9+1,1))</f>
        <v>719.20816951277925</v>
      </c>
      <c r="T96" s="59">
        <f t="shared" si="88"/>
        <v>237.1127421841087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36.239711497741659</v>
      </c>
      <c r="AA96" s="21">
        <f>EXP(-LN(2)/25)*AA95+(1-EXP(-LN(2)/25))/(LN(2)/25)*Calculateur!V96*Calculateur!X96*VLOOKUP('Données projet'!$B$9,Paramètres!$A$1:$I$89,3,0)*0.475*44/12</f>
        <v>32.770818807463876</v>
      </c>
      <c r="AB96" s="21">
        <f>EXP(-LN(2)/2)*AB95+(1-EXP(-LN(2)/2))/(LN(2)/2)*V96*Y96*VLOOKUP('Données projet'!$B$9,Paramètres!$A$1:$I$89,3,0)*0.475*44/12</f>
        <v>2.1878927598341122</v>
      </c>
      <c r="AC96" s="22">
        <f t="shared" si="57"/>
        <v>71.198423065039648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67.201014845349036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11.216666666666672</v>
      </c>
      <c r="AI96" s="13">
        <f>IF('Données projet'!$A$62&gt;35,AI95+AH96-AQ95,IF(A96&lt;'Données projet'!$A$62,$AF$205^A96,IF(A96='Données projet'!$A$62,'Données projet'!$B$62,AI95+AH96-AQ95)))</f>
        <v>397.92999999999995</v>
      </c>
      <c r="AJ96" s="13">
        <f>AI96*VLOOKUP('Données projet'!$B$10,Paramètres!$A$1:$I$89,3,0)*VLOOKUP('Données projet'!$B$10,Paramètres!$A$1:$I$89,5,0)</f>
        <v>335.21623199999999</v>
      </c>
      <c r="AK96" s="13">
        <f t="shared" si="89"/>
        <v>78.510776061655761</v>
      </c>
      <c r="AL96" s="20">
        <f t="shared" si="58"/>
        <v>720.57453904071701</v>
      </c>
      <c r="AM96" s="59">
        <f t="shared" si="59"/>
        <v>1003.6449268069969</v>
      </c>
      <c r="AN96" s="59">
        <f ca="1">AVERAGE(OFFSET($AM$3,0,0,'Données projet'!$E$10+1,1))-AVERAGE(OFFSET($H$3,0,0,'Données projet'!$E$10+1,1))</f>
        <v>442.79037205372367</v>
      </c>
      <c r="AO96" s="59">
        <f t="shared" si="90"/>
        <v>288.23553637727969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51.373718557084665</v>
      </c>
      <c r="AV96" s="21">
        <f>EXP(-LN(2)/25)*AV95+(1-EXP(-LN(2)/25))/(LN(2)/25)*Calculateur!AQ96*Calculateur!AS96*VLOOKUP('Données projet'!$B$10,Paramètres!$A$1:$I$89,3,0)*0.475*44/12</f>
        <v>27.432703962196577</v>
      </c>
      <c r="AW96" s="21">
        <f>EXP(-LN(2)/2)*AW95+(1-EXP(-LN(2)/2))/(LN(2)/2)*AQ96*AT96*VLOOKUP('Données projet'!$B$10,Paramètres!$A$1:$I$89,3,0)*0.475*44/12</f>
        <v>3.9286683317856074E-3</v>
      </c>
      <c r="AX96" s="21">
        <f t="shared" si="60"/>
        <v>78.810351187613023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67.201014845349036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6.7600000000000007</v>
      </c>
      <c r="BD96" s="12">
        <f>IF('Données projet'!$A$88&gt;35,BD95+BC96-BL95,IF(A96&lt;'Données projet'!$A$88,$BA$205^A96,IF(A96='Données projet'!$A$88,'Données projet'!$B$88,BD95+BC96-BL95)))</f>
        <v>239.0499999999999</v>
      </c>
      <c r="BE96" s="13">
        <f>BD96*VLOOKUP('Données projet'!$B$11,Paramètres!$A$1:$I$89,3,0)*VLOOKUP('Données projet'!$B$11,Paramètres!$A$1:$I$89,5,0)</f>
        <v>242.3966999999999</v>
      </c>
      <c r="BF96" s="13">
        <f t="shared" si="91"/>
        <v>58.954893567950833</v>
      </c>
      <c r="BG96" s="20">
        <f t="shared" si="61"/>
        <v>524.85402546418084</v>
      </c>
      <c r="BH96" s="59">
        <f t="shared" si="62"/>
        <v>807.92441323046069</v>
      </c>
      <c r="BI96" s="59">
        <f ca="1">AVERAGE(OFFSET($BH$3,0,0,'Données projet'!$E$11+1,1))-AVERAGE(OFFSET($H$3,0,0,'Données projet'!$E$11+1,1))</f>
        <v>559.91818701710872</v>
      </c>
      <c r="BJ96" s="59">
        <f t="shared" si="92"/>
        <v>273.47272623465915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5.5132772725148191</v>
      </c>
      <c r="BQ96" s="21">
        <f>EXP(-LN(2)/25)*BQ95+(1-EXP(-LN(2)/25))/(LN(2)/25)*Calculateur!BL96*Calculateur!BN96*VLOOKUP('Données projet'!$B$11,Paramètres!$A$1:$I$89,3,0)*0.475*44/12</f>
        <v>30.882945596482845</v>
      </c>
      <c r="BR96" s="21">
        <f>EXP(-LN(2)/2)*BR95+(1-EXP(-LN(2)/2))/(LN(2)/2)*BL96*BO96*VLOOKUP('Données projet'!$B$11,Paramètres!$A$1:$I$89,3,0)*0.475*44/12</f>
        <v>0.34495324604572702</v>
      </c>
      <c r="BS96" s="22">
        <f t="shared" si="63"/>
        <v>36.741176115043388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67.201014845349036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-1.1368683772161603E-13</v>
      </c>
      <c r="BZ96" s="13">
        <f>BY96*VLOOKUP('Données projet'!$B$12,Paramètres!$A$1:$I$89,3,0)*VLOOKUP('Données projet'!$B$12,Paramètres!$A$1:$I$89,5,0)</f>
        <v>-8.8675733422860506E-14</v>
      </c>
      <c r="CA96" s="13" t="e">
        <f t="shared" si="93"/>
        <v>#NUM!</v>
      </c>
      <c r="CB96" s="20" t="e">
        <f t="shared" si="64"/>
        <v>#NUM!</v>
      </c>
      <c r="CC96" s="59" t="e">
        <f t="shared" si="65"/>
        <v>#NUM!</v>
      </c>
      <c r="CD96" s="59">
        <f ca="1">AVERAGE(OFFSET($CC$3,0,0,'Données projet'!$E$12+1,1))-AVERAGE(OFFSET($H$3,0,0,'Données projet'!$E$12+1,1))</f>
        <v>208.92677786250815</v>
      </c>
      <c r="CE96" s="59">
        <f t="shared" si="94"/>
        <v>207.54290142772214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17.135980047772229</v>
      </c>
      <c r="CL96" s="21">
        <f>EXP(-LN(2)/25)*CL95+(1-EXP(-LN(2)/25))/(LN(2)/25)*Calculateur!CG96*Calculateur!CI96*VLOOKUP('Données projet'!$B$12,Paramètres!$A$1:$I$89,3,0)*0.475*44/12</f>
        <v>13.95044419423499</v>
      </c>
      <c r="CM96" s="21">
        <f>EXP(-LN(2)/2)*CM95+(1-EXP(-LN(2)/2))/(LN(2)/2)*CG96*CJ96*VLOOKUP('Données projet'!$B$12,Paramètres!$A$1:$I$89,3,0)*0.475*44/12</f>
        <v>9.5083417300936834E-3</v>
      </c>
      <c r="CN96" s="22">
        <f t="shared" si="66"/>
        <v>31.095932583737312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67.201014845349036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>
        <f>VLOOKUP(A96,'Données projet'!$A$139:$I$159,2,0)</f>
        <v>348.87</v>
      </c>
      <c r="CR96" s="12">
        <f>VLOOKUP(A96,'Données projet'!$A$139:$I$159,9,0)</f>
        <v>9.2740000000000009</v>
      </c>
      <c r="CS96" s="12">
        <f t="array" ref="CS96">INDEX(CR:CR,MIN(IF(ISNUMBER(CR96:CR292),ROW(CR96:CR292),"")))</f>
        <v>9.2740000000000009</v>
      </c>
      <c r="CT96" s="12">
        <f>IF('Données projet'!$A$140&gt;35,CT95+CS96-DB95,IF(A96&lt;'Données projet'!$A$140,$CQ$205^A96,IF(A96='Données projet'!$A$140,'Données projet'!$B$140,CT95+CS96-DB95)))</f>
        <v>348.86999999999989</v>
      </c>
      <c r="CU96" s="17">
        <f>CT96*VLOOKUP('Données projet'!$B$13,Paramètres!$A$1:$I$89,3,0)*VLOOKUP('Données projet'!$B$13,Paramètres!$A$1:$I$89,5,0)</f>
        <v>331.98469199999994</v>
      </c>
      <c r="CV96" s="13">
        <f t="shared" si="95"/>
        <v>77.841640752593847</v>
      </c>
      <c r="CW96" s="20">
        <f t="shared" si="67"/>
        <v>713.78086287743406</v>
      </c>
      <c r="CX96" s="59">
        <f t="shared" si="68"/>
        <v>996.85125064371391</v>
      </c>
      <c r="CY96" s="59">
        <f ca="1">AVERAGE(OFFSET($CX$3,0,0,'Données projet'!$E$13+1,1))-AVERAGE(OFFSET($H$3,0,0,'Données projet'!$E$13+1,1))</f>
        <v>470.42022791389275</v>
      </c>
      <c r="CZ96" s="59">
        <f t="shared" si="96"/>
        <v>300.26117330627346</v>
      </c>
      <c r="DA96" s="15">
        <f>IF(ISNA(VLOOKUP(A96,'Données projet'!$A$139:$I$159,3,0)),0,VLOOKUP(A96,'Données projet'!$A$139:$I$159,3,0))</f>
        <v>8</v>
      </c>
      <c r="DB96" s="15">
        <f>IF(ISNA(VLOOKUP(A96,'Données projet'!$A$139:$I$159,4,0)),0,VLOOKUP(A96,'Données projet'!$A$139:$I$159,4,0))</f>
        <v>67.45999999999998</v>
      </c>
      <c r="DC96" s="16">
        <f>IF(ISNA(VLOOKUP(A96,'Données projet'!$A$139:$I$159,5,0)),0%,VLOOKUP(A96,'Données projet'!$A$139:$I$159,5,0)*VLOOKUP('Données projet'!$B$13,Paramètres!$A$1:$I$89,7,0))</f>
        <v>0.1075</v>
      </c>
      <c r="DD96" s="16">
        <f>IF(ISNA(VLOOKUP(A96,'Données projet'!$A$139:$I$159,6,0)),0%,VLOOKUP(A96,'Données projet'!$A$139:$I$159,6,0)*VLOOKUP('Données projet'!$B$13,Paramètres!$A$1:$I$89,7,0))</f>
        <v>0.1075</v>
      </c>
      <c r="DE96" s="16">
        <f>IF(ISNA(VLOOKUP(A96,'Données projet'!$A$139:$I$159,7,0)),0%,VLOOKUP(A96,'Données projet'!$A$139:$I$159,7,0))</f>
        <v>0.25</v>
      </c>
      <c r="DF96" s="21">
        <f>EXP(-LN(2)/35)*DF95+(1-EXP(-LN(2)/35))/(LN(2)/35)*DB96*DC96*VLOOKUP('Données projet'!$B$13,Paramètres!$A$1:$I$89,3,0)*0.475*44/12</f>
        <v>23.227055826876736</v>
      </c>
      <c r="DG96" s="21">
        <f>EXP(-LN(2)/25)*DG95+(1-EXP(-LN(2)/25))/(LN(2)/25)*Calculateur!DB96*Calculateur!DD96*VLOOKUP('Données projet'!$B$13,Paramètres!$A$1:$I$89,3,0)*0.475*44/12</f>
        <v>23.607244995135616</v>
      </c>
      <c r="DH96" s="21">
        <f>EXP(-LN(2)/2)*DH95+(1-EXP(-LN(2)/2))/(LN(2)/2)*DB96*DE96*VLOOKUP('Données projet'!$B$13,Paramètres!$A$1:$I$89,3,0)*0.475*44/12</f>
        <v>15.51332321469714</v>
      </c>
      <c r="DI96" s="22">
        <f t="shared" si="69"/>
        <v>62.34762403670949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67.201014845349036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6.7600000000000007</v>
      </c>
      <c r="DO96" s="12">
        <f>IF('Données projet'!$A$166&gt;35,DO95+DN96-DW95,IF(A96&lt;'Données projet'!$A$166,$DL$205^A96,IF(A96='Données projet'!$A$166,'Données projet'!$B$166,DO95+DN96-DW95)))</f>
        <v>239.0499999999999</v>
      </c>
      <c r="DP96" s="17">
        <f>DO96*VLOOKUP('Données projet'!$B$14,Paramètres!$A$1:$I$89,3,0)*VLOOKUP('Données projet'!$B$14,Paramètres!$A$1:$I$89,5,0)</f>
        <v>231.20915999999988</v>
      </c>
      <c r="DQ96" s="13">
        <f t="shared" si="97"/>
        <v>56.544050353913839</v>
      </c>
      <c r="DR96" s="20">
        <f t="shared" si="70"/>
        <v>501.17017469973308</v>
      </c>
      <c r="DS96" s="59">
        <f t="shared" si="71"/>
        <v>784.24056246601288</v>
      </c>
      <c r="DT96" s="59">
        <f ca="1">AVERAGE(OFFSET($DS$3,0,0,'Données projet'!$E$14+1,1))-AVERAGE(OFFSET($H$3,0,0,'Données projet'!$E$14+1,1))</f>
        <v>537.37164071064103</v>
      </c>
      <c r="DU96" s="59">
        <f t="shared" si="98"/>
        <v>263.29777321132235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3.7562988010540517</v>
      </c>
      <c r="EB96" s="21">
        <f>EXP(-LN(2)/25)*EB95+(1-EXP(-LN(2)/25))/(LN(2)/25)*Calculateur!DW96*Calculateur!DY96*VLOOKUP('Données projet'!$B$14,Paramètres!$A$1:$I$89,3,0)*0.475*44/12</f>
        <v>11.860255672042866</v>
      </c>
      <c r="EC96" s="21">
        <f>EXP(-LN(2)/2)*EC95+(1-EXP(-LN(2)/2))/(LN(2)/2)*DW96*DZ96*VLOOKUP('Données projet'!$B$14,Paramètres!$A$1:$I$89,3,0)*0.475*44/12</f>
        <v>0.78979388933725392</v>
      </c>
      <c r="ED96" s="22">
        <f t="shared" si="72"/>
        <v>16.406348362434173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67.201014845349036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67.201014845349036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67.201014845349036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67.201014845349036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45">
      <c r="A97" s="10">
        <f t="shared" si="85"/>
        <v>94</v>
      </c>
      <c r="B97" s="73">
        <f>'Scénario référence'!$B$16*5+'Scénario référence'!$B$17*0+'Scénario référence'!$B$18*5</f>
        <v>2.8499999999999996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10.449999999999998</v>
      </c>
      <c r="H97" s="67">
        <f t="shared" si="56"/>
        <v>214.86666666666667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67.249570980188892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11.283999999999997</v>
      </c>
      <c r="N97" s="13">
        <f>IF('Données projet'!$A$36&gt;35,N96+M97-V96,IF(A97&lt;'Données projet'!$A$36,$K$205^A97,IF(A97='Données projet'!$A$36,'Données projet'!$B$36,N96+M97-V96)))</f>
        <v>447.96600000000001</v>
      </c>
      <c r="O97" s="13">
        <f>N97*VLOOKUP('Données projet'!$B$9,Paramètres!$A$1:$I$89,3,0)*VLOOKUP('Données projet'!$B$9,Paramètres!$A$1:$I$89,5,0)</f>
        <v>405.31963679999996</v>
      </c>
      <c r="P97" s="13">
        <f t="shared" si="87"/>
        <v>92.854309299710778</v>
      </c>
      <c r="Q97" s="20">
        <f t="shared" si="54"/>
        <v>867.65295612366288</v>
      </c>
      <c r="R97" s="59">
        <f t="shared" si="55"/>
        <v>1150.9013830510221</v>
      </c>
      <c r="S97" s="59">
        <f ca="1">AVERAGE(OFFSET($R$3,0,0,'Données projet'!$E$9+1,1))-AVERAGE(OFFSET($H$3,0,0,'Données projet'!$E$9+1,1))</f>
        <v>719.20816951277925</v>
      </c>
      <c r="T97" s="59">
        <f t="shared" si="88"/>
        <v>237.1127421841087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35.529072859312365</v>
      </c>
      <c r="AA97" s="21">
        <f>EXP(-LN(2)/25)*AA96+(1-EXP(-LN(2)/25))/(LN(2)/25)*Calculateur!V97*Calculateur!X97*VLOOKUP('Données projet'!$B$9,Paramètres!$A$1:$I$89,3,0)*0.475*44/12</f>
        <v>31.874699043831313</v>
      </c>
      <c r="AB97" s="21">
        <f>EXP(-LN(2)/2)*AB96+(1-EXP(-LN(2)/2))/(LN(2)/2)*V97*Y97*VLOOKUP('Données projet'!$B$9,Paramètres!$A$1:$I$89,3,0)*0.475*44/12</f>
        <v>1.5470738069876513</v>
      </c>
      <c r="AC97" s="22">
        <f t="shared" si="57"/>
        <v>68.950845710131333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67.249570980188892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11.216666666666672</v>
      </c>
      <c r="AI97" s="13">
        <f>IF('Données projet'!$A$62&gt;35,AI96+AH97-AQ96,IF(A97&lt;'Données projet'!$A$62,$AF$205^A97,IF(A97='Données projet'!$A$62,'Données projet'!$B$62,AI96+AH97-AQ96)))</f>
        <v>409.14666666666665</v>
      </c>
      <c r="AJ97" s="13">
        <f>AI97*VLOOKUP('Données projet'!$B$10,Paramètres!$A$1:$I$89,3,0)*VLOOKUP('Données projet'!$B$10,Paramètres!$A$1:$I$89,5,0)</f>
        <v>344.66515200000003</v>
      </c>
      <c r="AK97" s="13">
        <f t="shared" si="89"/>
        <v>80.46303056740787</v>
      </c>
      <c r="AL97" s="20">
        <f t="shared" si="58"/>
        <v>740.43158463823545</v>
      </c>
      <c r="AM97" s="59">
        <f t="shared" si="59"/>
        <v>1023.6800115655947</v>
      </c>
      <c r="AN97" s="59">
        <f ca="1">AVERAGE(OFFSET($AM$3,0,0,'Données projet'!$E$10+1,1))-AVERAGE(OFFSET($H$3,0,0,'Données projet'!$E$10+1,1))</f>
        <v>442.79037205372367</v>
      </c>
      <c r="AO97" s="59">
        <f t="shared" si="90"/>
        <v>288.23553637727969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50.366311271054492</v>
      </c>
      <c r="AV97" s="21">
        <f>EXP(-LN(2)/25)*AV96+(1-EXP(-LN(2)/25))/(LN(2)/25)*Calculateur!AQ97*Calculateur!AS97*VLOOKUP('Données projet'!$B$10,Paramètres!$A$1:$I$89,3,0)*0.475*44/12</f>
        <v>26.682555229727107</v>
      </c>
      <c r="AW97" s="21">
        <f>EXP(-LN(2)/2)*AW96+(1-EXP(-LN(2)/2))/(LN(2)/2)*AQ97*AT97*VLOOKUP('Données projet'!$B$10,Paramètres!$A$1:$I$89,3,0)*0.475*44/12</f>
        <v>2.7779880184384442E-3</v>
      </c>
      <c r="AX97" s="21">
        <f t="shared" si="60"/>
        <v>77.051644488800036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67.249570980188892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6.7600000000000007</v>
      </c>
      <c r="BD97" s="12">
        <f>IF('Données projet'!$A$88&gt;35,BD96+BC97-BL96,IF(A97&lt;'Données projet'!$A$88,$BA$205^A97,IF(A97='Données projet'!$A$88,'Données projet'!$B$88,BD96+BC97-BL96)))</f>
        <v>245.80999999999989</v>
      </c>
      <c r="BE97" s="13">
        <f>BD97*VLOOKUP('Données projet'!$B$11,Paramètres!$A$1:$I$89,3,0)*VLOOKUP('Données projet'!$B$11,Paramètres!$A$1:$I$89,5,0)</f>
        <v>249.25133999999991</v>
      </c>
      <c r="BF97" s="13">
        <f t="shared" si="91"/>
        <v>60.42559860911723</v>
      </c>
      <c r="BG97" s="20">
        <f t="shared" si="61"/>
        <v>539.35400141087905</v>
      </c>
      <c r="BH97" s="59">
        <f t="shared" si="62"/>
        <v>822.60242833823827</v>
      </c>
      <c r="BI97" s="59">
        <f ca="1">AVERAGE(OFFSET($BH$3,0,0,'Données projet'!$E$11+1,1))-AVERAGE(OFFSET($H$3,0,0,'Données projet'!$E$11+1,1))</f>
        <v>559.91818701710872</v>
      </c>
      <c r="BJ97" s="59">
        <f t="shared" si="92"/>
        <v>273.47272623465915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5.4051652679678943</v>
      </c>
      <c r="BQ97" s="21">
        <f>EXP(-LN(2)/25)*BQ96+(1-EXP(-LN(2)/25))/(LN(2)/25)*Calculateur!BL97*Calculateur!BN97*VLOOKUP('Données projet'!$B$11,Paramètres!$A$1:$I$89,3,0)*0.475*44/12</f>
        <v>30.038449825083497</v>
      </c>
      <c r="BR97" s="21">
        <f>EXP(-LN(2)/2)*BR96+(1-EXP(-LN(2)/2))/(LN(2)/2)*BL97*BO97*VLOOKUP('Données projet'!$B$11,Paramètres!$A$1:$I$89,3,0)*0.475*44/12</f>
        <v>0.24391877947124521</v>
      </c>
      <c r="BS97" s="22">
        <f t="shared" si="63"/>
        <v>35.687533872522636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67.249570980188892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-1.1368683772161603E-13</v>
      </c>
      <c r="BZ97" s="13">
        <f>BY97*VLOOKUP('Données projet'!$B$12,Paramètres!$A$1:$I$89,3,0)*VLOOKUP('Données projet'!$B$12,Paramètres!$A$1:$I$89,5,0)</f>
        <v>-8.8675733422860506E-14</v>
      </c>
      <c r="CA97" s="13" t="e">
        <f t="shared" si="93"/>
        <v>#NUM!</v>
      </c>
      <c r="CB97" s="20" t="e">
        <f t="shared" si="64"/>
        <v>#NUM!</v>
      </c>
      <c r="CC97" s="59" t="e">
        <f t="shared" si="65"/>
        <v>#NUM!</v>
      </c>
      <c r="CD97" s="59">
        <f ca="1">AVERAGE(OFFSET($CC$3,0,0,'Données projet'!$E$12+1,1))-AVERAGE(OFFSET($H$3,0,0,'Données projet'!$E$12+1,1))</f>
        <v>208.92677786250815</v>
      </c>
      <c r="CE97" s="59">
        <f t="shared" si="94"/>
        <v>207.54290142772214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16.799953930951204</v>
      </c>
      <c r="CL97" s="21">
        <f>EXP(-LN(2)/25)*CL96+(1-EXP(-LN(2)/25))/(LN(2)/25)*Calculateur!CG97*Calculateur!CI97*VLOOKUP('Données projet'!$B$12,Paramètres!$A$1:$I$89,3,0)*0.475*44/12</f>
        <v>13.568968564121658</v>
      </c>
      <c r="CM97" s="21">
        <f>EXP(-LN(2)/2)*CM96+(1-EXP(-LN(2)/2))/(LN(2)/2)*CG97*CJ97*VLOOKUP('Données projet'!$B$12,Paramètres!$A$1:$I$89,3,0)*0.475*44/12</f>
        <v>6.723412915188273E-3</v>
      </c>
      <c r="CN97" s="22">
        <f t="shared" si="66"/>
        <v>30.375645907988051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67.249570980188892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8.9989999999999952</v>
      </c>
      <c r="CT97" s="12">
        <f>IF('Données projet'!$A$140&gt;35,CT96+CS97-DB96,IF(A97&lt;'Données projet'!$A$140,$CQ$205^A97,IF(A97='Données projet'!$A$140,'Données projet'!$B$140,CT96+CS97-DB96)))</f>
        <v>290.40899999999993</v>
      </c>
      <c r="CU97" s="17">
        <f>CT97*VLOOKUP('Données projet'!$B$13,Paramètres!$A$1:$I$89,3,0)*VLOOKUP('Données projet'!$B$13,Paramètres!$A$1:$I$89,5,0)</f>
        <v>276.35320439999992</v>
      </c>
      <c r="CV97" s="13">
        <f t="shared" si="95"/>
        <v>66.195749107226092</v>
      </c>
      <c r="CW97" s="20">
        <f t="shared" si="67"/>
        <v>596.60609402508533</v>
      </c>
      <c r="CX97" s="59">
        <f t="shared" si="68"/>
        <v>879.85452095244455</v>
      </c>
      <c r="CY97" s="59">
        <f ca="1">AVERAGE(OFFSET($CX$3,0,0,'Données projet'!$E$13+1,1))-AVERAGE(OFFSET($H$3,0,0,'Données projet'!$E$13+1,1))</f>
        <v>470.42022791389275</v>
      </c>
      <c r="CZ97" s="59">
        <f t="shared" si="96"/>
        <v>300.26117330627346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22.771587429216851</v>
      </c>
      <c r="DG97" s="21">
        <f>EXP(-LN(2)/25)*DG96+(1-EXP(-LN(2)/25))/(LN(2)/25)*Calculateur!DB97*Calculateur!DD97*VLOOKUP('Données projet'!$B$13,Paramètres!$A$1:$I$89,3,0)*0.475*44/12</f>
        <v>22.961703639292573</v>
      </c>
      <c r="DH97" s="21">
        <f>EXP(-LN(2)/2)*DH96+(1-EXP(-LN(2)/2))/(LN(2)/2)*DB97*DE97*VLOOKUP('Données projet'!$B$13,Paramètres!$A$1:$I$89,3,0)*0.475*44/12</f>
        <v>10.969576043851038</v>
      </c>
      <c r="DI97" s="22">
        <f t="shared" si="69"/>
        <v>56.702867112360465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67.249570980188892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6.7600000000000007</v>
      </c>
      <c r="DO97" s="12">
        <f>IF('Données projet'!$A$166&gt;35,DO96+DN97-DW96,IF(A97&lt;'Données projet'!$A$166,$DL$205^A97,IF(A97='Données projet'!$A$166,'Données projet'!$B$166,DO96+DN97-DW96)))</f>
        <v>245.80999999999989</v>
      </c>
      <c r="DP97" s="17">
        <f>DO97*VLOOKUP('Données projet'!$B$14,Paramètres!$A$1:$I$89,3,0)*VLOOKUP('Données projet'!$B$14,Paramètres!$A$1:$I$89,5,0)</f>
        <v>237.74743199999992</v>
      </c>
      <c r="DQ97" s="13">
        <f t="shared" si="97"/>
        <v>57.954613835088161</v>
      </c>
      <c r="DR97" s="20">
        <f t="shared" si="70"/>
        <v>515.01439649611177</v>
      </c>
      <c r="DS97" s="59">
        <f t="shared" si="71"/>
        <v>798.26282342347099</v>
      </c>
      <c r="DT97" s="59">
        <f ca="1">AVERAGE(OFFSET($DS$3,0,0,'Données projet'!$E$14+1,1))-AVERAGE(OFFSET($H$3,0,0,'Données projet'!$E$14+1,1))</f>
        <v>537.37164071064103</v>
      </c>
      <c r="DU97" s="59">
        <f t="shared" si="98"/>
        <v>263.29777321132235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3.6826400726814215</v>
      </c>
      <c r="EB97" s="21">
        <f>EXP(-LN(2)/25)*EB96+(1-EXP(-LN(2)/25))/(LN(2)/25)*Calculateur!DW97*Calculateur!DY97*VLOOKUP('Données projet'!$B$14,Paramètres!$A$1:$I$89,3,0)*0.475*44/12</f>
        <v>11.535936356987115</v>
      </c>
      <c r="EC97" s="21">
        <f>EXP(-LN(2)/2)*EC96+(1-EXP(-LN(2)/2))/(LN(2)/2)*DW97*DZ97*VLOOKUP('Données projet'!$B$14,Paramètres!$A$1:$I$89,3,0)*0.475*44/12</f>
        <v>0.55846861489006994</v>
      </c>
      <c r="ED97" s="22">
        <f t="shared" si="72"/>
        <v>15.777045044558605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67.249570980188892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67.249570980188892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67.249570980188892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67.249570980188892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45">
      <c r="A98" s="10">
        <f t="shared" si="85"/>
        <v>95</v>
      </c>
      <c r="B98" s="73">
        <f>'Scénario référence'!$B$16*5+'Scénario référence'!$B$17*0+'Scénario référence'!$B$18*5</f>
        <v>2.8499999999999996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10.449999999999998</v>
      </c>
      <c r="H98" s="67">
        <f t="shared" si="56"/>
        <v>214.86666666666667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67.297284774644524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11.283999999999997</v>
      </c>
      <c r="N98" s="13">
        <f>IF('Données projet'!$A$36&gt;35,N97+M98-V97,IF(A98&lt;'Données projet'!$A$36,$K$205^A98,IF(A98='Données projet'!$A$36,'Données projet'!$B$36,N97+M98-V97)))</f>
        <v>459.25</v>
      </c>
      <c r="O98" s="13">
        <f>N98*VLOOKUP('Données projet'!$B$9,Paramètres!$A$1:$I$89,3,0)*VLOOKUP('Données projet'!$B$9,Paramètres!$A$1:$I$89,5,0)</f>
        <v>415.52940000000001</v>
      </c>
      <c r="P98" s="13">
        <f t="shared" si="87"/>
        <v>94.917999685477398</v>
      </c>
      <c r="Q98" s="20">
        <f t="shared" si="54"/>
        <v>889.02922111887312</v>
      </c>
      <c r="R98" s="59">
        <f t="shared" si="55"/>
        <v>1172.452598625903</v>
      </c>
      <c r="S98" s="59">
        <f ca="1">AVERAGE(OFFSET($R$3,0,0,'Données projet'!$E$9+1,1))-AVERAGE(OFFSET($H$3,0,0,'Données projet'!$E$9+1,1))</f>
        <v>719.20816951277925</v>
      </c>
      <c r="T98" s="59">
        <f t="shared" si="88"/>
        <v>237.1127421841087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34.8323694111359</v>
      </c>
      <c r="AA98" s="21">
        <f>EXP(-LN(2)/25)*AA97+(1-EXP(-LN(2)/25))/(LN(2)/25)*Calculateur!V98*Calculateur!X98*VLOOKUP('Données projet'!$B$9,Paramètres!$A$1:$I$89,3,0)*0.475*44/12</f>
        <v>31.003083722260175</v>
      </c>
      <c r="AB98" s="21">
        <f>EXP(-LN(2)/2)*AB97+(1-EXP(-LN(2)/2))/(LN(2)/2)*V98*Y98*VLOOKUP('Données projet'!$B$9,Paramètres!$A$1:$I$89,3,0)*0.475*44/12</f>
        <v>1.0939463799170563</v>
      </c>
      <c r="AC98" s="22">
        <f t="shared" si="57"/>
        <v>66.929399513313129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67.297284774644524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11.216666666666672</v>
      </c>
      <c r="AI98" s="13">
        <f>IF('Données projet'!$A$62&gt;35,AI97+AH98-AQ97,IF(A98&lt;'Données projet'!$A$62,$AF$205^A98,IF(A98='Données projet'!$A$62,'Données projet'!$B$62,AI97+AH98-AQ97)))</f>
        <v>420.36333333333334</v>
      </c>
      <c r="AJ98" s="13">
        <f>AI98*VLOOKUP('Données projet'!$B$10,Paramètres!$A$1:$I$89,3,0)*VLOOKUP('Données projet'!$B$10,Paramètres!$A$1:$I$89,5,0)</f>
        <v>354.11407200000002</v>
      </c>
      <c r="AK98" s="13">
        <f t="shared" si="89"/>
        <v>82.409064377569791</v>
      </c>
      <c r="AL98" s="20">
        <f t="shared" si="58"/>
        <v>760.27779585760072</v>
      </c>
      <c r="AM98" s="59">
        <f t="shared" si="59"/>
        <v>1043.7011733646307</v>
      </c>
      <c r="AN98" s="59">
        <f ca="1">AVERAGE(OFFSET($AM$3,0,0,'Données projet'!$E$10+1,1))-AVERAGE(OFFSET($H$3,0,0,'Données projet'!$E$10+1,1))</f>
        <v>442.79037205372367</v>
      </c>
      <c r="AO98" s="59">
        <f t="shared" si="90"/>
        <v>288.23553637727969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49.378658627445603</v>
      </c>
      <c r="AV98" s="21">
        <f>EXP(-LN(2)/25)*AV97+(1-EXP(-LN(2)/25))/(LN(2)/25)*Calculateur!AQ98*Calculateur!AS98*VLOOKUP('Données projet'!$B$10,Paramètres!$A$1:$I$89,3,0)*0.475*44/12</f>
        <v>25.952919353795625</v>
      </c>
      <c r="AW98" s="21">
        <f>EXP(-LN(2)/2)*AW97+(1-EXP(-LN(2)/2))/(LN(2)/2)*AQ98*AT98*VLOOKUP('Données projet'!$B$10,Paramètres!$A$1:$I$89,3,0)*0.475*44/12</f>
        <v>1.9643341658928037E-3</v>
      </c>
      <c r="AX98" s="21">
        <f t="shared" si="60"/>
        <v>75.333542315407115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67.297284774644524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>
        <f>VLOOKUP(A98,'Données projet'!$A$87:$I$107,2,0)</f>
        <v>252.57</v>
      </c>
      <c r="BB98" s="12">
        <f>VLOOKUP(A98,'Données projet'!$A$87:$I$107,9,0)</f>
        <v>6.7600000000000007</v>
      </c>
      <c r="BC98" s="12">
        <f t="array" ref="BC98">INDEX(BB:BB,MIN(IF(ISNUMBER(BB98:BB294),ROW(BB98:BB294),"")))</f>
        <v>6.7600000000000007</v>
      </c>
      <c r="BD98" s="12">
        <f>IF('Données projet'!$A$88&gt;35,BD97+BC98-BL97,IF(A98&lt;'Données projet'!$A$88,$BA$205^A98,IF(A98='Données projet'!$A$88,'Données projet'!$B$88,BD97+BC98-BL97)))</f>
        <v>252.56999999999988</v>
      </c>
      <c r="BE98" s="13">
        <f>BD98*VLOOKUP('Données projet'!$B$11,Paramètres!$A$1:$I$89,3,0)*VLOOKUP('Données projet'!$B$11,Paramètres!$A$1:$I$89,5,0)</f>
        <v>256.10597999999987</v>
      </c>
      <c r="BF98" s="13">
        <f t="shared" si="91"/>
        <v>61.89160266777624</v>
      </c>
      <c r="BG98" s="20">
        <f t="shared" si="61"/>
        <v>553.84578981304333</v>
      </c>
      <c r="BH98" s="59">
        <f t="shared" si="62"/>
        <v>837.26916732007317</v>
      </c>
      <c r="BI98" s="59">
        <f ca="1">AVERAGE(OFFSET($BH$3,0,0,'Données projet'!$E$11+1,1))-AVERAGE(OFFSET($H$3,0,0,'Données projet'!$E$11+1,1))</f>
        <v>559.91818701710872</v>
      </c>
      <c r="BJ98" s="59">
        <f t="shared" si="92"/>
        <v>273.47272623465915</v>
      </c>
      <c r="BK98" s="15">
        <f>IF(ISNA(VLOOKUP(A98,'Données projet'!$A$87:$I$107,3,0)),0,VLOOKUP(A98,'Données projet'!$A$87:$I$107,3,0))</f>
        <v>5</v>
      </c>
      <c r="BL98" s="15">
        <f>IF(ISNA(VLOOKUP(A98,'Données projet'!$A$87:$I$107,4,0)),0,VLOOKUP(A98,'Données projet'!$A$87:$I$107,4,0))</f>
        <v>42.199999999999989</v>
      </c>
      <c r="BM98" s="16">
        <f>IF(ISNA(VLOOKUP(A98,'Données projet'!$A$87:$I$107,5,0)),0%,VLOOKUP(A98,'Données projet'!$A$87:$I$107,5,0)*VLOOKUP('Données projet'!$B$11,Paramètres!$A$1:$I$89,7,0))</f>
        <v>0.15049999999999999</v>
      </c>
      <c r="BN98" s="16">
        <f>IF(ISNA(VLOOKUP(A98,'Données projet'!$A$87:$I$107,6,0)),0%,VLOOKUP(A98,'Données projet'!$A$87:$I$107,6,0)*VLOOKUP('Données projet'!$B$11,Paramètres!$A$1:$I$89,7,0))</f>
        <v>8.6000000000000007E-2</v>
      </c>
      <c r="BO98" s="16">
        <f>IF(ISNA(VLOOKUP(A98,'Données projet'!$A$87:$I$107,7,0)),0%,VLOOKUP(A98,'Données projet'!$A$87:$I$107,7,0))</f>
        <v>0.1</v>
      </c>
      <c r="BP98" s="21">
        <f>EXP(-LN(2)/35)*BP97+(1-EXP(-LN(2)/35))/(LN(2)/35)*BL98*BM98*VLOOKUP('Données projet'!$B$11,Paramètres!$A$1:$I$89,3,0)*0.475*44/12</f>
        <v>12.418419542324367</v>
      </c>
      <c r="BQ98" s="21">
        <f>EXP(-LN(2)/25)*BQ97+(1-EXP(-LN(2)/25))/(LN(2)/25)*Calculateur!BL98*Calculateur!BN98*VLOOKUP('Données projet'!$B$11,Paramètres!$A$1:$I$89,3,0)*0.475*44/12</f>
        <v>33.269169739667007</v>
      </c>
      <c r="BR98" s="21">
        <f>EXP(-LN(2)/2)*BR97+(1-EXP(-LN(2)/2))/(LN(2)/2)*BL98*BO98*VLOOKUP('Données projet'!$B$11,Paramètres!$A$1:$I$89,3,0)*0.475*44/12</f>
        <v>4.2099037727724866</v>
      </c>
      <c r="BS98" s="22">
        <f t="shared" si="63"/>
        <v>49.897493054763856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67.297284774644524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-1.1368683772161603E-13</v>
      </c>
      <c r="BZ98" s="13">
        <f>BY98*VLOOKUP('Données projet'!$B$12,Paramètres!$A$1:$I$89,3,0)*VLOOKUP('Données projet'!$B$12,Paramètres!$A$1:$I$89,5,0)</f>
        <v>-8.8675733422860506E-14</v>
      </c>
      <c r="CA98" s="13" t="e">
        <f t="shared" si="93"/>
        <v>#NUM!</v>
      </c>
      <c r="CB98" s="20" t="e">
        <f t="shared" si="64"/>
        <v>#NUM!</v>
      </c>
      <c r="CC98" s="59" t="e">
        <f t="shared" si="65"/>
        <v>#NUM!</v>
      </c>
      <c r="CD98" s="59">
        <f ca="1">AVERAGE(OFFSET($CC$3,0,0,'Données projet'!$E$12+1,1))-AVERAGE(OFFSET($H$3,0,0,'Données projet'!$E$12+1,1))</f>
        <v>208.92677786250815</v>
      </c>
      <c r="CE98" s="59">
        <f t="shared" si="94"/>
        <v>207.54290142772214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16.470517081325347</v>
      </c>
      <c r="CL98" s="21">
        <f>EXP(-LN(2)/25)*CL97+(1-EXP(-LN(2)/25))/(LN(2)/25)*Calculateur!CG98*Calculateur!CI98*VLOOKUP('Données projet'!$B$12,Paramètres!$A$1:$I$89,3,0)*0.475*44/12</f>
        <v>13.197924405174707</v>
      </c>
      <c r="CM98" s="21">
        <f>EXP(-LN(2)/2)*CM97+(1-EXP(-LN(2)/2))/(LN(2)/2)*CG98*CJ98*VLOOKUP('Données projet'!$B$12,Paramètres!$A$1:$I$89,3,0)*0.475*44/12</f>
        <v>4.7541708650468417E-3</v>
      </c>
      <c r="CN98" s="22">
        <f t="shared" si="66"/>
        <v>29.673195657365103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67.297284774644524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8.9989999999999952</v>
      </c>
      <c r="CT98" s="12">
        <f>IF('Données projet'!$A$140&gt;35,CT97+CS98-DB97,IF(A98&lt;'Données projet'!$A$140,$CQ$205^A98,IF(A98='Données projet'!$A$140,'Données projet'!$B$140,CT97+CS98-DB97)))</f>
        <v>299.4079999999999</v>
      </c>
      <c r="CU98" s="17">
        <f>CT98*VLOOKUP('Données projet'!$B$13,Paramètres!$A$1:$I$89,3,0)*VLOOKUP('Données projet'!$B$13,Paramètres!$A$1:$I$89,5,0)</f>
        <v>284.91665279999989</v>
      </c>
      <c r="CV98" s="13">
        <f t="shared" si="95"/>
        <v>68.004983981001502</v>
      </c>
      <c r="CW98" s="20">
        <f t="shared" si="67"/>
        <v>614.67185072691063</v>
      </c>
      <c r="CX98" s="59">
        <f t="shared" si="68"/>
        <v>898.09522823394059</v>
      </c>
      <c r="CY98" s="59">
        <f ca="1">AVERAGE(OFFSET($CX$3,0,0,'Données projet'!$E$13+1,1))-AVERAGE(OFFSET($H$3,0,0,'Données projet'!$E$13+1,1))</f>
        <v>470.42022791389275</v>
      </c>
      <c r="CZ98" s="59">
        <f t="shared" si="96"/>
        <v>300.26117330627346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22.325050489026786</v>
      </c>
      <c r="DG98" s="21">
        <f>EXP(-LN(2)/25)*DG97+(1-EXP(-LN(2)/25))/(LN(2)/25)*Calculateur!DB98*Calculateur!DD98*VLOOKUP('Données projet'!$B$13,Paramètres!$A$1:$I$89,3,0)*0.475*44/12</f>
        <v>22.333814645772602</v>
      </c>
      <c r="DH98" s="21">
        <f>EXP(-LN(2)/2)*DH97+(1-EXP(-LN(2)/2))/(LN(2)/2)*DB98*DE98*VLOOKUP('Données projet'!$B$13,Paramètres!$A$1:$I$89,3,0)*0.475*44/12</f>
        <v>7.7566616073485708</v>
      </c>
      <c r="DI98" s="22">
        <f t="shared" si="69"/>
        <v>52.415526742147954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67.297284774644524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>
        <f>VLOOKUP(A98,'Données projet'!$A$165:$I$185,2,0)</f>
        <v>252.57</v>
      </c>
      <c r="DM98" s="12">
        <f>VLOOKUP(A98,'Données projet'!$A$165:$I$185,9,0)</f>
        <v>6.7600000000000007</v>
      </c>
      <c r="DN98" s="12">
        <f t="array" ref="DN98">INDEX(DM:DM,MIN(IF(ISNUMBER(DM98:DM294),ROW(DM98:DM294),"")))</f>
        <v>6.7600000000000007</v>
      </c>
      <c r="DO98" s="12">
        <f>IF('Données projet'!$A$166&gt;35,DO97+DN98-DW97,IF(A98&lt;'Données projet'!$A$166,$DL$205^A98,IF(A98='Données projet'!$A$166,'Données projet'!$B$166,DO97+DN98-DW97)))</f>
        <v>252.56999999999988</v>
      </c>
      <c r="DP98" s="17">
        <f>DO98*VLOOKUP('Données projet'!$B$14,Paramètres!$A$1:$I$89,3,0)*VLOOKUP('Données projet'!$B$14,Paramètres!$A$1:$I$89,5,0)</f>
        <v>244.28570399999987</v>
      </c>
      <c r="DQ98" s="13">
        <f t="shared" si="97"/>
        <v>59.360668571092589</v>
      </c>
      <c r="DR98" s="20">
        <f t="shared" si="70"/>
        <v>528.85076556131935</v>
      </c>
      <c r="DS98" s="59">
        <f t="shared" si="71"/>
        <v>812.2741430683493</v>
      </c>
      <c r="DT98" s="59">
        <f ca="1">AVERAGE(OFFSET($DS$3,0,0,'Données projet'!$E$14+1,1))-AVERAGE(OFFSET($H$3,0,0,'Données projet'!$E$14+1,1))</f>
        <v>537.37164071064103</v>
      </c>
      <c r="DU98" s="59">
        <f t="shared" si="98"/>
        <v>263.29777321132235</v>
      </c>
      <c r="DV98" s="15">
        <f>IF(ISNA(VLOOKUP(A98,'Données projet'!$A$165:$I$185,3,0)),0,VLOOKUP(A98,'Données projet'!$A$165:$I$185,3,0))</f>
        <v>5</v>
      </c>
      <c r="DW98" s="15">
        <f>IF(ISNA(VLOOKUP(A98,'Données projet'!$A$165:$I$185,4,0)),0,VLOOKUP(A98,'Données projet'!$A$165:$I$185,4,0))</f>
        <v>42.199999999999989</v>
      </c>
      <c r="DX98" s="16">
        <f>IF(ISNA(VLOOKUP(A98,'Données projet'!$A$165:$I$185,5,0)),0%,VLOOKUP(A98,'Données projet'!$A$165:$I$185,5,0)*VLOOKUP('Données projet'!$B$14,Paramètres!$A$1:$I$89,7,0))</f>
        <v>0.1075</v>
      </c>
      <c r="DY98" s="16">
        <f>IF(ISNA(VLOOKUP(A98,'Données projet'!$A$165:$I$185,6,0)),0%,VLOOKUP(A98,'Données projet'!$A$165:$I$185,6,0)*VLOOKUP('Données projet'!$B$14,Paramètres!$A$1:$I$89,7,0))</f>
        <v>0.1075</v>
      </c>
      <c r="DZ98" s="16">
        <f>IF(ISNA(VLOOKUP(A98,'Données projet'!$A$165:$I$185,7,0)),0%,VLOOKUP(A98,'Données projet'!$A$165:$I$185,7,0))</f>
        <v>0.25</v>
      </c>
      <c r="EA98" s="21">
        <f>EXP(-LN(2)/35)*EA97+(1-EXP(-LN(2)/35))/(LN(2)/35)*DW98*DX98*VLOOKUP('Données projet'!$B$14,Paramètres!$A$1:$I$89,3,0)*0.475*44/12</f>
        <v>8.4609012266385779</v>
      </c>
      <c r="EB98" s="21">
        <f>EXP(-LN(2)/25)*EB97+(1-EXP(-LN(2)/25))/(LN(2)/25)*Calculateur!DW98*Calculateur!DY98*VLOOKUP('Données projet'!$B$14,Paramètres!$A$1:$I$89,3,0)*0.475*44/12</f>
        <v>16.051862880111347</v>
      </c>
      <c r="EC98" s="21">
        <f>EXP(-LN(2)/2)*EC97+(1-EXP(-LN(2)/2))/(LN(2)/2)*DW98*DZ98*VLOOKUP('Données projet'!$B$14,Paramètres!$A$1:$I$89,3,0)*0.475*44/12</f>
        <v>10.022607840225422</v>
      </c>
      <c r="ED98" s="22">
        <f t="shared" si="72"/>
        <v>34.535371946975346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67.297284774644524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67.297284774644524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67.297284774644524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67.297284774644524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45">
      <c r="A99" s="10">
        <f t="shared" si="85"/>
        <v>96</v>
      </c>
      <c r="B99" s="73">
        <f>'Scénario référence'!$B$16*5+'Scénario référence'!$B$17*0+'Scénario référence'!$B$18*5</f>
        <v>2.8499999999999996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10.449999999999998</v>
      </c>
      <c r="H99" s="67">
        <f t="shared" si="56"/>
        <v>214.86666666666667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67.344170841438398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11.283999999999997</v>
      </c>
      <c r="N99" s="13">
        <f>IF('Données projet'!$A$36&gt;35,N98+M99-V98,IF(A99&lt;'Données projet'!$A$36,$K$205^A99,IF(A99='Données projet'!$A$36,'Données projet'!$B$36,N98+M99-V98)))</f>
        <v>470.53399999999999</v>
      </c>
      <c r="O99" s="13">
        <f>N99*VLOOKUP('Données projet'!$B$9,Paramètres!$A$1:$I$89,3,0)*VLOOKUP('Données projet'!$B$9,Paramètres!$A$1:$I$89,5,0)</f>
        <v>425.73916320000001</v>
      </c>
      <c r="P99" s="13">
        <f t="shared" si="87"/>
        <v>96.975795710339128</v>
      </c>
      <c r="Q99" s="20">
        <f t="shared" ref="Q99:Q130" si="107">(O99+P99)*0.475*44/12</f>
        <v>910.39522010217399</v>
      </c>
      <c r="R99" s="59">
        <f t="shared" si="55"/>
        <v>1193.9905131874482</v>
      </c>
      <c r="S99" s="59">
        <f ca="1">AVERAGE(OFFSET($R$3,0,0,'Données projet'!$E$9+1,1))-AVERAGE(OFFSET($H$3,0,0,'Données projet'!$E$9+1,1))</f>
        <v>719.20816951277925</v>
      </c>
      <c r="T99" s="59">
        <f t="shared" si="88"/>
        <v>237.1127421841087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34.149327892631035</v>
      </c>
      <c r="AA99" s="21">
        <f>EXP(-LN(2)/25)*AA98+(1-EXP(-LN(2)/25))/(LN(2)/25)*Calculateur!V99*Calculateur!X99*VLOOKUP('Données projet'!$B$9,Paramètres!$A$1:$I$89,3,0)*0.475*44/12</f>
        <v>30.155302767493655</v>
      </c>
      <c r="AB99" s="21">
        <f>EXP(-LN(2)/2)*AB98+(1-EXP(-LN(2)/2))/(LN(2)/2)*V99*Y99*VLOOKUP('Données projet'!$B$9,Paramètres!$A$1:$I$89,3,0)*0.475*44/12</f>
        <v>0.77353690349382576</v>
      </c>
      <c r="AC99" s="22">
        <f t="shared" si="57"/>
        <v>65.078167563618507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67.344170841438398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11.216666666666672</v>
      </c>
      <c r="AI99" s="13">
        <f>IF('Données projet'!$A$62&gt;35,AI98+AH99-AQ98,IF(A99&lt;'Données projet'!$A$62,$AF$205^A99,IF(A99='Données projet'!$A$62,'Données projet'!$B$62,AI98+AH99-AQ98)))</f>
        <v>431.58000000000004</v>
      </c>
      <c r="AJ99" s="13">
        <f>AI99*VLOOKUP('Données projet'!$B$10,Paramètres!$A$1:$I$89,3,0)*VLOOKUP('Données projet'!$B$10,Paramètres!$A$1:$I$89,5,0)</f>
        <v>363.56299200000007</v>
      </c>
      <c r="AK99" s="13">
        <f t="shared" si="89"/>
        <v>84.349062558657408</v>
      </c>
      <c r="AL99" s="20">
        <f t="shared" si="58"/>
        <v>780.11349502299515</v>
      </c>
      <c r="AM99" s="59">
        <f t="shared" si="59"/>
        <v>1063.7087881082693</v>
      </c>
      <c r="AN99" s="59">
        <f ca="1">AVERAGE(OFFSET($AM$3,0,0,'Données projet'!$E$10+1,1))-AVERAGE(OFFSET($H$3,0,0,'Données projet'!$E$10+1,1))</f>
        <v>442.79037205372367</v>
      </c>
      <c r="AO99" s="59">
        <f t="shared" si="90"/>
        <v>288.23553637727969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48.41037324976925</v>
      </c>
      <c r="AV99" s="21">
        <f>EXP(-LN(2)/25)*AV98+(1-EXP(-LN(2)/25))/(LN(2)/25)*Calculateur!AQ99*Calculateur!AS99*VLOOKUP('Données projet'!$B$10,Paramètres!$A$1:$I$89,3,0)*0.475*44/12</f>
        <v>25.24323540926137</v>
      </c>
      <c r="AW99" s="21">
        <f>EXP(-LN(2)/2)*AW98+(1-EXP(-LN(2)/2))/(LN(2)/2)*AQ99*AT99*VLOOKUP('Données projet'!$B$10,Paramètres!$A$1:$I$89,3,0)*0.475*44/12</f>
        <v>1.3889940092192221E-3</v>
      </c>
      <c r="AX99" s="21">
        <f t="shared" si="60"/>
        <v>73.654997653039842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67.344170841438398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6.7777777777777777</v>
      </c>
      <c r="BD99" s="12">
        <f>IF('Données projet'!$A$88&gt;35,BD98+BC99-BL98,IF(A99&lt;'Données projet'!$A$88,$BA$205^A99,IF(A99='Données projet'!$A$88,'Données projet'!$B$88,BD98+BC99-BL98)))</f>
        <v>217.14777777777766</v>
      </c>
      <c r="BE99" s="13">
        <f>BD99*VLOOKUP('Données projet'!$B$11,Paramètres!$A$1:$I$89,3,0)*VLOOKUP('Données projet'!$B$11,Paramètres!$A$1:$I$89,5,0)</f>
        <v>220.18784666666656</v>
      </c>
      <c r="BF99" s="13">
        <f t="shared" si="91"/>
        <v>54.155711237243175</v>
      </c>
      <c r="BG99" s="20">
        <f t="shared" si="61"/>
        <v>477.81503001597611</v>
      </c>
      <c r="BH99" s="59">
        <f t="shared" si="62"/>
        <v>761.41032310125024</v>
      </c>
      <c r="BI99" s="59">
        <f ca="1">AVERAGE(OFFSET($BH$3,0,0,'Données projet'!$E$11+1,1))-AVERAGE(OFFSET($H$3,0,0,'Données projet'!$E$11+1,1))</f>
        <v>559.91818701710872</v>
      </c>
      <c r="BJ99" s="59">
        <f t="shared" si="92"/>
        <v>273.47272623465915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12.174901909587389</v>
      </c>
      <c r="BQ99" s="21">
        <f>EXP(-LN(2)/25)*BQ98+(1-EXP(-LN(2)/25))/(LN(2)/25)*Calculateur!BL99*Calculateur!BN99*VLOOKUP('Données projet'!$B$11,Paramètres!$A$1:$I$89,3,0)*0.475*44/12</f>
        <v>32.359422543586213</v>
      </c>
      <c r="BR99" s="21">
        <f>EXP(-LN(2)/2)*BR98+(1-EXP(-LN(2)/2))/(LN(2)/2)*BL99*BO99*VLOOKUP('Données projet'!$B$11,Paramètres!$A$1:$I$89,3,0)*0.475*44/12</f>
        <v>2.9768515058702558</v>
      </c>
      <c r="BS99" s="22">
        <f t="shared" si="63"/>
        <v>47.511175959043861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67.344170841438398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-1.1368683772161603E-13</v>
      </c>
      <c r="BZ99" s="13">
        <f>BY99*VLOOKUP('Données projet'!$B$12,Paramètres!$A$1:$I$89,3,0)*VLOOKUP('Données projet'!$B$12,Paramètres!$A$1:$I$89,5,0)</f>
        <v>-8.8675733422860506E-14</v>
      </c>
      <c r="CA99" s="13" t="e">
        <f t="shared" si="93"/>
        <v>#NUM!</v>
      </c>
      <c r="CB99" s="20" t="e">
        <f t="shared" si="64"/>
        <v>#NUM!</v>
      </c>
      <c r="CC99" s="59" t="e">
        <f t="shared" si="65"/>
        <v>#NUM!</v>
      </c>
      <c r="CD99" s="59">
        <f ca="1">AVERAGE(OFFSET($CC$3,0,0,'Données projet'!$E$12+1,1))-AVERAGE(OFFSET($H$3,0,0,'Données projet'!$E$12+1,1))</f>
        <v>208.92677786250815</v>
      </c>
      <c r="CE99" s="59">
        <f t="shared" si="94"/>
        <v>207.54290142772214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16.147540287384015</v>
      </c>
      <c r="CL99" s="21">
        <f>EXP(-LN(2)/25)*CL98+(1-EXP(-LN(2)/25))/(LN(2)/25)*Calculateur!CG99*Calculateur!CI99*VLOOKUP('Données projet'!$B$12,Paramètres!$A$1:$I$89,3,0)*0.475*44/12</f>
        <v>12.837026468266524</v>
      </c>
      <c r="CM99" s="21">
        <f>EXP(-LN(2)/2)*CM98+(1-EXP(-LN(2)/2))/(LN(2)/2)*CG99*CJ99*VLOOKUP('Données projet'!$B$12,Paramètres!$A$1:$I$89,3,0)*0.475*44/12</f>
        <v>3.3617064575941365E-3</v>
      </c>
      <c r="CN99" s="22">
        <f t="shared" si="66"/>
        <v>28.987928462108133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67.344170841438398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8.9989999999999952</v>
      </c>
      <c r="CT99" s="12">
        <f>IF('Données projet'!$A$140&gt;35,CT98+CS99-DB98,IF(A99&lt;'Données projet'!$A$140,$CQ$205^A99,IF(A99='Données projet'!$A$140,'Données projet'!$B$140,CT98+CS99-DB98)))</f>
        <v>308.40699999999993</v>
      </c>
      <c r="CU99" s="17">
        <f>CT99*VLOOKUP('Données projet'!$B$13,Paramètres!$A$1:$I$89,3,0)*VLOOKUP('Données projet'!$B$13,Paramètres!$A$1:$I$89,5,0)</f>
        <v>293.48010119999992</v>
      </c>
      <c r="CV99" s="13">
        <f t="shared" si="95"/>
        <v>69.807899272049525</v>
      </c>
      <c r="CW99" s="20">
        <f t="shared" si="67"/>
        <v>632.72660082215282</v>
      </c>
      <c r="CX99" s="59">
        <f t="shared" si="68"/>
        <v>916.32189390742701</v>
      </c>
      <c r="CY99" s="59">
        <f ca="1">AVERAGE(OFFSET($CX$3,0,0,'Données projet'!$E$13+1,1))-AVERAGE(OFFSET($H$3,0,0,'Données projet'!$E$13+1,1))</f>
        <v>470.42022791389275</v>
      </c>
      <c r="CZ99" s="59">
        <f t="shared" si="96"/>
        <v>300.26117330627346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21.887269865873208</v>
      </c>
      <c r="DG99" s="21">
        <f>EXP(-LN(2)/25)*DG98+(1-EXP(-LN(2)/25))/(LN(2)/25)*Calculateur!DB99*Calculateur!DD99*VLOOKUP('Données projet'!$B$13,Paramètres!$A$1:$I$89,3,0)*0.475*44/12</f>
        <v>21.723095309799682</v>
      </c>
      <c r="DH99" s="21">
        <f>EXP(-LN(2)/2)*DH98+(1-EXP(-LN(2)/2))/(LN(2)/2)*DB99*DE99*VLOOKUP('Données projet'!$B$13,Paramètres!$A$1:$I$89,3,0)*0.475*44/12</f>
        <v>5.4847880219255201</v>
      </c>
      <c r="DI99" s="22">
        <f t="shared" si="69"/>
        <v>49.095153197598407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67.344170841438398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6.7777777777777777</v>
      </c>
      <c r="DO99" s="12">
        <f>IF('Données projet'!$A$166&gt;35,DO98+DN99-DW98,IF(A99&lt;'Données projet'!$A$166,$DL$205^A99,IF(A99='Données projet'!$A$166,'Données projet'!$B$166,DO98+DN99-DW98)))</f>
        <v>217.14777777777766</v>
      </c>
      <c r="DP99" s="17">
        <f>DO99*VLOOKUP('Données projet'!$B$14,Paramètres!$A$1:$I$89,3,0)*VLOOKUP('Données projet'!$B$14,Paramètres!$A$1:$I$89,5,0)</f>
        <v>210.02533066666655</v>
      </c>
      <c r="DQ99" s="13">
        <f t="shared" si="97"/>
        <v>51.941121047420019</v>
      </c>
      <c r="DR99" s="20">
        <f t="shared" si="70"/>
        <v>456.25823673536746</v>
      </c>
      <c r="DS99" s="59">
        <f t="shared" si="71"/>
        <v>739.8535298206416</v>
      </c>
      <c r="DT99" s="59">
        <f ca="1">AVERAGE(OFFSET($DS$3,0,0,'Données projet'!$E$14+1,1))-AVERAGE(OFFSET($H$3,0,0,'Données projet'!$E$14+1,1))</f>
        <v>537.37164071064103</v>
      </c>
      <c r="DU99" s="59">
        <f t="shared" si="98"/>
        <v>263.29777321132235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8.2949881142243722</v>
      </c>
      <c r="EB99" s="21">
        <f>EXP(-LN(2)/25)*EB98+(1-EXP(-LN(2)/25))/(LN(2)/25)*Calculateur!DW99*Calculateur!DY99*VLOOKUP('Données projet'!$B$14,Paramètres!$A$1:$I$89,3,0)*0.475*44/12</f>
        <v>15.612923845523921</v>
      </c>
      <c r="EC99" s="21">
        <f>EXP(-LN(2)/2)*EC98+(1-EXP(-LN(2)/2))/(LN(2)/2)*DW99*DZ99*VLOOKUP('Données projet'!$B$14,Paramètres!$A$1:$I$89,3,0)*0.475*44/12</f>
        <v>7.0870539689968535</v>
      </c>
      <c r="ED99" s="22">
        <f t="shared" si="72"/>
        <v>30.994965928745145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67.344170841438398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67.344170841438398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67.344170841438398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67.344170841438398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45">
      <c r="A100" s="10">
        <f t="shared" si="85"/>
        <v>97</v>
      </c>
      <c r="B100" s="73">
        <f>'Scénario référence'!$B$16*5+'Scénario référence'!$B$17*0+'Scénario référence'!$B$18*5</f>
        <v>2.8499999999999996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10.449999999999998</v>
      </c>
      <c r="H100" s="67">
        <f t="shared" si="56"/>
        <v>214.86666666666667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67.390243539794952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11.283999999999997</v>
      </c>
      <c r="N100" s="13">
        <f>IF('Données projet'!$A$36&gt;35,N99+M100-V99,IF(A100&lt;'Données projet'!$A$36,$K$205^A100,IF(A100='Données projet'!$A$36,'Données projet'!$B$36,N99+M100-V99)))</f>
        <v>481.81799999999998</v>
      </c>
      <c r="O100" s="13">
        <f>N100*VLOOKUP('Données projet'!$B$9,Paramètres!$A$1:$I$89,3,0)*VLOOKUP('Données projet'!$B$9,Paramètres!$A$1:$I$89,5,0)</f>
        <v>435.9489264</v>
      </c>
      <c r="P100" s="13">
        <f t="shared" si="87"/>
        <v>99.0278549926512</v>
      </c>
      <c r="Q100" s="20">
        <f t="shared" si="107"/>
        <v>931.75122759220085</v>
      </c>
      <c r="R100" s="59">
        <f t="shared" si="55"/>
        <v>1215.5154539047824</v>
      </c>
      <c r="S100" s="59">
        <f ca="1">AVERAGE(OFFSET($R$3,0,0,'Données projet'!$E$9+1,1))-AVERAGE(OFFSET($H$3,0,0,'Données projet'!$E$9+1,1))</f>
        <v>719.20816951277925</v>
      </c>
      <c r="T100" s="59">
        <f t="shared" si="88"/>
        <v>237.1127421841087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33.479680401689862</v>
      </c>
      <c r="AA100" s="21">
        <f>EXP(-LN(2)/25)*AA99+(1-EXP(-LN(2)/25))/(LN(2)/25)*Calculateur!V100*Calculateur!X100*VLOOKUP('Données projet'!$B$9,Paramètres!$A$1:$I$89,3,0)*0.475*44/12</f>
        <v>29.330704427518089</v>
      </c>
      <c r="AB100" s="21">
        <f>EXP(-LN(2)/2)*AB99+(1-EXP(-LN(2)/2))/(LN(2)/2)*V100*Y100*VLOOKUP('Données projet'!$B$9,Paramètres!$A$1:$I$89,3,0)*0.475*44/12</f>
        <v>0.54697318995852817</v>
      </c>
      <c r="AC100" s="22">
        <f t="shared" si="57"/>
        <v>63.357358019166476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67.390243539794952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11.216666666666672</v>
      </c>
      <c r="AI100" s="13">
        <f>IF('Données projet'!$A$62&gt;35,AI99+AH100-AQ99,IF(A100&lt;'Données projet'!$A$62,$AF$205^A100,IF(A100='Données projet'!$A$62,'Données projet'!$B$62,AI99+AH100-AQ99)))</f>
        <v>442.79666666666674</v>
      </c>
      <c r="AJ100" s="13">
        <f>AI100*VLOOKUP('Données projet'!$B$10,Paramètres!$A$1:$I$89,3,0)*VLOOKUP('Données projet'!$B$10,Paramètres!$A$1:$I$89,5,0)</f>
        <v>373.01191200000011</v>
      </c>
      <c r="AK100" s="13">
        <f t="shared" si="89"/>
        <v>86.283200009575495</v>
      </c>
      <c r="AL100" s="20">
        <f t="shared" si="58"/>
        <v>799.93898675001083</v>
      </c>
      <c r="AM100" s="59">
        <f t="shared" si="59"/>
        <v>1083.7032130625923</v>
      </c>
      <c r="AN100" s="59">
        <f ca="1">AVERAGE(OFFSET($AM$3,0,0,'Données projet'!$E$10+1,1))-AVERAGE(OFFSET($H$3,0,0,'Données projet'!$E$10+1,1))</f>
        <v>442.79037205372367</v>
      </c>
      <c r="AO100" s="59">
        <f t="shared" si="90"/>
        <v>288.23553637727969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47.461075357753366</v>
      </c>
      <c r="AV100" s="21">
        <f>EXP(-LN(2)/25)*AV99+(1-EXP(-LN(2)/25))/(LN(2)/25)*Calculateur!AQ100*Calculateur!AS100*VLOOKUP('Données projet'!$B$10,Paramètres!$A$1:$I$89,3,0)*0.475*44/12</f>
        <v>24.55295780951106</v>
      </c>
      <c r="AW100" s="21">
        <f>EXP(-LN(2)/2)*AW99+(1-EXP(-LN(2)/2))/(LN(2)/2)*AQ100*AT100*VLOOKUP('Données projet'!$B$10,Paramètres!$A$1:$I$89,3,0)*0.475*44/12</f>
        <v>9.8216708294640185E-4</v>
      </c>
      <c r="AX100" s="21">
        <f t="shared" si="60"/>
        <v>72.015015334347382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67.390243539794952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6.7777777777777777</v>
      </c>
      <c r="BD100" s="12">
        <f>IF('Données projet'!$A$88&gt;35,BD99+BC100-BL99,IF(A100&lt;'Données projet'!$A$88,$BA$205^A100,IF(A100='Données projet'!$A$88,'Données projet'!$B$88,BD99+BC100-BL99)))</f>
        <v>223.92555555555543</v>
      </c>
      <c r="BE100" s="13">
        <f>BD100*VLOOKUP('Données projet'!$B$11,Paramètres!$A$1:$I$89,3,0)*VLOOKUP('Données projet'!$B$11,Paramètres!$A$1:$I$89,5,0)</f>
        <v>227.06051333333323</v>
      </c>
      <c r="BF100" s="13">
        <f t="shared" si="91"/>
        <v>55.646620764750722</v>
      </c>
      <c r="BG100" s="20">
        <f t="shared" si="61"/>
        <v>492.38159188749614</v>
      </c>
      <c r="BH100" s="59">
        <f t="shared" si="62"/>
        <v>776.14581820007766</v>
      </c>
      <c r="BI100" s="59">
        <f ca="1">AVERAGE(OFFSET($BH$3,0,0,'Données projet'!$E$11+1,1))-AVERAGE(OFFSET($H$3,0,0,'Données projet'!$E$11+1,1))</f>
        <v>559.91818701710872</v>
      </c>
      <c r="BJ100" s="59">
        <f t="shared" si="92"/>
        <v>273.47272623465915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11.936159509097292</v>
      </c>
      <c r="BQ100" s="21">
        <f>EXP(-LN(2)/25)*BQ99+(1-EXP(-LN(2)/25))/(LN(2)/25)*Calculateur!BL100*Calculateur!BN100*VLOOKUP('Données projet'!$B$11,Paramètres!$A$1:$I$89,3,0)*0.475*44/12</f>
        <v>31.474552432423774</v>
      </c>
      <c r="BR100" s="21">
        <f>EXP(-LN(2)/2)*BR99+(1-EXP(-LN(2)/2))/(LN(2)/2)*BL100*BO100*VLOOKUP('Données projet'!$B$11,Paramètres!$A$1:$I$89,3,0)*0.475*44/12</f>
        <v>2.1049518863862438</v>
      </c>
      <c r="BS100" s="22">
        <f t="shared" si="63"/>
        <v>45.515663827907311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67.390243539794952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-1.1368683772161603E-13</v>
      </c>
      <c r="BZ100" s="13">
        <f>BY100*VLOOKUP('Données projet'!$B$12,Paramètres!$A$1:$I$89,3,0)*VLOOKUP('Données projet'!$B$12,Paramètres!$A$1:$I$89,5,0)</f>
        <v>-8.8675733422860506E-14</v>
      </c>
      <c r="CA100" s="13" t="e">
        <f t="shared" si="93"/>
        <v>#NUM!</v>
      </c>
      <c r="CB100" s="20" t="e">
        <f t="shared" si="64"/>
        <v>#NUM!</v>
      </c>
      <c r="CC100" s="59" t="e">
        <f t="shared" si="65"/>
        <v>#NUM!</v>
      </c>
      <c r="CD100" s="59">
        <f ca="1">AVERAGE(OFFSET($CC$3,0,0,'Données projet'!$E$12+1,1))-AVERAGE(OFFSET($H$3,0,0,'Données projet'!$E$12+1,1))</f>
        <v>208.92677786250815</v>
      </c>
      <c r="CE100" s="59">
        <f t="shared" si="94"/>
        <v>207.54290142772214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15.830896871375479</v>
      </c>
      <c r="CL100" s="21">
        <f>EXP(-LN(2)/25)*CL99+(1-EXP(-LN(2)/25))/(LN(2)/25)*Calculateur!CG100*Calculateur!CI100*VLOOKUP('Données projet'!$B$12,Paramètres!$A$1:$I$89,3,0)*0.475*44/12</f>
        <v>12.485997304421893</v>
      </c>
      <c r="CM100" s="21">
        <f>EXP(-LN(2)/2)*CM99+(1-EXP(-LN(2)/2))/(LN(2)/2)*CG100*CJ100*VLOOKUP('Données projet'!$B$12,Paramètres!$A$1:$I$89,3,0)*0.475*44/12</f>
        <v>2.3770854325234209E-3</v>
      </c>
      <c r="CN100" s="22">
        <f t="shared" si="66"/>
        <v>28.319271261229897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67.390243539794952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8.9989999999999952</v>
      </c>
      <c r="CT100" s="12">
        <f>IF('Données projet'!$A$140&gt;35,CT99+CS100-DB99,IF(A100&lt;'Données projet'!$A$140,$CQ$205^A100,IF(A100='Données projet'!$A$140,'Données projet'!$B$140,CT99+CS100-DB99)))</f>
        <v>317.40599999999995</v>
      </c>
      <c r="CU100" s="17">
        <f>CT100*VLOOKUP('Données projet'!$B$13,Paramètres!$A$1:$I$89,3,0)*VLOOKUP('Données projet'!$B$13,Paramètres!$A$1:$I$89,5,0)</f>
        <v>302.04354959999995</v>
      </c>
      <c r="CV100" s="13">
        <f t="shared" si="95"/>
        <v>71.604700553278462</v>
      </c>
      <c r="CW100" s="20">
        <f t="shared" si="67"/>
        <v>650.77070235029328</v>
      </c>
      <c r="CX100" s="59">
        <f t="shared" si="68"/>
        <v>934.53492866287479</v>
      </c>
      <c r="CY100" s="59">
        <f ca="1">AVERAGE(OFFSET($CX$3,0,0,'Données projet'!$E$13+1,1))-AVERAGE(OFFSET($H$3,0,0,'Données projet'!$E$13+1,1))</f>
        <v>470.42022791389275</v>
      </c>
      <c r="CZ100" s="59">
        <f t="shared" si="96"/>
        <v>300.26117330627346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21.458073853719856</v>
      </c>
      <c r="DG100" s="21">
        <f>EXP(-LN(2)/25)*DG99+(1-EXP(-LN(2)/25))/(LN(2)/25)*Calculateur!DB100*Calculateur!DD100*VLOOKUP('Données projet'!$B$13,Paramètres!$A$1:$I$89,3,0)*0.475*44/12</f>
        <v>21.129076126185275</v>
      </c>
      <c r="DH100" s="21">
        <f>EXP(-LN(2)/2)*DH99+(1-EXP(-LN(2)/2))/(LN(2)/2)*DB100*DE100*VLOOKUP('Données projet'!$B$13,Paramètres!$A$1:$I$89,3,0)*0.475*44/12</f>
        <v>3.8783308036742858</v>
      </c>
      <c r="DI100" s="22">
        <f t="shared" si="69"/>
        <v>46.465480783579423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67.390243539794952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6.7777777777777777</v>
      </c>
      <c r="DO100" s="12">
        <f>IF('Données projet'!$A$166&gt;35,DO99+DN100-DW99,IF(A100&lt;'Données projet'!$A$166,$DL$205^A100,IF(A100='Données projet'!$A$166,'Données projet'!$B$166,DO99+DN100-DW99)))</f>
        <v>223.92555555555543</v>
      </c>
      <c r="DP100" s="17">
        <f>DO100*VLOOKUP('Données projet'!$B$14,Paramètres!$A$1:$I$89,3,0)*VLOOKUP('Données projet'!$B$14,Paramètres!$A$1:$I$89,5,0)</f>
        <v>216.58079733333321</v>
      </c>
      <c r="DQ100" s="13">
        <f t="shared" si="97"/>
        <v>53.371062792617998</v>
      </c>
      <c r="DR100" s="20">
        <f t="shared" si="70"/>
        <v>470.16615638603167</v>
      </c>
      <c r="DS100" s="59">
        <f t="shared" si="71"/>
        <v>753.93038269861313</v>
      </c>
      <c r="DT100" s="59">
        <f ca="1">AVERAGE(OFFSET($DS$3,0,0,'Données projet'!$E$14+1,1))-AVERAGE(OFFSET($H$3,0,0,'Données projet'!$E$14+1,1))</f>
        <v>537.37164071064103</v>
      </c>
      <c r="DU100" s="59">
        <f t="shared" si="98"/>
        <v>263.29777321132235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8.1323284567476026</v>
      </c>
      <c r="EB100" s="21">
        <f>EXP(-LN(2)/25)*EB99+(1-EXP(-LN(2)/25))/(LN(2)/25)*Calculateur!DW100*Calculateur!DY100*VLOOKUP('Données projet'!$B$14,Paramètres!$A$1:$I$89,3,0)*0.475*44/12</f>
        <v>15.185987621920088</v>
      </c>
      <c r="EC100" s="21">
        <f>EXP(-LN(2)/2)*EC99+(1-EXP(-LN(2)/2))/(LN(2)/2)*DW100*DZ100*VLOOKUP('Données projet'!$B$14,Paramètres!$A$1:$I$89,3,0)*0.475*44/12</f>
        <v>5.0113039201127112</v>
      </c>
      <c r="ED100" s="22">
        <f t="shared" si="72"/>
        <v>28.329619998780402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67.390243539794952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67.390243539794952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67.390243539794952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67.390243539794952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45">
      <c r="A101" s="10">
        <f t="shared" si="85"/>
        <v>98</v>
      </c>
      <c r="B101" s="73">
        <f>'Scénario référence'!$B$16*5+'Scénario référence'!$B$17*0+'Scénario référence'!$B$18*5</f>
        <v>2.8499999999999996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10.449999999999998</v>
      </c>
      <c r="H101" s="67">
        <f t="shared" si="56"/>
        <v>214.86666666666667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67.435516979838141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11.283999999999997</v>
      </c>
      <c r="N101" s="13">
        <f>IF('Données projet'!$A$36&gt;35,N100+M101-V100,IF(A101&lt;'Données projet'!$A$36,$K$205^A101,IF(A101='Données projet'!$A$36,'Données projet'!$B$36,N100+M101-V100)))</f>
        <v>493.10199999999998</v>
      </c>
      <c r="O101" s="13">
        <f>N101*VLOOKUP('Données projet'!$B$9,Paramètres!$A$1:$I$89,3,0)*VLOOKUP('Données projet'!$B$9,Paramètres!$A$1:$I$89,5,0)</f>
        <v>446.15868959999995</v>
      </c>
      <c r="P101" s="13">
        <f t="shared" si="87"/>
        <v>101.07432734685769</v>
      </c>
      <c r="Q101" s="20">
        <f t="shared" si="107"/>
        <v>953.09750451577702</v>
      </c>
      <c r="R101" s="59">
        <f t="shared" si="55"/>
        <v>1237.0277334418502</v>
      </c>
      <c r="S101" s="59">
        <f ca="1">AVERAGE(OFFSET($R$3,0,0,'Données projet'!$E$9+1,1))-AVERAGE(OFFSET($H$3,0,0,'Données projet'!$E$9+1,1))</f>
        <v>719.20816951277925</v>
      </c>
      <c r="T101" s="59">
        <f t="shared" si="88"/>
        <v>237.1127421841087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32.823164289601401</v>
      </c>
      <c r="AA101" s="21">
        <f>EXP(-LN(2)/25)*AA100+(1-EXP(-LN(2)/25))/(LN(2)/25)*Calculateur!V101*Calculateur!X101*VLOOKUP('Données projet'!$B$9,Paramètres!$A$1:$I$89,3,0)*0.475*44/12</f>
        <v>28.528654772512898</v>
      </c>
      <c r="AB101" s="21">
        <f>EXP(-LN(2)/2)*AB100+(1-EXP(-LN(2)/2))/(LN(2)/2)*V101*Y101*VLOOKUP('Données projet'!$B$9,Paramètres!$A$1:$I$89,3,0)*0.475*44/12</f>
        <v>0.38676845174691288</v>
      </c>
      <c r="AC101" s="22">
        <f t="shared" si="57"/>
        <v>61.738587513861212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67.435516979838141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11.216666666666672</v>
      </c>
      <c r="AI101" s="13">
        <f>IF('Données projet'!$A$62&gt;35,AI100+AH101-AQ100,IF(A101&lt;'Données projet'!$A$62,$AF$205^A101,IF(A101='Données projet'!$A$62,'Données projet'!$B$62,AI100+AH101-AQ100)))</f>
        <v>454.01333333333343</v>
      </c>
      <c r="AJ101" s="13">
        <f>AI101*VLOOKUP('Données projet'!$B$10,Paramètres!$A$1:$I$89,3,0)*VLOOKUP('Données projet'!$B$10,Paramètres!$A$1:$I$89,5,0)</f>
        <v>382.4608320000001</v>
      </c>
      <c r="AK101" s="13">
        <f t="shared" si="89"/>
        <v>88.211642263441533</v>
      </c>
      <c r="AL101" s="20">
        <f t="shared" si="58"/>
        <v>819.75455934216086</v>
      </c>
      <c r="AM101" s="59">
        <f t="shared" si="59"/>
        <v>1103.6847882682341</v>
      </c>
      <c r="AN101" s="59">
        <f ca="1">AVERAGE(OFFSET($AM$3,0,0,'Données projet'!$E$10+1,1))-AVERAGE(OFFSET($H$3,0,0,'Données projet'!$E$10+1,1))</f>
        <v>442.79037205372367</v>
      </c>
      <c r="AO101" s="59">
        <f t="shared" si="90"/>
        <v>288.23553637727969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46.53039261838537</v>
      </c>
      <c r="AV101" s="21">
        <f>EXP(-LN(2)/25)*AV100+(1-EXP(-LN(2)/25))/(LN(2)/25)*Calculateur!AQ101*Calculateur!AS101*VLOOKUP('Données projet'!$B$10,Paramètres!$A$1:$I$89,3,0)*0.475*44/12</f>
        <v>23.881555887026046</v>
      </c>
      <c r="AW101" s="21">
        <f>EXP(-LN(2)/2)*AW100+(1-EXP(-LN(2)/2))/(LN(2)/2)*AQ101*AT101*VLOOKUP('Données projet'!$B$10,Paramètres!$A$1:$I$89,3,0)*0.475*44/12</f>
        <v>6.9449700460961106E-4</v>
      </c>
      <c r="AX101" s="21">
        <f t="shared" si="60"/>
        <v>70.412643002416033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67.435516979838141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6.7777777777777777</v>
      </c>
      <c r="BD101" s="12">
        <f>IF('Données projet'!$A$88&gt;35,BD100+BC101-BL100,IF(A101&lt;'Données projet'!$A$88,$BA$205^A101,IF(A101='Données projet'!$A$88,'Données projet'!$B$88,BD100+BC101-BL100)))</f>
        <v>230.70333333333321</v>
      </c>
      <c r="BE101" s="13">
        <f>BD101*VLOOKUP('Données projet'!$B$11,Paramètres!$A$1:$I$89,3,0)*VLOOKUP('Données projet'!$B$11,Paramètres!$A$1:$I$89,5,0)</f>
        <v>233.93317999999988</v>
      </c>
      <c r="BF101" s="13">
        <f t="shared" si="91"/>
        <v>57.132285924019129</v>
      </c>
      <c r="BG101" s="20">
        <f t="shared" si="61"/>
        <v>506.93901981766635</v>
      </c>
      <c r="BH101" s="59">
        <f t="shared" si="62"/>
        <v>790.86924874373949</v>
      </c>
      <c r="BI101" s="59">
        <f ca="1">AVERAGE(OFFSET($BH$3,0,0,'Données projet'!$E$11+1,1))-AVERAGE(OFFSET($H$3,0,0,'Données projet'!$E$11+1,1))</f>
        <v>559.91818701710872</v>
      </c>
      <c r="BJ101" s="59">
        <f t="shared" si="92"/>
        <v>273.47272623465915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11.702098701462321</v>
      </c>
      <c r="BQ101" s="21">
        <f>EXP(-LN(2)/25)*BQ100+(1-EXP(-LN(2)/25))/(LN(2)/25)*Calculateur!BL101*Calculateur!BN101*VLOOKUP('Données projet'!$B$11,Paramètres!$A$1:$I$89,3,0)*0.475*44/12</f>
        <v>30.61387914098437</v>
      </c>
      <c r="BR101" s="21">
        <f>EXP(-LN(2)/2)*BR100+(1-EXP(-LN(2)/2))/(LN(2)/2)*BL101*BO101*VLOOKUP('Données projet'!$B$11,Paramètres!$A$1:$I$89,3,0)*0.475*44/12</f>
        <v>1.4884257529351281</v>
      </c>
      <c r="BS101" s="22">
        <f t="shared" si="63"/>
        <v>43.804403595381821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67.435516979838141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-1.1368683772161603E-13</v>
      </c>
      <c r="BZ101" s="13">
        <f>BY101*VLOOKUP('Données projet'!$B$12,Paramètres!$A$1:$I$89,3,0)*VLOOKUP('Données projet'!$B$12,Paramètres!$A$1:$I$89,5,0)</f>
        <v>-8.8675733422860506E-14</v>
      </c>
      <c r="CA101" s="13" t="e">
        <f t="shared" si="93"/>
        <v>#NUM!</v>
      </c>
      <c r="CB101" s="20" t="e">
        <f t="shared" si="64"/>
        <v>#NUM!</v>
      </c>
      <c r="CC101" s="59" t="e">
        <f t="shared" si="65"/>
        <v>#NUM!</v>
      </c>
      <c r="CD101" s="59">
        <f ca="1">AVERAGE(OFFSET($CC$3,0,0,'Données projet'!$E$12+1,1))-AVERAGE(OFFSET($H$3,0,0,'Données projet'!$E$12+1,1))</f>
        <v>208.92677786250815</v>
      </c>
      <c r="CE101" s="59">
        <f t="shared" si="94"/>
        <v>207.54290142772214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15.520462639621458</v>
      </c>
      <c r="CL101" s="21">
        <f>EXP(-LN(2)/25)*CL100+(1-EXP(-LN(2)/25))/(LN(2)/25)*Calculateur!CG101*Calculateur!CI101*VLOOKUP('Données projet'!$B$12,Paramètres!$A$1:$I$89,3,0)*0.475*44/12</f>
        <v>12.144567051522415</v>
      </c>
      <c r="CM101" s="21">
        <f>EXP(-LN(2)/2)*CM100+(1-EXP(-LN(2)/2))/(LN(2)/2)*CG101*CJ101*VLOOKUP('Données projet'!$B$12,Paramètres!$A$1:$I$89,3,0)*0.475*44/12</f>
        <v>1.6808532287970683E-3</v>
      </c>
      <c r="CN101" s="22">
        <f t="shared" si="66"/>
        <v>27.66671054437267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67.435516979838141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8.9989999999999952</v>
      </c>
      <c r="CT101" s="12">
        <f>IF('Données projet'!$A$140&gt;35,CT100+CS101-DB100,IF(A101&lt;'Données projet'!$A$140,$CQ$205^A101,IF(A101='Données projet'!$A$140,'Données projet'!$B$140,CT100+CS101-DB100)))</f>
        <v>326.40499999999997</v>
      </c>
      <c r="CU101" s="17">
        <f>CT101*VLOOKUP('Données projet'!$B$13,Paramètres!$A$1:$I$89,3,0)*VLOOKUP('Données projet'!$B$13,Paramètres!$A$1:$I$89,5,0)</f>
        <v>310.60699799999998</v>
      </c>
      <c r="CV101" s="13">
        <f t="shared" si="95"/>
        <v>73.395581077832844</v>
      </c>
      <c r="CW101" s="20">
        <f t="shared" si="67"/>
        <v>668.80449189389219</v>
      </c>
      <c r="CX101" s="59">
        <f t="shared" si="68"/>
        <v>952.73472081996533</v>
      </c>
      <c r="CY101" s="59">
        <f ca="1">AVERAGE(OFFSET($CX$3,0,0,'Données projet'!$E$13+1,1))-AVERAGE(OFFSET($H$3,0,0,'Données projet'!$E$13+1,1))</f>
        <v>470.42022791389275</v>
      </c>
      <c r="CZ101" s="59">
        <f t="shared" si="96"/>
        <v>300.26117330627346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21.037294113581115</v>
      </c>
      <c r="DG101" s="21">
        <f>EXP(-LN(2)/25)*DG100+(1-EXP(-LN(2)/25))/(LN(2)/25)*Calculateur!DB101*Calculateur!DD101*VLOOKUP('Données projet'!$B$13,Paramètres!$A$1:$I$89,3,0)*0.475*44/12</f>
        <v>20.551300428384916</v>
      </c>
      <c r="DH101" s="21">
        <f>EXP(-LN(2)/2)*DH100+(1-EXP(-LN(2)/2))/(LN(2)/2)*DB101*DE101*VLOOKUP('Données projet'!$B$13,Paramètres!$A$1:$I$89,3,0)*0.475*44/12</f>
        <v>2.7423940109627605</v>
      </c>
      <c r="DI101" s="22">
        <f t="shared" si="69"/>
        <v>44.330988552928794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67.435516979838141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6.7777777777777777</v>
      </c>
      <c r="DO101" s="12">
        <f>IF('Données projet'!$A$166&gt;35,DO100+DN101-DW100,IF(A101&lt;'Données projet'!$A$166,$DL$205^A101,IF(A101='Données projet'!$A$166,'Données projet'!$B$166,DO100+DN101-DW100)))</f>
        <v>230.70333333333321</v>
      </c>
      <c r="DP101" s="17">
        <f>DO101*VLOOKUP('Données projet'!$B$14,Paramètres!$A$1:$I$89,3,0)*VLOOKUP('Données projet'!$B$14,Paramètres!$A$1:$I$89,5,0)</f>
        <v>223.13626399999987</v>
      </c>
      <c r="DQ101" s="13">
        <f t="shared" si="97"/>
        <v>54.795974627594028</v>
      </c>
      <c r="DR101" s="20">
        <f t="shared" si="70"/>
        <v>484.06531560972599</v>
      </c>
      <c r="DS101" s="59">
        <f t="shared" si="71"/>
        <v>767.99554453579913</v>
      </c>
      <c r="DT101" s="59">
        <f ca="1">AVERAGE(OFFSET($DS$3,0,0,'Données projet'!$E$14+1,1))-AVERAGE(OFFSET($H$3,0,0,'Données projet'!$E$14+1,1))</f>
        <v>537.37164071064103</v>
      </c>
      <c r="DU101" s="59">
        <f t="shared" si="98"/>
        <v>263.29777321132235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7.9728584559413589</v>
      </c>
      <c r="EB101" s="21">
        <f>EXP(-LN(2)/25)*EB100+(1-EXP(-LN(2)/25))/(LN(2)/25)*Calculateur!DW101*Calculateur!DY101*VLOOKUP('Données projet'!$B$14,Paramètres!$A$1:$I$89,3,0)*0.475*44/12</f>
        <v>14.770725991802301</v>
      </c>
      <c r="EC101" s="21">
        <f>EXP(-LN(2)/2)*EC100+(1-EXP(-LN(2)/2))/(LN(2)/2)*DW101*DZ101*VLOOKUP('Données projet'!$B$14,Paramètres!$A$1:$I$89,3,0)*0.475*44/12</f>
        <v>3.5435269844984267</v>
      </c>
      <c r="ED101" s="22">
        <f t="shared" si="72"/>
        <v>26.287111432242089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67.435516979838141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67.435516979838141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67.435516979838141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67.435516979838141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45">
      <c r="A102" s="10">
        <f t="shared" si="85"/>
        <v>99</v>
      </c>
      <c r="B102" s="73">
        <f>'Scénario référence'!$B$16*5+'Scénario référence'!$B$17*0+'Scénario référence'!$B$18*5</f>
        <v>2.8499999999999996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10.449999999999998</v>
      </c>
      <c r="H102" s="67">
        <f t="shared" si="56"/>
        <v>214.86666666666667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67.480005026912835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11.283999999999997</v>
      </c>
      <c r="N102" s="13">
        <f>IF('Données projet'!$A$36&gt;35,N101+M102-V101,IF(A102&lt;'Données projet'!$A$36,$K$205^A102,IF(A102='Données projet'!$A$36,'Données projet'!$B$36,N101+M102-V101)))</f>
        <v>504.38599999999997</v>
      </c>
      <c r="O102" s="13">
        <f>N102*VLOOKUP('Données projet'!$B$9,Paramètres!$A$1:$I$89,3,0)*VLOOKUP('Données projet'!$B$9,Paramètres!$A$1:$I$89,5,0)</f>
        <v>456.36845279999994</v>
      </c>
      <c r="P102" s="13">
        <f t="shared" si="87"/>
        <v>103.11535533948117</v>
      </c>
      <c r="Q102" s="20">
        <f t="shared" si="107"/>
        <v>974.43429917626281</v>
      </c>
      <c r="R102" s="59">
        <f t="shared" si="55"/>
        <v>1258.5276509416099</v>
      </c>
      <c r="S102" s="59">
        <f ca="1">AVERAGE(OFFSET($R$3,0,0,'Données projet'!$E$9+1,1))-AVERAGE(OFFSET($H$3,0,0,'Données projet'!$E$9+1,1))</f>
        <v>719.20816951277925</v>
      </c>
      <c r="T102" s="59">
        <f t="shared" si="88"/>
        <v>237.1127421841087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32.179522058035708</v>
      </c>
      <c r="AA102" s="21">
        <f>EXP(-LN(2)/25)*AA101+(1-EXP(-LN(2)/25))/(LN(2)/25)*Calculateur!V102*Calculateur!X102*VLOOKUP('Données projet'!$B$9,Paramètres!$A$1:$I$89,3,0)*0.475*44/12</f>
        <v>27.74853720750178</v>
      </c>
      <c r="AB102" s="21">
        <f>EXP(-LN(2)/2)*AB101+(1-EXP(-LN(2)/2))/(LN(2)/2)*V102*Y102*VLOOKUP('Données projet'!$B$9,Paramètres!$A$1:$I$89,3,0)*0.475*44/12</f>
        <v>0.27348659497926409</v>
      </c>
      <c r="AC102" s="22">
        <f t="shared" si="57"/>
        <v>60.201545860516745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67.480005026912835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>
        <f>VLOOKUP(A102,'Données projet'!$A$61:$I$81,2,0)</f>
        <v>465.23</v>
      </c>
      <c r="AG102" s="12">
        <f>VLOOKUP(A102,'Données projet'!$A$61:$I$81,9,0)</f>
        <v>11.216666666666672</v>
      </c>
      <c r="AH102" s="12">
        <f t="array" ref="AH102">INDEX(AG:AG,MIN(IF(ISNUMBER(AG102:AG298),ROW(AG102:AG298),"")))</f>
        <v>11.216666666666672</v>
      </c>
      <c r="AI102" s="13">
        <f>IF('Données projet'!$A$62&gt;35,AI101+AH102-AQ101,IF(A102&lt;'Données projet'!$A$62,$AF$205^A102,IF(A102='Données projet'!$A$62,'Données projet'!$B$62,AI101+AH102-AQ101)))</f>
        <v>465.23000000000013</v>
      </c>
      <c r="AJ102" s="13">
        <f>AI102*VLOOKUP('Données projet'!$B$10,Paramètres!$A$1:$I$89,3,0)*VLOOKUP('Données projet'!$B$10,Paramètres!$A$1:$I$89,5,0)</f>
        <v>391.90975200000014</v>
      </c>
      <c r="AK102" s="13">
        <f t="shared" si="89"/>
        <v>90.134546207940858</v>
      </c>
      <c r="AL102" s="20">
        <f t="shared" si="58"/>
        <v>839.56048604549721</v>
      </c>
      <c r="AM102" s="59">
        <f t="shared" si="59"/>
        <v>1123.6538378108444</v>
      </c>
      <c r="AN102" s="59">
        <f ca="1">AVERAGE(OFFSET($AM$3,0,0,'Données projet'!$E$10+1,1))-AVERAGE(OFFSET($H$3,0,0,'Données projet'!$E$10+1,1))</f>
        <v>442.79037205372367</v>
      </c>
      <c r="AO102" s="59">
        <f t="shared" si="90"/>
        <v>288.23553637727969</v>
      </c>
      <c r="AP102" s="15">
        <f>IF(ISNA(VLOOKUP(A102,'Données projet'!$A$61:$I$81,3,0)),0,VLOOKUP(A102,'Données projet'!$A$61:$I$81,3,0))</f>
        <v>10</v>
      </c>
      <c r="AQ102" s="15">
        <f>IF(ISNA(VLOOKUP(A102,'Données projet'!$A$61:$I$81,4,0)),0,VLOOKUP(A102,'Données projet'!$A$61:$I$81,4,0))</f>
        <v>226.42000000000002</v>
      </c>
      <c r="AR102" s="16">
        <f>IF(ISNA(VLOOKUP(A102,'Données projet'!$A$61:$I$81,5,0)),0%,VLOOKUP(A102,'Données projet'!$A$61:$I$81,5,0)*VLOOKUP('Données projet'!$B$10,Paramètres!$A$1:$I$89,7,0))</f>
        <v>0.19350000000000001</v>
      </c>
      <c r="AS102" s="16">
        <f>IF(ISNA(VLOOKUP(A102,'Données projet'!$A$61:$I$81,6,0)),0%,VLOOKUP(A102,'Données projet'!$A$61:$I$81,6,0)*VLOOKUP('Données projet'!$B$10,Paramètres!$A$1:$I$89,7,0))</f>
        <v>2.1500000000000002E-2</v>
      </c>
      <c r="AT102" s="16">
        <f>IF(ISNA(VLOOKUP(A102,'Données projet'!$A$61:$I$81,7,0)),0%,VLOOKUP(A102,'Données projet'!$A$61:$I$81,7,0))</f>
        <v>0.05</v>
      </c>
      <c r="AU102" s="21">
        <f>EXP(-LN(2)/35)*AU101+(1-EXP(-LN(2)/35))/(LN(2)/35)*AQ102*AR102*VLOOKUP('Données projet'!$B$10,Paramètres!$A$1:$I$89,3,0)*0.475*44/12</f>
        <v>86.418059665948277</v>
      </c>
      <c r="AV102" s="21">
        <f>EXP(-LN(2)/25)*AV101+(1-EXP(-LN(2)/25))/(LN(2)/25)*Calculateur!AQ102*Calculateur!AS102*VLOOKUP('Données projet'!$B$10,Paramètres!$A$1:$I$89,3,0)*0.475*44/12</f>
        <v>27.744008388488901</v>
      </c>
      <c r="AW102" s="21">
        <f>EXP(-LN(2)/2)*AW101+(1-EXP(-LN(2)/2))/(LN(2)/2)*AQ102*AT102*VLOOKUP('Données projet'!$B$10,Paramètres!$A$1:$I$89,3,0)*0.475*44/12</f>
        <v>8.9987283754300513</v>
      </c>
      <c r="AX102" s="21">
        <f t="shared" si="60"/>
        <v>123.16079642986723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67.480005026912835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6.7777777777777777</v>
      </c>
      <c r="BD102" s="12">
        <f>IF('Données projet'!$A$88&gt;35,BD101+BC102-BL101,IF(A102&lt;'Données projet'!$A$88,$BA$205^A102,IF(A102='Données projet'!$A$88,'Données projet'!$B$88,BD101+BC102-BL101)))</f>
        <v>237.48111111111098</v>
      </c>
      <c r="BE102" s="13">
        <f>BD102*VLOOKUP('Données projet'!$B$11,Paramètres!$A$1:$I$89,3,0)*VLOOKUP('Données projet'!$B$11,Paramètres!$A$1:$I$89,5,0)</f>
        <v>240.80584666666655</v>
      </c>
      <c r="BF102" s="13">
        <f t="shared" si="91"/>
        <v>58.612878478503731</v>
      </c>
      <c r="BG102" s="20">
        <f t="shared" si="61"/>
        <v>521.48761296117152</v>
      </c>
      <c r="BH102" s="59">
        <f t="shared" si="62"/>
        <v>805.58096472651857</v>
      </c>
      <c r="BI102" s="59">
        <f ca="1">AVERAGE(OFFSET($BH$3,0,0,'Données projet'!$E$11+1,1))-AVERAGE(OFFSET($H$3,0,0,'Données projet'!$E$11+1,1))</f>
        <v>559.91818701710872</v>
      </c>
      <c r="BJ102" s="59">
        <f t="shared" si="92"/>
        <v>273.47272623465915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11.472627683502076</v>
      </c>
      <c r="BQ102" s="21">
        <f>EXP(-LN(2)/25)*BQ101+(1-EXP(-LN(2)/25))/(LN(2)/25)*Calculateur!BL102*Calculateur!BN102*VLOOKUP('Données projet'!$B$11,Paramètres!$A$1:$I$89,3,0)*0.475*44/12</f>
        <v>29.776741005960218</v>
      </c>
      <c r="BR102" s="21">
        <f>EXP(-LN(2)/2)*BR101+(1-EXP(-LN(2)/2))/(LN(2)/2)*BL102*BO102*VLOOKUP('Données projet'!$B$11,Paramètres!$A$1:$I$89,3,0)*0.475*44/12</f>
        <v>1.0524759431931219</v>
      </c>
      <c r="BS102" s="22">
        <f t="shared" si="63"/>
        <v>42.301844632655417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67.480005026912835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-1.1368683772161603E-13</v>
      </c>
      <c r="BZ102" s="13">
        <f>BY102*VLOOKUP('Données projet'!$B$12,Paramètres!$A$1:$I$89,3,0)*VLOOKUP('Données projet'!$B$12,Paramètres!$A$1:$I$89,5,0)</f>
        <v>-8.8675733422860506E-14</v>
      </c>
      <c r="CA102" s="13" t="e">
        <f t="shared" si="93"/>
        <v>#NUM!</v>
      </c>
      <c r="CB102" s="20" t="e">
        <f t="shared" si="64"/>
        <v>#NUM!</v>
      </c>
      <c r="CC102" s="59" t="e">
        <f t="shared" si="65"/>
        <v>#NUM!</v>
      </c>
      <c r="CD102" s="59">
        <f ca="1">AVERAGE(OFFSET($CC$3,0,0,'Données projet'!$E$12+1,1))-AVERAGE(OFFSET($H$3,0,0,'Données projet'!$E$12+1,1))</f>
        <v>208.92677786250815</v>
      </c>
      <c r="CE102" s="59">
        <f t="shared" si="94"/>
        <v>207.54290142772214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15.216115833805947</v>
      </c>
      <c r="CL102" s="21">
        <f>EXP(-LN(2)/25)*CL101+(1-EXP(-LN(2)/25))/(LN(2)/25)*Calculateur!CG102*Calculateur!CI102*VLOOKUP('Données projet'!$B$12,Paramètres!$A$1:$I$89,3,0)*0.475*44/12</f>
        <v>11.81247322684351</v>
      </c>
      <c r="CM102" s="21">
        <f>EXP(-LN(2)/2)*CM101+(1-EXP(-LN(2)/2))/(LN(2)/2)*CG102*CJ102*VLOOKUP('Données projet'!$B$12,Paramètres!$A$1:$I$89,3,0)*0.475*44/12</f>
        <v>1.1885427162617104E-3</v>
      </c>
      <c r="CN102" s="22">
        <f t="shared" si="66"/>
        <v>27.029777603365719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67.480005026912835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8.9989999999999952</v>
      </c>
      <c r="CT102" s="12">
        <f>IF('Données projet'!$A$140&gt;35,CT101+CS102-DB101,IF(A102&lt;'Données projet'!$A$140,$CQ$205^A102,IF(A102='Données projet'!$A$140,'Données projet'!$B$140,CT101+CS102-DB101)))</f>
        <v>335.404</v>
      </c>
      <c r="CU102" s="17">
        <f>CT102*VLOOKUP('Données projet'!$B$13,Paramètres!$A$1:$I$89,3,0)*VLOOKUP('Données projet'!$B$13,Paramètres!$A$1:$I$89,5,0)</f>
        <v>319.1704464</v>
      </c>
      <c r="CV102" s="13">
        <f t="shared" si="95"/>
        <v>75.180722836444687</v>
      </c>
      <c r="CW102" s="20">
        <f t="shared" si="67"/>
        <v>686.82828642014101</v>
      </c>
      <c r="CX102" s="59">
        <f t="shared" si="68"/>
        <v>970.92163818548806</v>
      </c>
      <c r="CY102" s="59">
        <f ca="1">AVERAGE(OFFSET($CX$3,0,0,'Données projet'!$E$13+1,1))-AVERAGE(OFFSET($H$3,0,0,'Données projet'!$E$13+1,1))</f>
        <v>470.42022791389275</v>
      </c>
      <c r="CZ102" s="59">
        <f t="shared" si="96"/>
        <v>300.26117330627346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20.624765607496194</v>
      </c>
      <c r="DG102" s="21">
        <f>EXP(-LN(2)/25)*DG101+(1-EXP(-LN(2)/25))/(LN(2)/25)*Calculateur!DB102*Calculateur!DD102*VLOOKUP('Données projet'!$B$13,Paramètres!$A$1:$I$89,3,0)*0.475*44/12</f>
        <v>19.989324037424812</v>
      </c>
      <c r="DH102" s="21">
        <f>EXP(-LN(2)/2)*DH101+(1-EXP(-LN(2)/2))/(LN(2)/2)*DB102*DE102*VLOOKUP('Données projet'!$B$13,Paramètres!$A$1:$I$89,3,0)*0.475*44/12</f>
        <v>1.9391654018371431</v>
      </c>
      <c r="DI102" s="22">
        <f t="shared" si="69"/>
        <v>42.553255046758153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67.480005026912835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6.7777777777777777</v>
      </c>
      <c r="DO102" s="12">
        <f>IF('Données projet'!$A$166&gt;35,DO101+DN102-DW101,IF(A102&lt;'Données projet'!$A$166,$DL$205^A102,IF(A102='Données projet'!$A$166,'Données projet'!$B$166,DO101+DN102-DW101)))</f>
        <v>237.48111111111098</v>
      </c>
      <c r="DP102" s="17">
        <f>DO102*VLOOKUP('Données projet'!$B$14,Paramètres!$A$1:$I$89,3,0)*VLOOKUP('Données projet'!$B$14,Paramètres!$A$1:$I$89,5,0)</f>
        <v>229.69173066666653</v>
      </c>
      <c r="DQ102" s="13">
        <f t="shared" si="97"/>
        <v>56.216021291878434</v>
      </c>
      <c r="DR102" s="20">
        <f t="shared" si="70"/>
        <v>497.95600132779902</v>
      </c>
      <c r="DS102" s="59">
        <f t="shared" si="71"/>
        <v>782.04935309314601</v>
      </c>
      <c r="DT102" s="59">
        <f ca="1">AVERAGE(OFFSET($DS$3,0,0,'Données projet'!$E$14+1,1))-AVERAGE(OFFSET($H$3,0,0,'Données projet'!$E$14+1,1))</f>
        <v>537.37164071064103</v>
      </c>
      <c r="DU102" s="59">
        <f t="shared" si="98"/>
        <v>263.29777321132235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7.8165155645838293</v>
      </c>
      <c r="EB102" s="21">
        <f>EXP(-LN(2)/25)*EB101+(1-EXP(-LN(2)/25))/(LN(2)/25)*Calculateur!DW102*Calculateur!DY102*VLOOKUP('Données projet'!$B$14,Paramètres!$A$1:$I$89,3,0)*0.475*44/12</f>
        <v>14.366819712797746</v>
      </c>
      <c r="EC102" s="21">
        <f>EXP(-LN(2)/2)*EC101+(1-EXP(-LN(2)/2))/(LN(2)/2)*DW102*DZ102*VLOOKUP('Données projet'!$B$14,Paramètres!$A$1:$I$89,3,0)*0.475*44/12</f>
        <v>2.5056519600563556</v>
      </c>
      <c r="ED102" s="22">
        <f t="shared" si="72"/>
        <v>24.688987237437928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67.480005026912835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67.480005026912835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67.480005026912835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67.480005026912835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45">
      <c r="A103" s="10">
        <f t="shared" si="85"/>
        <v>100</v>
      </c>
      <c r="B103" s="73">
        <f>'Scénario référence'!$B$16*5+'Scénario référence'!$B$17*0+'Scénario référence'!$B$18*5</f>
        <v>2.8499999999999996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10.449999999999998</v>
      </c>
      <c r="H103" s="67">
        <f t="shared" si="56"/>
        <v>214.86666666666667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67.523721305831145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515.66999999999996</v>
      </c>
      <c r="L103" s="12">
        <f>VLOOKUP(A103,'Données projet'!$A$35:$I$55,9,0)</f>
        <v>11.283999999999997</v>
      </c>
      <c r="M103" s="12">
        <f t="array" ref="M103">INDEX(L:L,MIN(IF(ISNUMBER(L103:L299),ROW(L103:L299),"")))</f>
        <v>11.283999999999997</v>
      </c>
      <c r="N103" s="13">
        <f>IF('Données projet'!$A$36&gt;35,N102+M103-V102,IF(A103&lt;'Données projet'!$A$36,$K$205^A103,IF(A103='Données projet'!$A$36,'Données projet'!$B$36,N102+M103-V102)))</f>
        <v>515.66999999999996</v>
      </c>
      <c r="O103" s="13">
        <f>N103*VLOOKUP('Données projet'!$B$9,Paramètres!$A$1:$I$89,3,0)*VLOOKUP('Données projet'!$B$9,Paramètres!$A$1:$I$89,5,0)</f>
        <v>466.57821599999988</v>
      </c>
      <c r="P103" s="13">
        <f t="shared" si="87"/>
        <v>105.15107479395371</v>
      </c>
      <c r="Q103" s="20">
        <f t="shared" si="107"/>
        <v>995.76184813280258</v>
      </c>
      <c r="R103" s="59">
        <f t="shared" si="55"/>
        <v>1280.0154929208502</v>
      </c>
      <c r="S103" s="59">
        <f ca="1">AVERAGE(OFFSET($R$3,0,0,'Données projet'!$E$9+1,1))-AVERAGE(OFFSET($H$3,0,0,'Données projet'!$E$9+1,1))</f>
        <v>719.20816951277925</v>
      </c>
      <c r="T103" s="59">
        <f t="shared" si="88"/>
        <v>237.1127421841087</v>
      </c>
      <c r="U103" s="15">
        <f>IF(ISNA(VLOOKUP(A103,'Données projet'!$A$35:$I$55,3,0)),0,VLOOKUP(A103,'Données projet'!$A$35:$I$55,3,0))</f>
        <v>9</v>
      </c>
      <c r="V103" s="15">
        <f>IF(ISNA(VLOOKUP(A103,'Données projet'!$A$35:$I$55,4,0)),0,VLOOKUP(A103,'Données projet'!$A$35:$I$55,4,0))</f>
        <v>93.039999999999964</v>
      </c>
      <c r="W103" s="16">
        <f>IF(ISNA(VLOOKUP(A103,'Données projet'!$A$35:$I$55,5,0)),0%,VLOOKUP(A103,'Données projet'!$A$35:$I$55,5,0)*VLOOKUP('Données projet'!$B$9,Paramètres!$A$1:$I$89,7,0))</f>
        <v>0.215</v>
      </c>
      <c r="X103" s="16">
        <f>IF(ISNA(VLOOKUP(A103,'Données projet'!$A$35:$I$55,6,0)),0%,VLOOKUP(A103,'Données projet'!$A$35:$I$55,6,0)*VLOOKUP('Données projet'!$B$9,Paramètres!$A$1:$I$89,7,0))</f>
        <v>8.6000000000000007E-2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51.556694072634123</v>
      </c>
      <c r="AA103" s="21">
        <f>EXP(-LN(2)/25)*AA102+(1-EXP(-LN(2)/25))/(LN(2)/25)*Calculateur!V103*Calculateur!X103*VLOOKUP('Données projet'!$B$9,Paramètres!$A$1:$I$89,3,0)*0.475*44/12</f>
        <v>34.961517172632867</v>
      </c>
      <c r="AB103" s="21">
        <f>EXP(-LN(2)/2)*AB102+(1-EXP(-LN(2)/2))/(LN(2)/2)*V103*Y103*VLOOKUP('Données projet'!$B$9,Paramètres!$A$1:$I$89,3,0)*0.475*44/12</f>
        <v>0.19338422587345644</v>
      </c>
      <c r="AC103" s="22">
        <f t="shared" si="57"/>
        <v>86.711595471140456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67.523721305831145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7.0300000000000011</v>
      </c>
      <c r="AI103" s="13">
        <f>IF('Données projet'!$A$62&gt;35,AI102+AH103-AQ102,IF(A103&lt;'Données projet'!$A$62,$AF$205^A103,IF(A103='Données projet'!$A$62,'Données projet'!$B$62,AI102+AH103-AQ102)))</f>
        <v>245.84000000000009</v>
      </c>
      <c r="AJ103" s="13">
        <f>AI103*VLOOKUP('Données projet'!$B$10,Paramètres!$A$1:$I$89,3,0)*VLOOKUP('Données projet'!$B$10,Paramètres!$A$1:$I$89,5,0)</f>
        <v>207.09561600000009</v>
      </c>
      <c r="AK103" s="13">
        <f t="shared" si="89"/>
        <v>51.300391199015458</v>
      </c>
      <c r="AL103" s="20">
        <f t="shared" si="58"/>
        <v>450.03971253828541</v>
      </c>
      <c r="AM103" s="59">
        <f t="shared" si="59"/>
        <v>734.29335732633297</v>
      </c>
      <c r="AN103" s="59">
        <f ca="1">AVERAGE(OFFSET($AM$3,0,0,'Données projet'!$E$10+1,1))-AVERAGE(OFFSET($H$3,0,0,'Données projet'!$E$10+1,1))</f>
        <v>442.79037205372367</v>
      </c>
      <c r="AO103" s="59">
        <f t="shared" si="90"/>
        <v>288.23553637727969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84.723454225710768</v>
      </c>
      <c r="AV103" s="21">
        <f>EXP(-LN(2)/25)*AV102+(1-EXP(-LN(2)/25))/(LN(2)/25)*Calculateur!AQ103*Calculateur!AS103*VLOOKUP('Données projet'!$B$10,Paramètres!$A$1:$I$89,3,0)*0.475*44/12</f>
        <v>26.985347020111679</v>
      </c>
      <c r="AW103" s="21">
        <f>EXP(-LN(2)/2)*AW102+(1-EXP(-LN(2)/2))/(LN(2)/2)*AQ103*AT103*VLOOKUP('Données projet'!$B$10,Paramètres!$A$1:$I$89,3,0)*0.475*44/12</f>
        <v>6.3630618563223944</v>
      </c>
      <c r="AX103" s="21">
        <f t="shared" si="60"/>
        <v>118.07186310214483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67.523721305831145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6.7777777777777777</v>
      </c>
      <c r="BD103" s="12">
        <f>IF('Données projet'!$A$88&gt;35,BD102+BC103-BL102,IF(A103&lt;'Données projet'!$A$88,$BA$205^A103,IF(A103='Données projet'!$A$88,'Données projet'!$B$88,BD102+BC103-BL102)))</f>
        <v>244.25888888888875</v>
      </c>
      <c r="BE103" s="13">
        <f>BD103*VLOOKUP('Données projet'!$B$11,Paramètres!$A$1:$I$89,3,0)*VLOOKUP('Données projet'!$B$11,Paramètres!$A$1:$I$89,5,0)</f>
        <v>247.6785133333332</v>
      </c>
      <c r="BF103" s="13">
        <f t="shared" si="91"/>
        <v>60.088559829649782</v>
      </c>
      <c r="BG103" s="20">
        <f t="shared" si="61"/>
        <v>536.02765242552857</v>
      </c>
      <c r="BH103" s="59">
        <f t="shared" si="62"/>
        <v>820.28129721357618</v>
      </c>
      <c r="BI103" s="59">
        <f ca="1">AVERAGE(OFFSET($BH$3,0,0,'Données projet'!$E$11+1,1))-AVERAGE(OFFSET($H$3,0,0,'Données projet'!$E$11+1,1))</f>
        <v>559.91818701710872</v>
      </c>
      <c r="BJ103" s="59">
        <f t="shared" si="92"/>
        <v>273.47272623465915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11.24765645224053</v>
      </c>
      <c r="BQ103" s="21">
        <f>EXP(-LN(2)/25)*BQ102+(1-EXP(-LN(2)/25))/(LN(2)/25)*Calculateur!BL103*Calculateur!BN103*VLOOKUP('Données projet'!$B$11,Paramètres!$A$1:$I$89,3,0)*0.475*44/12</f>
        <v>28.962494457261482</v>
      </c>
      <c r="BR103" s="21">
        <f>EXP(-LN(2)/2)*BR102+(1-EXP(-LN(2)/2))/(LN(2)/2)*BL103*BO103*VLOOKUP('Données projet'!$B$11,Paramètres!$A$1:$I$89,3,0)*0.475*44/12</f>
        <v>0.74421287646756407</v>
      </c>
      <c r="BS103" s="22">
        <f t="shared" si="63"/>
        <v>40.954363785969576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67.523721305831145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-1.1368683772161603E-13</v>
      </c>
      <c r="BZ103" s="13">
        <f>BY103*VLOOKUP('Données projet'!$B$12,Paramètres!$A$1:$I$89,3,0)*VLOOKUP('Données projet'!$B$12,Paramètres!$A$1:$I$89,5,0)</f>
        <v>-8.8675733422860506E-14</v>
      </c>
      <c r="CA103" s="13" t="e">
        <f t="shared" si="93"/>
        <v>#NUM!</v>
      </c>
      <c r="CB103" s="20" t="e">
        <f t="shared" si="64"/>
        <v>#NUM!</v>
      </c>
      <c r="CC103" s="59" t="e">
        <f t="shared" si="65"/>
        <v>#NUM!</v>
      </c>
      <c r="CD103" s="59">
        <f ca="1">AVERAGE(OFFSET($CC$3,0,0,'Données projet'!$E$12+1,1))-AVERAGE(OFFSET($H$3,0,0,'Données projet'!$E$12+1,1))</f>
        <v>208.92677786250815</v>
      </c>
      <c r="CE103" s="59">
        <f t="shared" si="94"/>
        <v>207.54290142772214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14.917737083219256</v>
      </c>
      <c r="CL103" s="21">
        <f>EXP(-LN(2)/25)*CL102+(1-EXP(-LN(2)/25))/(LN(2)/25)*Calculateur!CG103*Calculateur!CI103*VLOOKUP('Données projet'!$B$12,Paramètres!$A$1:$I$89,3,0)*0.475*44/12</f>
        <v>11.489460525264505</v>
      </c>
      <c r="CM103" s="21">
        <f>EXP(-LN(2)/2)*CM102+(1-EXP(-LN(2)/2))/(LN(2)/2)*CG103*CJ103*VLOOKUP('Données projet'!$B$12,Paramètres!$A$1:$I$89,3,0)*0.475*44/12</f>
        <v>8.4042661439853413E-4</v>
      </c>
      <c r="CN103" s="22">
        <f t="shared" si="66"/>
        <v>26.408038035098162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67.523721305831145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8.9989999999999952</v>
      </c>
      <c r="CT103" s="12">
        <f>IF('Données projet'!$A$140&gt;35,CT102+CS103-DB102,IF(A103&lt;'Données projet'!$A$140,$CQ$205^A103,IF(A103='Données projet'!$A$140,'Données projet'!$B$140,CT102+CS103-DB102)))</f>
        <v>344.40300000000002</v>
      </c>
      <c r="CU103" s="17">
        <f>CT103*VLOOKUP('Données projet'!$B$13,Paramètres!$A$1:$I$89,3,0)*VLOOKUP('Données projet'!$B$13,Paramètres!$A$1:$I$89,5,0)</f>
        <v>327.73389480000003</v>
      </c>
      <c r="CV103" s="13">
        <f t="shared" si="95"/>
        <v>76.960297498116987</v>
      </c>
      <c r="CW103" s="20">
        <f t="shared" si="67"/>
        <v>704.84238491922042</v>
      </c>
      <c r="CX103" s="59">
        <f t="shared" si="68"/>
        <v>989.09602970726792</v>
      </c>
      <c r="CY103" s="59">
        <f ca="1">AVERAGE(OFFSET($CX$3,0,0,'Données projet'!$E$13+1,1))-AVERAGE(OFFSET($H$3,0,0,'Données projet'!$E$13+1,1))</f>
        <v>470.42022791389275</v>
      </c>
      <c r="CZ103" s="59">
        <f t="shared" si="96"/>
        <v>300.26117330627346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20.220326533798055</v>
      </c>
      <c r="DG103" s="21">
        <f>EXP(-LN(2)/25)*DG102+(1-EXP(-LN(2)/25))/(LN(2)/25)*Calculateur!DB103*Calculateur!DD103*VLOOKUP('Données projet'!$B$13,Paramètres!$A$1:$I$89,3,0)*0.475*44/12</f>
        <v>19.442714920428564</v>
      </c>
      <c r="DH103" s="21">
        <f>EXP(-LN(2)/2)*DH102+(1-EXP(-LN(2)/2))/(LN(2)/2)*DB103*DE103*VLOOKUP('Données projet'!$B$13,Paramètres!$A$1:$I$89,3,0)*0.475*44/12</f>
        <v>1.3711970054813805</v>
      </c>
      <c r="DI103" s="22">
        <f t="shared" si="69"/>
        <v>41.034238459707993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67.523721305831145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6.7777777777777777</v>
      </c>
      <c r="DO103" s="12">
        <f>IF('Données projet'!$A$166&gt;35,DO102+DN103-DW102,IF(A103&lt;'Données projet'!$A$166,$DL$205^A103,IF(A103='Données projet'!$A$166,'Données projet'!$B$166,DO102+DN103-DW102)))</f>
        <v>244.25888888888875</v>
      </c>
      <c r="DP103" s="17">
        <f>DO103*VLOOKUP('Données projet'!$B$14,Paramètres!$A$1:$I$89,3,0)*VLOOKUP('Données projet'!$B$14,Paramètres!$A$1:$I$89,5,0)</f>
        <v>236.24719733333319</v>
      </c>
      <c r="DQ103" s="13">
        <f t="shared" si="97"/>
        <v>57.631357586724938</v>
      </c>
      <c r="DR103" s="20">
        <f t="shared" si="70"/>
        <v>511.83848315243455</v>
      </c>
      <c r="DS103" s="59">
        <f t="shared" si="71"/>
        <v>796.0921279404821</v>
      </c>
      <c r="DT103" s="59">
        <f ca="1">AVERAGE(OFFSET($DS$3,0,0,'Données projet'!$E$14+1,1))-AVERAGE(OFFSET($H$3,0,0,'Données projet'!$E$14+1,1))</f>
        <v>537.37164071064103</v>
      </c>
      <c r="DU103" s="59">
        <f t="shared" si="98"/>
        <v>263.29777321132235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7.6632384619660732</v>
      </c>
      <c r="EB103" s="21">
        <f>EXP(-LN(2)/25)*EB102+(1-EXP(-LN(2)/25))/(LN(2)/25)*Calculateur!DW103*Calculateur!DY103*VLOOKUP('Données projet'!$B$14,Paramètres!$A$1:$I$89,3,0)*0.475*44/12</f>
        <v>13.973958272233078</v>
      </c>
      <c r="EC103" s="21">
        <f>EXP(-LN(2)/2)*EC102+(1-EXP(-LN(2)/2))/(LN(2)/2)*DW103*DZ103*VLOOKUP('Données projet'!$B$14,Paramètres!$A$1:$I$89,3,0)*0.475*44/12</f>
        <v>1.7717634922492134</v>
      </c>
      <c r="ED103" s="22">
        <f t="shared" si="72"/>
        <v>23.408960226448364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67.523721305831145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67.523721305831145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67.523721305831145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67.523721305831145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45">
      <c r="A104" s="10">
        <f t="shared" si="85"/>
        <v>101</v>
      </c>
      <c r="B104" s="73">
        <f>'Scénario référence'!$B$16*5+'Scénario référence'!$B$17*0+'Scénario référence'!$B$18*5</f>
        <v>2.8499999999999996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10.449999999999998</v>
      </c>
      <c r="H104" s="67">
        <f t="shared" si="56"/>
        <v>214.86666666666667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67.56667920504519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10.840999999999998</v>
      </c>
      <c r="N104" s="13">
        <f>IF('Données projet'!$A$36&gt;35,N103+M104-V103,IF(A104&lt;'Données projet'!$A$36,$K$205^A104,IF(A104='Données projet'!$A$36,'Données projet'!$B$36,N103+M104-V103)))</f>
        <v>433.471</v>
      </c>
      <c r="O104" s="13">
        <f>N104*VLOOKUP('Données projet'!$B$9,Paramètres!$A$1:$I$89,3,0)*VLOOKUP('Données projet'!$B$9,Paramètres!$A$1:$I$89,5,0)</f>
        <v>392.20456079999997</v>
      </c>
      <c r="P104" s="13">
        <f t="shared" si="87"/>
        <v>90.194453866780407</v>
      </c>
      <c r="Q104" s="20">
        <f t="shared" si="107"/>
        <v>840.17828387797579</v>
      </c>
      <c r="R104" s="59">
        <f t="shared" si="55"/>
        <v>1124.5894409631414</v>
      </c>
      <c r="S104" s="59">
        <f ca="1">AVERAGE(OFFSET($R$3,0,0,'Données projet'!$E$9+1,1))-AVERAGE(OFFSET($H$3,0,0,'Données projet'!$E$9+1,1))</f>
        <v>719.20816951277925</v>
      </c>
      <c r="T104" s="59">
        <f t="shared" si="88"/>
        <v>237.1127421841087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50.545698748348073</v>
      </c>
      <c r="AA104" s="21">
        <f>EXP(-LN(2)/25)*AA103+(1-EXP(-LN(2)/25))/(LN(2)/25)*Calculateur!V104*Calculateur!X104*VLOOKUP('Données projet'!$B$9,Paramètres!$A$1:$I$89,3,0)*0.475*44/12</f>
        <v>34.005492647000942</v>
      </c>
      <c r="AB104" s="21">
        <f>EXP(-LN(2)/2)*AB103+(1-EXP(-LN(2)/2))/(LN(2)/2)*V104*Y104*VLOOKUP('Données projet'!$B$9,Paramètres!$A$1:$I$89,3,0)*0.475*44/12</f>
        <v>0.13674329748963204</v>
      </c>
      <c r="AC104" s="22">
        <f t="shared" si="57"/>
        <v>84.687934692838638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67.56667920504519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>
        <f>VLOOKUP(A104,'Données projet'!$A$61:$I$81,2,0)</f>
        <v>252.87</v>
      </c>
      <c r="AG104" s="12">
        <f>VLOOKUP(A104,'Données projet'!$A$61:$I$81,9,0)</f>
        <v>7.0300000000000011</v>
      </c>
      <c r="AH104" s="12">
        <f t="array" ref="AH104">INDEX(AG:AG,MIN(IF(ISNUMBER(AG104:AG300),ROW(AG104:AG300),"")))</f>
        <v>7.0300000000000011</v>
      </c>
      <c r="AI104" s="13">
        <f>IF('Données projet'!$A$62&gt;35,AI103+AH104-AQ103,IF(A104&lt;'Données projet'!$A$62,$AF$205^A104,IF(A104='Données projet'!$A$62,'Données projet'!$B$62,AI103+AH104-AQ103)))</f>
        <v>252.87000000000009</v>
      </c>
      <c r="AJ104" s="13">
        <f>AI104*VLOOKUP('Données projet'!$B$10,Paramètres!$A$1:$I$89,3,0)*VLOOKUP('Données projet'!$B$10,Paramètres!$A$1:$I$89,5,0)</f>
        <v>213.01768800000011</v>
      </c>
      <c r="AK104" s="13">
        <f t="shared" si="89"/>
        <v>52.594477866693403</v>
      </c>
      <c r="AL104" s="20">
        <f t="shared" si="58"/>
        <v>462.6078555511578</v>
      </c>
      <c r="AM104" s="59">
        <f t="shared" si="59"/>
        <v>747.01901263632351</v>
      </c>
      <c r="AN104" s="59">
        <f ca="1">AVERAGE(OFFSET($AM$3,0,0,'Données projet'!$E$10+1,1))-AVERAGE(OFFSET($H$3,0,0,'Données projet'!$E$10+1,1))</f>
        <v>442.79037205372367</v>
      </c>
      <c r="AO104" s="59">
        <f t="shared" si="90"/>
        <v>288.23553637727969</v>
      </c>
      <c r="AP104" s="15">
        <f>IF(ISNA(VLOOKUP(A104,'Données projet'!$A$61:$I$81,3,0)),0,VLOOKUP(A104,'Données projet'!$A$61:$I$81,3,0))</f>
        <v>11</v>
      </c>
      <c r="AQ104" s="15">
        <f>IF(ISNA(VLOOKUP(A104,'Données projet'!$A$61:$I$81,4,0)),0,VLOOKUP(A104,'Données projet'!$A$61:$I$81,4,0))</f>
        <v>82.539999999999992</v>
      </c>
      <c r="AR104" s="16">
        <f>IF(ISNA(VLOOKUP(A104,'Données projet'!$A$61:$I$81,5,0)),0%,VLOOKUP(A104,'Données projet'!$A$61:$I$81,5,0)*VLOOKUP('Données projet'!$B$10,Paramètres!$A$1:$I$89,7,0))</f>
        <v>0.19350000000000001</v>
      </c>
      <c r="AS104" s="16">
        <f>IF(ISNA(VLOOKUP(A104,'Données projet'!$A$61:$I$81,6,0)),0%,VLOOKUP(A104,'Données projet'!$A$61:$I$81,6,0)*VLOOKUP('Données projet'!$B$10,Paramètres!$A$1:$I$89,7,0))</f>
        <v>2.1500000000000002E-2</v>
      </c>
      <c r="AT104" s="16">
        <f>IF(ISNA(VLOOKUP(A104,'Données projet'!$A$61:$I$81,7,0)),0%,VLOOKUP(A104,'Données projet'!$A$61:$I$81,7,0))</f>
        <v>0.05</v>
      </c>
      <c r="AU104" s="21">
        <f>EXP(-LN(2)/35)*AU103+(1-EXP(-LN(2)/35))/(LN(2)/35)*AQ104*AR104*VLOOKUP('Données projet'!$B$10,Paramètres!$A$1:$I$89,3,0)*0.475*44/12</f>
        <v>97.93550104050351</v>
      </c>
      <c r="AV104" s="21">
        <f>EXP(-LN(2)/25)*AV103+(1-EXP(-LN(2)/25))/(LN(2)/25)*Calculateur!AQ104*Calculateur!AS104*VLOOKUP('Données projet'!$B$10,Paramètres!$A$1:$I$89,3,0)*0.475*44/12</f>
        <v>27.893526814084925</v>
      </c>
      <c r="AW104" s="21">
        <f>EXP(-LN(2)/2)*AW103+(1-EXP(-LN(2)/2))/(LN(2)/2)*AQ104*AT104*VLOOKUP('Données projet'!$B$10,Paramètres!$A$1:$I$89,3,0)*0.475*44/12</f>
        <v>7.7796155174230179</v>
      </c>
      <c r="AX104" s="21">
        <f t="shared" si="60"/>
        <v>133.60864337201144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67.56667920504519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6.7777777777777777</v>
      </c>
      <c r="BD104" s="12">
        <f>IF('Données projet'!$A$88&gt;35,BD103+BC104-BL103,IF(A104&lt;'Données projet'!$A$88,$BA$205^A104,IF(A104='Données projet'!$A$88,'Données projet'!$B$88,BD103+BC104-BL103)))</f>
        <v>251.03666666666652</v>
      </c>
      <c r="BE104" s="13">
        <f>BD104*VLOOKUP('Données projet'!$B$11,Paramètres!$A$1:$I$89,3,0)*VLOOKUP('Données projet'!$B$11,Paramètres!$A$1:$I$89,5,0)</f>
        <v>254.55117999999987</v>
      </c>
      <c r="BF104" s="13">
        <f t="shared" si="91"/>
        <v>61.55948191196579</v>
      </c>
      <c r="BG104" s="20">
        <f t="shared" si="61"/>
        <v>550.55940283000689</v>
      </c>
      <c r="BH104" s="59">
        <f t="shared" si="62"/>
        <v>834.97055991517254</v>
      </c>
      <c r="BI104" s="59">
        <f ca="1">AVERAGE(OFFSET($BH$3,0,0,'Données projet'!$E$11+1,1))-AVERAGE(OFFSET($H$3,0,0,'Données projet'!$E$11+1,1))</f>
        <v>559.91818701710872</v>
      </c>
      <c r="BJ104" s="59">
        <f t="shared" si="92"/>
        <v>273.47272623465915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11.027096769605121</v>
      </c>
      <c r="BQ104" s="21">
        <f>EXP(-LN(2)/25)*BQ103+(1-EXP(-LN(2)/25))/(LN(2)/25)*Calculateur!BL104*Calculateur!BN104*VLOOKUP('Données projet'!$B$11,Paramètres!$A$1:$I$89,3,0)*0.475*44/12</f>
        <v>28.170513523256279</v>
      </c>
      <c r="BR104" s="21">
        <f>EXP(-LN(2)/2)*BR103+(1-EXP(-LN(2)/2))/(LN(2)/2)*BL104*BO104*VLOOKUP('Données projet'!$B$11,Paramètres!$A$1:$I$89,3,0)*0.475*44/12</f>
        <v>0.52623797159656094</v>
      </c>
      <c r="BS104" s="22">
        <f t="shared" si="63"/>
        <v>39.723848264457956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67.56667920504519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-1.1368683772161603E-13</v>
      </c>
      <c r="BZ104" s="13">
        <f>BY104*VLOOKUP('Données projet'!$B$12,Paramètres!$A$1:$I$89,3,0)*VLOOKUP('Données projet'!$B$12,Paramètres!$A$1:$I$89,5,0)</f>
        <v>-8.8675733422860506E-14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208.92677786250815</v>
      </c>
      <c r="CE104" s="59">
        <f t="shared" si="94"/>
        <v>207.54290142772214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14.625209357938504</v>
      </c>
      <c r="CL104" s="21">
        <f>EXP(-LN(2)/25)*CL103+(1-EXP(-LN(2)/25))/(LN(2)/25)*Calculateur!CG104*Calculateur!CI104*VLOOKUP('Données projet'!$B$12,Paramètres!$A$1:$I$89,3,0)*0.475*44/12</f>
        <v>11.175280622996677</v>
      </c>
      <c r="CM104" s="21">
        <f>EXP(-LN(2)/2)*CM103+(1-EXP(-LN(2)/2))/(LN(2)/2)*CG104*CJ104*VLOOKUP('Données projet'!$B$12,Paramètres!$A$1:$I$89,3,0)*0.475*44/12</f>
        <v>5.9427135813085522E-4</v>
      </c>
      <c r="CN104" s="22">
        <f t="shared" si="66"/>
        <v>25.801084252293315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67.56667920504519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8.9989999999999952</v>
      </c>
      <c r="CT104" s="12">
        <f>IF('Données projet'!$A$140&gt;35,CT103+CS104-DB103,IF(A104&lt;'Données projet'!$A$140,$CQ$205^A104,IF(A104='Données projet'!$A$140,'Données projet'!$B$140,CT103+CS104-DB103)))</f>
        <v>353.40200000000004</v>
      </c>
      <c r="CU104" s="17">
        <f>CT104*VLOOKUP('Données projet'!$B$13,Paramètres!$A$1:$I$89,3,0)*VLOOKUP('Données projet'!$B$13,Paramètres!$A$1:$I$89,5,0)</f>
        <v>336.29734320000006</v>
      </c>
      <c r="CV104" s="13">
        <f t="shared" si="95"/>
        <v>78.734467249723195</v>
      </c>
      <c r="CW104" s="20">
        <f t="shared" si="67"/>
        <v>722.84706986660137</v>
      </c>
      <c r="CX104" s="59">
        <f t="shared" si="68"/>
        <v>1007.258226951767</v>
      </c>
      <c r="CY104" s="59">
        <f ca="1">AVERAGE(OFFSET($CX$3,0,0,'Données projet'!$E$13+1,1))-AVERAGE(OFFSET($H$3,0,0,'Données projet'!$E$13+1,1))</f>
        <v>470.42022791389275</v>
      </c>
      <c r="CZ104" s="59">
        <f t="shared" si="96"/>
        <v>300.26117330627346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19.82381826365166</v>
      </c>
      <c r="DG104" s="21">
        <f>EXP(-LN(2)/25)*DG103+(1-EXP(-LN(2)/25))/(LN(2)/25)*Calculateur!DB104*Calculateur!DD104*VLOOKUP('Données projet'!$B$13,Paramètres!$A$1:$I$89,3,0)*0.475*44/12</f>
        <v>18.911052858481504</v>
      </c>
      <c r="DH104" s="21">
        <f>EXP(-LN(2)/2)*DH103+(1-EXP(-LN(2)/2))/(LN(2)/2)*DB104*DE104*VLOOKUP('Données projet'!$B$13,Paramètres!$A$1:$I$89,3,0)*0.475*44/12</f>
        <v>0.96958270091857179</v>
      </c>
      <c r="DI104" s="22">
        <f t="shared" si="69"/>
        <v>39.704453823051736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67.56667920504519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6.7777777777777777</v>
      </c>
      <c r="DO104" s="12">
        <f>IF('Données projet'!$A$166&gt;35,DO103+DN104-DW103,IF(A104&lt;'Données projet'!$A$166,$DL$205^A104,IF(A104='Données projet'!$A$166,'Données projet'!$B$166,DO103+DN104-DW103)))</f>
        <v>251.03666666666652</v>
      </c>
      <c r="DP104" s="17">
        <f>DO104*VLOOKUP('Données projet'!$B$14,Paramètres!$A$1:$I$89,3,0)*VLOOKUP('Données projet'!$B$14,Paramètres!$A$1:$I$89,5,0)</f>
        <v>242.80266399999985</v>
      </c>
      <c r="DQ104" s="13">
        <f t="shared" si="97"/>
        <v>59.04212923358233</v>
      </c>
      <c r="DR104" s="20">
        <f t="shared" si="70"/>
        <v>525.71301488182235</v>
      </c>
      <c r="DS104" s="59">
        <f t="shared" si="71"/>
        <v>810.12417196698811</v>
      </c>
      <c r="DT104" s="59">
        <f ca="1">AVERAGE(OFFSET($DS$3,0,0,'Données projet'!$E$14+1,1))-AVERAGE(OFFSET($H$3,0,0,'Données projet'!$E$14+1,1))</f>
        <v>537.37164071064103</v>
      </c>
      <c r="DU104" s="59">
        <f t="shared" si="98"/>
        <v>263.29777321132235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7.5129670298408495</v>
      </c>
      <c r="EB104" s="21">
        <f>EXP(-LN(2)/25)*EB103+(1-EXP(-LN(2)/25))/(LN(2)/25)*Calculateur!DW104*Calculateur!DY104*VLOOKUP('Données projet'!$B$14,Paramètres!$A$1:$I$89,3,0)*0.475*44/12</f>
        <v>13.591839648420338</v>
      </c>
      <c r="EC104" s="21">
        <f>EXP(-LN(2)/2)*EC103+(1-EXP(-LN(2)/2))/(LN(2)/2)*DW104*DZ104*VLOOKUP('Données projet'!$B$14,Paramètres!$A$1:$I$89,3,0)*0.475*44/12</f>
        <v>1.2528259800281778</v>
      </c>
      <c r="ED104" s="22">
        <f t="shared" si="72"/>
        <v>22.357632658289365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67.56667920504519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67.56667920504519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67.56667920504519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67.56667920504519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45">
      <c r="A105" s="10">
        <f t="shared" si="85"/>
        <v>102</v>
      </c>
      <c r="B105" s="73">
        <f>'Scénario référence'!$B$16*5+'Scénario référence'!$B$17*0+'Scénario référence'!$B$18*5</f>
        <v>2.8499999999999996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10.449999999999998</v>
      </c>
      <c r="H105" s="67">
        <f t="shared" si="56"/>
        <v>214.86666666666667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67.60889188074735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10.840999999999998</v>
      </c>
      <c r="N105" s="13">
        <f>IF('Données projet'!$A$36&gt;35,N104+M105-V104,IF(A105&lt;'Données projet'!$A$36,$K$205^A105,IF(A105='Données projet'!$A$36,'Données projet'!$B$36,N104+M105-V104)))</f>
        <v>444.31200000000001</v>
      </c>
      <c r="O105" s="13">
        <f>N105*VLOOKUP('Données projet'!$B$9,Paramètres!$A$1:$I$89,3,0)*VLOOKUP('Données projet'!$B$9,Paramètres!$A$1:$I$89,5,0)</f>
        <v>402.01349760000005</v>
      </c>
      <c r="P105" s="13">
        <f t="shared" si="87"/>
        <v>92.18475159332958</v>
      </c>
      <c r="Q105" s="20">
        <f t="shared" si="107"/>
        <v>860.72861734504897</v>
      </c>
      <c r="R105" s="59">
        <f t="shared" si="55"/>
        <v>1145.2945542411226</v>
      </c>
      <c r="S105" s="59">
        <f ca="1">AVERAGE(OFFSET($R$3,0,0,'Données projet'!$E$9+1,1))-AVERAGE(OFFSET($H$3,0,0,'Données projet'!$E$9+1,1))</f>
        <v>719.20816951277925</v>
      </c>
      <c r="T105" s="59">
        <f t="shared" si="88"/>
        <v>237.1127421841087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49.55452842572501</v>
      </c>
      <c r="AA105" s="21">
        <f>EXP(-LN(2)/25)*AA104+(1-EXP(-LN(2)/25))/(LN(2)/25)*Calculateur!V105*Calculateur!X105*VLOOKUP('Données projet'!$B$9,Paramètres!$A$1:$I$89,3,0)*0.475*44/12</f>
        <v>33.075610662297564</v>
      </c>
      <c r="AB105" s="21">
        <f>EXP(-LN(2)/2)*AB104+(1-EXP(-LN(2)/2))/(LN(2)/2)*V105*Y105*VLOOKUP('Données projet'!$B$9,Paramètres!$A$1:$I$89,3,0)*0.475*44/12</f>
        <v>9.6692112936728219E-2</v>
      </c>
      <c r="AC105" s="22">
        <f t="shared" si="57"/>
        <v>82.726831200959296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67.60889188074735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4.8149999999999977</v>
      </c>
      <c r="AI105" s="13">
        <f>IF('Données projet'!$A$62&gt;35,AI104+AH105-AQ104,IF(A105&lt;'Données projet'!$A$62,$AF$205^A105,IF(A105='Données projet'!$A$62,'Données projet'!$B$62,AI104+AH105-AQ104)))</f>
        <v>175.14500000000007</v>
      </c>
      <c r="AJ105" s="13">
        <f>AI105*VLOOKUP('Données projet'!$B$10,Paramètres!$A$1:$I$89,3,0)*VLOOKUP('Données projet'!$B$10,Paramètres!$A$1:$I$89,5,0)</f>
        <v>147.54214800000008</v>
      </c>
      <c r="AK105" s="13">
        <f t="shared" si="89"/>
        <v>38.019493993011075</v>
      </c>
      <c r="AL105" s="20">
        <f t="shared" si="58"/>
        <v>323.18652647116113</v>
      </c>
      <c r="AM105" s="59">
        <f t="shared" si="59"/>
        <v>607.75246336723478</v>
      </c>
      <c r="AN105" s="59">
        <f ca="1">AVERAGE(OFFSET($AM$3,0,0,'Données projet'!$E$10+1,1))-AVERAGE(OFFSET($H$3,0,0,'Données projet'!$E$10+1,1))</f>
        <v>442.79037205372367</v>
      </c>
      <c r="AO105" s="59">
        <f t="shared" si="90"/>
        <v>288.23553637727969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96.015045599856549</v>
      </c>
      <c r="AV105" s="21">
        <f>EXP(-LN(2)/25)*AV104+(1-EXP(-LN(2)/25))/(LN(2)/25)*Calculateur!AQ105*Calculateur!AS105*VLOOKUP('Données projet'!$B$10,Paramètres!$A$1:$I$89,3,0)*0.475*44/12</f>
        <v>27.130776856496951</v>
      </c>
      <c r="AW105" s="21">
        <f>EXP(-LN(2)/2)*AW104+(1-EXP(-LN(2)/2))/(LN(2)/2)*AQ105*AT105*VLOOKUP('Données projet'!$B$10,Paramètres!$A$1:$I$89,3,0)*0.475*44/12</f>
        <v>5.5010188873939079</v>
      </c>
      <c r="AX105" s="21">
        <f t="shared" si="60"/>
        <v>128.64684134374741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67.60889188074735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6.7777777777777777</v>
      </c>
      <c r="BD105" s="12">
        <f>IF('Données projet'!$A$88&gt;35,BD104+BC105-BL104,IF(A105&lt;'Données projet'!$A$88,$BA$205^A105,IF(A105='Données projet'!$A$88,'Données projet'!$B$88,BD104+BC105-BL104)))</f>
        <v>257.81444444444429</v>
      </c>
      <c r="BE105" s="13">
        <f>BD105*VLOOKUP('Données projet'!$B$11,Paramètres!$A$1:$I$89,3,0)*VLOOKUP('Données projet'!$B$11,Paramètres!$A$1:$I$89,5,0)</f>
        <v>261.42384666666652</v>
      </c>
      <c r="BF105" s="13">
        <f t="shared" si="91"/>
        <v>63.025787988714278</v>
      </c>
      <c r="BG105" s="20">
        <f t="shared" si="61"/>
        <v>565.08311369145497</v>
      </c>
      <c r="BH105" s="59">
        <f t="shared" si="62"/>
        <v>849.64905058752856</v>
      </c>
      <c r="BI105" s="59">
        <f ca="1">AVERAGE(OFFSET($BH$3,0,0,'Données projet'!$E$11+1,1))-AVERAGE(OFFSET($H$3,0,0,'Données projet'!$E$11+1,1))</f>
        <v>559.91818701710872</v>
      </c>
      <c r="BJ105" s="59">
        <f t="shared" si="92"/>
        <v>273.47272623465915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10.810862127818071</v>
      </c>
      <c r="BQ105" s="21">
        <f>EXP(-LN(2)/25)*BQ104+(1-EXP(-LN(2)/25))/(LN(2)/25)*Calculateur!BL105*Calculateur!BN105*VLOOKUP('Données projet'!$B$11,Paramètres!$A$1:$I$89,3,0)*0.475*44/12</f>
        <v>27.400189349539914</v>
      </c>
      <c r="BR105" s="21">
        <f>EXP(-LN(2)/2)*BR104+(1-EXP(-LN(2)/2))/(LN(2)/2)*BL105*BO105*VLOOKUP('Données projet'!$B$11,Paramètres!$A$1:$I$89,3,0)*0.475*44/12</f>
        <v>0.37210643823378203</v>
      </c>
      <c r="BS105" s="22">
        <f t="shared" si="63"/>
        <v>38.583157915591762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67.60889188074735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-1.1368683772161603E-13</v>
      </c>
      <c r="BZ105" s="13">
        <f>BY105*VLOOKUP('Données projet'!$B$12,Paramètres!$A$1:$I$89,3,0)*VLOOKUP('Données projet'!$B$12,Paramètres!$A$1:$I$89,5,0)</f>
        <v>-8.8675733422860506E-14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208.92677786250815</v>
      </c>
      <c r="CE105" s="59">
        <f t="shared" si="94"/>
        <v>207.54290142772214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14.338417922926212</v>
      </c>
      <c r="CL105" s="21">
        <f>EXP(-LN(2)/25)*CL104+(1-EXP(-LN(2)/25))/(LN(2)/25)*Calculateur!CG105*Calculateur!CI105*VLOOKUP('Données projet'!$B$12,Paramètres!$A$1:$I$89,3,0)*0.475*44/12</f>
        <v>10.869691986678367</v>
      </c>
      <c r="CM105" s="21">
        <f>EXP(-LN(2)/2)*CM104+(1-EXP(-LN(2)/2))/(LN(2)/2)*CG105*CJ105*VLOOKUP('Données projet'!$B$12,Paramètres!$A$1:$I$89,3,0)*0.475*44/12</f>
        <v>4.2021330719926707E-4</v>
      </c>
      <c r="CN105" s="22">
        <f t="shared" si="66"/>
        <v>25.208530122911778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67.60889188074735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8.9989999999999952</v>
      </c>
      <c r="CT105" s="12">
        <f>IF('Données projet'!$A$140&gt;35,CT104+CS105-DB104,IF(A105&lt;'Données projet'!$A$140,$CQ$205^A105,IF(A105='Données projet'!$A$140,'Données projet'!$B$140,CT104+CS105-DB104)))</f>
        <v>362.40100000000007</v>
      </c>
      <c r="CU105" s="17">
        <f>CT105*VLOOKUP('Données projet'!$B$13,Paramètres!$A$1:$I$89,3,0)*VLOOKUP('Données projet'!$B$13,Paramètres!$A$1:$I$89,5,0)</f>
        <v>344.86079160000008</v>
      </c>
      <c r="CV105" s="13">
        <f t="shared" si="95"/>
        <v>80.503385547683365</v>
      </c>
      <c r="CW105" s="20">
        <f t="shared" si="67"/>
        <v>740.84260853221531</v>
      </c>
      <c r="CX105" s="59">
        <f t="shared" si="68"/>
        <v>1025.408545428289</v>
      </c>
      <c r="CY105" s="59">
        <f ca="1">AVERAGE(OFFSET($CX$3,0,0,'Données projet'!$E$13+1,1))-AVERAGE(OFFSET($H$3,0,0,'Données projet'!$E$13+1,1))</f>
        <v>470.42022791389275</v>
      </c>
      <c r="CZ105" s="59">
        <f t="shared" si="96"/>
        <v>300.26117330627346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19.43508527883667</v>
      </c>
      <c r="DG105" s="21">
        <f>EXP(-LN(2)/25)*DG104+(1-EXP(-LN(2)/25))/(LN(2)/25)*Calculateur!DB105*Calculateur!DD105*VLOOKUP('Données projet'!$B$13,Paramètres!$A$1:$I$89,3,0)*0.475*44/12</f>
        <v>18.39392912357728</v>
      </c>
      <c r="DH105" s="21">
        <f>EXP(-LN(2)/2)*DH104+(1-EXP(-LN(2)/2))/(LN(2)/2)*DB105*DE105*VLOOKUP('Données projet'!$B$13,Paramètres!$A$1:$I$89,3,0)*0.475*44/12</f>
        <v>0.68559850274069034</v>
      </c>
      <c r="DI105" s="22">
        <f t="shared" si="69"/>
        <v>38.514612905154635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67.60889188074735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6.7777777777777777</v>
      </c>
      <c r="DO105" s="12">
        <f>IF('Données projet'!$A$166&gt;35,DO104+DN105-DW104,IF(A105&lt;'Données projet'!$A$166,$DL$205^A105,IF(A105='Données projet'!$A$166,'Données projet'!$B$166,DO104+DN105-DW104)))</f>
        <v>257.81444444444429</v>
      </c>
      <c r="DP105" s="17">
        <f>DO105*VLOOKUP('Données projet'!$B$14,Paramètres!$A$1:$I$89,3,0)*VLOOKUP('Données projet'!$B$14,Paramètres!$A$1:$I$89,5,0)</f>
        <v>249.35813066666651</v>
      </c>
      <c r="DQ105" s="13">
        <f t="shared" si="97"/>
        <v>60.44847363724665</v>
      </c>
      <c r="DR105" s="20">
        <f t="shared" si="70"/>
        <v>539.57983582931536</v>
      </c>
      <c r="DS105" s="59">
        <f t="shared" si="71"/>
        <v>824.14577272538895</v>
      </c>
      <c r="DT105" s="59">
        <f ca="1">AVERAGE(OFFSET($DS$3,0,0,'Données projet'!$E$14+1,1))-AVERAGE(OFFSET($H$3,0,0,'Données projet'!$E$14+1,1))</f>
        <v>537.37164071064103</v>
      </c>
      <c r="DU105" s="59">
        <f t="shared" si="98"/>
        <v>263.29777321132235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7.3656423288430783</v>
      </c>
      <c r="EB105" s="21">
        <f>EXP(-LN(2)/25)*EB104+(1-EXP(-LN(2)/25))/(LN(2)/25)*Calculateur!DW105*Calculateur!DY105*VLOOKUP('Données projet'!$B$14,Paramètres!$A$1:$I$89,3,0)*0.475*44/12</f>
        <v>13.220170078470501</v>
      </c>
      <c r="EC105" s="21">
        <f>EXP(-LN(2)/2)*EC104+(1-EXP(-LN(2)/2))/(LN(2)/2)*DW105*DZ105*VLOOKUP('Données projet'!$B$14,Paramètres!$A$1:$I$89,3,0)*0.475*44/12</f>
        <v>0.88588174612460668</v>
      </c>
      <c r="ED105" s="22">
        <f t="shared" si="72"/>
        <v>21.471694153438186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67.60889188074735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67.60889188074735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67.60889188074735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67.60889188074735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45">
      <c r="A106" s="10">
        <f t="shared" si="85"/>
        <v>103</v>
      </c>
      <c r="B106" s="73">
        <f>'Scénario référence'!$B$16*5+'Scénario référence'!$B$17*0+'Scénario référence'!$B$18*5</f>
        <v>2.8499999999999996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10.449999999999998</v>
      </c>
      <c r="H106" s="67">
        <f t="shared" si="56"/>
        <v>214.86666666666667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67.650372260899474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10.840999999999998</v>
      </c>
      <c r="N106" s="13">
        <f>IF('Données projet'!$A$36&gt;35,N105+M106-V105,IF(A106&lt;'Données projet'!$A$36,$K$205^A106,IF(A106='Données projet'!$A$36,'Données projet'!$B$36,N105+M106-V105)))</f>
        <v>455.15300000000002</v>
      </c>
      <c r="O106" s="13">
        <f>N106*VLOOKUP('Données projet'!$B$9,Paramètres!$A$1:$I$89,3,0)*VLOOKUP('Données projet'!$B$9,Paramètres!$A$1:$I$89,5,0)</f>
        <v>411.82243440000002</v>
      </c>
      <c r="P106" s="13">
        <f t="shared" si="87"/>
        <v>94.169404094334013</v>
      </c>
      <c r="Q106" s="20">
        <f t="shared" si="107"/>
        <v>881.26911871096502</v>
      </c>
      <c r="R106" s="59">
        <f t="shared" si="55"/>
        <v>1165.9871503342631</v>
      </c>
      <c r="S106" s="59">
        <f ca="1">AVERAGE(OFFSET($R$3,0,0,'Données projet'!$E$9+1,1))-AVERAGE(OFFSET($H$3,0,0,'Données projet'!$E$9+1,1))</f>
        <v>719.20816951277925</v>
      </c>
      <c r="T106" s="59">
        <f t="shared" si="88"/>
        <v>237.1127421841087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48.582794348574382</v>
      </c>
      <c r="AA106" s="21">
        <f>EXP(-LN(2)/25)*AA105+(1-EXP(-LN(2)/25))/(LN(2)/25)*Calculateur!V106*Calculateur!X106*VLOOKUP('Données projet'!$B$9,Paramètres!$A$1:$I$89,3,0)*0.475*44/12</f>
        <v>32.171156349366271</v>
      </c>
      <c r="AB106" s="21">
        <f>EXP(-LN(2)/2)*AB105+(1-EXP(-LN(2)/2))/(LN(2)/2)*V106*Y106*VLOOKUP('Données projet'!$B$9,Paramètres!$A$1:$I$89,3,0)*0.475*44/12</f>
        <v>6.8371648744816022E-2</v>
      </c>
      <c r="AC106" s="22">
        <f t="shared" si="57"/>
        <v>80.822322346685468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67.650372260899474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>
        <f>VLOOKUP(A106,'Données projet'!$A$61:$I$81,2,0)</f>
        <v>179.96</v>
      </c>
      <c r="AG106" s="12">
        <f>VLOOKUP(A106,'Données projet'!$A$61:$I$81,9,0)</f>
        <v>4.8149999999999977</v>
      </c>
      <c r="AH106" s="12">
        <f t="array" ref="AH106">INDEX(AG:AG,MIN(IF(ISNUMBER(AG106:AG302),ROW(AG106:AG302),"")))</f>
        <v>4.8149999999999977</v>
      </c>
      <c r="AI106" s="13">
        <f>IF('Données projet'!$A$62&gt;35,AI105+AH106-AQ105,IF(A106&lt;'Données projet'!$A$62,$AF$205^A106,IF(A106='Données projet'!$A$62,'Données projet'!$B$62,AI105+AH106-AQ105)))</f>
        <v>179.96000000000006</v>
      </c>
      <c r="AJ106" s="13">
        <f>AI106*VLOOKUP('Données projet'!$B$10,Paramètres!$A$1:$I$89,3,0)*VLOOKUP('Données projet'!$B$10,Paramètres!$A$1:$I$89,5,0)</f>
        <v>151.59830400000007</v>
      </c>
      <c r="AK106" s="13">
        <f t="shared" si="89"/>
        <v>38.941581580147371</v>
      </c>
      <c r="AL106" s="20">
        <f t="shared" si="58"/>
        <v>331.85696738542345</v>
      </c>
      <c r="AM106" s="59">
        <f t="shared" si="59"/>
        <v>616.57499900872153</v>
      </c>
      <c r="AN106" s="59">
        <f ca="1">AVERAGE(OFFSET($AM$3,0,0,'Données projet'!$E$10+1,1))-AVERAGE(OFFSET($H$3,0,0,'Données projet'!$E$10+1,1))</f>
        <v>442.79037205372367</v>
      </c>
      <c r="AO106" s="59">
        <f t="shared" si="90"/>
        <v>288.23553637727969</v>
      </c>
      <c r="AP106" s="15">
        <f>IF(ISNA(VLOOKUP(A106,'Données projet'!$A$61:$I$81,3,0)),0,VLOOKUP(A106,'Données projet'!$A$61:$I$81,3,0))</f>
        <v>12</v>
      </c>
      <c r="AQ106" s="15">
        <f>IF(ISNA(VLOOKUP(A106,'Données projet'!$A$61:$I$81,4,0)),0,VLOOKUP(A106,'Données projet'!$A$61:$I$81,4,0))</f>
        <v>58.600000000000009</v>
      </c>
      <c r="AR106" s="16">
        <f>IF(ISNA(VLOOKUP(A106,'Données projet'!$A$61:$I$81,5,0)),0%,VLOOKUP(A106,'Données projet'!$A$61:$I$81,5,0)*VLOOKUP('Données projet'!$B$10,Paramètres!$A$1:$I$89,7,0))</f>
        <v>0.19350000000000001</v>
      </c>
      <c r="AS106" s="16">
        <f>IF(ISNA(VLOOKUP(A106,'Données projet'!$A$61:$I$81,6,0)),0%,VLOOKUP(A106,'Données projet'!$A$61:$I$81,6,0)*VLOOKUP('Données projet'!$B$10,Paramètres!$A$1:$I$89,7,0))</f>
        <v>2.1500000000000002E-2</v>
      </c>
      <c r="AT106" s="16">
        <f>IF(ISNA(VLOOKUP(A106,'Données projet'!$A$61:$I$81,7,0)),0%,VLOOKUP(A106,'Données projet'!$A$61:$I$81,7,0))</f>
        <v>0.05</v>
      </c>
      <c r="AU106" s="21">
        <f>EXP(-LN(2)/35)*AU105+(1-EXP(-LN(2)/35))/(LN(2)/35)*AQ106*AR106*VLOOKUP('Données projet'!$B$10,Paramètres!$A$1:$I$89,3,0)*0.475*44/12</f>
        <v>104.69176612474402</v>
      </c>
      <c r="AV106" s="21">
        <f>EXP(-LN(2)/25)*AV105+(1-EXP(-LN(2)/25))/(LN(2)/25)*Calculateur!AQ106*Calculateur!AS106*VLOOKUP('Données projet'!$B$10,Paramètres!$A$1:$I$89,3,0)*0.475*44/12</f>
        <v>27.557544354806343</v>
      </c>
      <c r="AW106" s="21">
        <f>EXP(-LN(2)/2)*AW105+(1-EXP(-LN(2)/2))/(LN(2)/2)*AQ106*AT106*VLOOKUP('Données projet'!$B$10,Paramètres!$A$1:$I$89,3,0)*0.475*44/12</f>
        <v>6.2186510822017969</v>
      </c>
      <c r="AX106" s="21">
        <f t="shared" si="60"/>
        <v>138.46796156175216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67.650372260899474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6.7777777777777777</v>
      </c>
      <c r="BD106" s="12">
        <f>IF('Données projet'!$A$88&gt;35,BD105+BC106-BL105,IF(A106&lt;'Données projet'!$A$88,$BA$205^A106,IF(A106='Données projet'!$A$88,'Données projet'!$B$88,BD105+BC106-BL105)))</f>
        <v>264.59222222222206</v>
      </c>
      <c r="BE106" s="13">
        <f>BD106*VLOOKUP('Données projet'!$B$11,Paramètres!$A$1:$I$89,3,0)*VLOOKUP('Données projet'!$B$11,Paramètres!$A$1:$I$89,5,0)</f>
        <v>268.29651333333322</v>
      </c>
      <c r="BF106" s="13">
        <f t="shared" si="91"/>
        <v>64.487613361575328</v>
      </c>
      <c r="BG106" s="20">
        <f t="shared" si="61"/>
        <v>579.59902066029906</v>
      </c>
      <c r="BH106" s="59">
        <f t="shared" si="62"/>
        <v>864.31705228359715</v>
      </c>
      <c r="BI106" s="59">
        <f ca="1">AVERAGE(OFFSET($BH$3,0,0,'Données projet'!$E$11+1,1))-AVERAGE(OFFSET($H$3,0,0,'Données projet'!$E$11+1,1))</f>
        <v>559.91818701710872</v>
      </c>
      <c r="BJ106" s="59">
        <f t="shared" si="92"/>
        <v>273.47272623465915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10.598867715466355</v>
      </c>
      <c r="BQ106" s="21">
        <f>EXP(-LN(2)/25)*BQ105+(1-EXP(-LN(2)/25))/(LN(2)/25)*Calculateur!BL106*Calculateur!BN106*VLOOKUP('Données projet'!$B$11,Paramètres!$A$1:$I$89,3,0)*0.475*44/12</f>
        <v>26.65092973086341</v>
      </c>
      <c r="BR106" s="21">
        <f>EXP(-LN(2)/2)*BR105+(1-EXP(-LN(2)/2))/(LN(2)/2)*BL106*BO106*VLOOKUP('Données projet'!$B$11,Paramètres!$A$1:$I$89,3,0)*0.475*44/12</f>
        <v>0.26311898579828047</v>
      </c>
      <c r="BS106" s="22">
        <f t="shared" si="63"/>
        <v>37.512916432128044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67.650372260899474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-1.1368683772161603E-13</v>
      </c>
      <c r="BZ106" s="13">
        <f>BY106*VLOOKUP('Données projet'!$B$12,Paramètres!$A$1:$I$89,3,0)*VLOOKUP('Données projet'!$B$12,Paramètres!$A$1:$I$89,5,0)</f>
        <v>-8.8675733422860506E-14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208.92677786250815</v>
      </c>
      <c r="CE106" s="59">
        <f t="shared" si="94"/>
        <v>207.54290142772214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14.057250293029009</v>
      </c>
      <c r="CL106" s="21">
        <f>EXP(-LN(2)/25)*CL105+(1-EXP(-LN(2)/25))/(LN(2)/25)*Calculateur!CG106*Calculateur!CI106*VLOOKUP('Données projet'!$B$12,Paramètres!$A$1:$I$89,3,0)*0.475*44/12</f>
        <v>10.572459687690388</v>
      </c>
      <c r="CM106" s="21">
        <f>EXP(-LN(2)/2)*CM105+(1-EXP(-LN(2)/2))/(LN(2)/2)*CG106*CJ106*VLOOKUP('Données projet'!$B$12,Paramètres!$A$1:$I$89,3,0)*0.475*44/12</f>
        <v>2.9713567906542761E-4</v>
      </c>
      <c r="CN106" s="22">
        <f t="shared" si="66"/>
        <v>24.630007116398463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67.650372260899474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>
        <f>VLOOKUP(A106,'Données projet'!$A$139:$I$159,2,0)</f>
        <v>371.4</v>
      </c>
      <c r="CR106" s="12">
        <f>VLOOKUP(A106,'Données projet'!$A$139:$I$159,9,0)</f>
        <v>8.9989999999999952</v>
      </c>
      <c r="CS106" s="12">
        <f t="array" ref="CS106">INDEX(CR:CR,MIN(IF(ISNUMBER(CR106:CR302),ROW(CR106:CR302),"")))</f>
        <v>8.9989999999999952</v>
      </c>
      <c r="CT106" s="12">
        <f>IF('Données projet'!$A$140&gt;35,CT105+CS106-DB105,IF(A106&lt;'Données projet'!$A$140,$CQ$205^A106,IF(A106='Données projet'!$A$140,'Données projet'!$B$140,CT105+CS106-DB105)))</f>
        <v>371.40000000000009</v>
      </c>
      <c r="CU106" s="17">
        <f>CT106*VLOOKUP('Données projet'!$B$13,Paramètres!$A$1:$I$89,3,0)*VLOOKUP('Données projet'!$B$13,Paramètres!$A$1:$I$89,5,0)</f>
        <v>353.42424000000011</v>
      </c>
      <c r="CV106" s="13">
        <f t="shared" si="95"/>
        <v>82.267197792875848</v>
      </c>
      <c r="CW106" s="20">
        <f t="shared" si="67"/>
        <v>758.82925415592547</v>
      </c>
      <c r="CX106" s="59">
        <f t="shared" si="68"/>
        <v>1043.5472857792236</v>
      </c>
      <c r="CY106" s="59">
        <f ca="1">AVERAGE(OFFSET($CX$3,0,0,'Données projet'!$E$13+1,1))-AVERAGE(OFFSET($H$3,0,0,'Données projet'!$E$13+1,1))</f>
        <v>470.42022791389275</v>
      </c>
      <c r="CZ106" s="59">
        <f t="shared" si="96"/>
        <v>300.26117330627346</v>
      </c>
      <c r="DA106" s="15">
        <f>IF(ISNA(VLOOKUP(A106,'Données projet'!$A$139:$I$159,3,0)),0,VLOOKUP(A106,'Données projet'!$A$139:$I$159,3,0))</f>
        <v>9</v>
      </c>
      <c r="DB106" s="15">
        <f>IF(ISNA(VLOOKUP(A106,'Données projet'!$A$139:$I$159,4,0)),0,VLOOKUP(A106,'Données projet'!$A$139:$I$159,4,0))</f>
        <v>67.759999999999991</v>
      </c>
      <c r="DC106" s="16">
        <f>IF(ISNA(VLOOKUP(A106,'Données projet'!$A$139:$I$159,5,0)),0%,VLOOKUP(A106,'Données projet'!$A$139:$I$159,5,0)*VLOOKUP('Données projet'!$B$13,Paramètres!$A$1:$I$89,7,0))</f>
        <v>0.1075</v>
      </c>
      <c r="DD106" s="16">
        <f>IF(ISNA(VLOOKUP(A106,'Données projet'!$A$139:$I$159,6,0)),0%,VLOOKUP(A106,'Données projet'!$A$139:$I$159,6,0)*VLOOKUP('Données projet'!$B$13,Paramètres!$A$1:$I$89,7,0))</f>
        <v>0.1075</v>
      </c>
      <c r="DE106" s="16">
        <f>IF(ISNA(VLOOKUP(A106,'Données projet'!$A$139:$I$159,7,0)),0%,VLOOKUP(A106,'Données projet'!$A$139:$I$159,7,0))</f>
        <v>0.25</v>
      </c>
      <c r="DF106" s="21">
        <f>EXP(-LN(2)/35)*DF105+(1-EXP(-LN(2)/35))/(LN(2)/35)*DB106*DC106*VLOOKUP('Données projet'!$B$13,Paramètres!$A$1:$I$89,3,0)*0.475*44/12</f>
        <v>26.716703030156165</v>
      </c>
      <c r="DG106" s="21">
        <f>EXP(-LN(2)/25)*DG105+(1-EXP(-LN(2)/25))/(LN(2)/25)*Calculateur!DB106*Calculateur!DD106*VLOOKUP('Données projet'!$B$13,Paramètres!$A$1:$I$89,3,0)*0.475*44/12</f>
        <v>25.523503004257396</v>
      </c>
      <c r="DH106" s="21">
        <f>EXP(-LN(2)/2)*DH105+(1-EXP(-LN(2)/2))/(LN(2)/2)*DB106*DE106*VLOOKUP('Données projet'!$B$13,Paramètres!$A$1:$I$89,3,0)*0.475*44/12</f>
        <v>15.69454334069726</v>
      </c>
      <c r="DI106" s="22">
        <f t="shared" si="69"/>
        <v>67.934749375110826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67.650372260899474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6.7777777777777777</v>
      </c>
      <c r="DO106" s="12">
        <f>IF('Données projet'!$A$166&gt;35,DO105+DN106-DW105,IF(A106&lt;'Données projet'!$A$166,$DL$205^A106,IF(A106='Données projet'!$A$166,'Données projet'!$B$166,DO105+DN106-DW105)))</f>
        <v>264.59222222222206</v>
      </c>
      <c r="DP106" s="17">
        <f>DO106*VLOOKUP('Données projet'!$B$14,Paramètres!$A$1:$I$89,3,0)*VLOOKUP('Données projet'!$B$14,Paramètres!$A$1:$I$89,5,0)</f>
        <v>255.91359733333317</v>
      </c>
      <c r="DQ106" s="13">
        <f t="shared" si="97"/>
        <v>61.850520566504819</v>
      </c>
      <c r="DR106" s="20">
        <f t="shared" si="70"/>
        <v>553.43917200888438</v>
      </c>
      <c r="DS106" s="59">
        <f t="shared" si="71"/>
        <v>838.15720363218247</v>
      </c>
      <c r="DT106" s="59">
        <f ca="1">AVERAGE(OFFSET($DS$3,0,0,'Données projet'!$E$14+1,1))-AVERAGE(OFFSET($H$3,0,0,'Données projet'!$E$14+1,1))</f>
        <v>537.37164071064103</v>
      </c>
      <c r="DU106" s="59">
        <f t="shared" si="98"/>
        <v>263.29777321132235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7.2212065753726788</v>
      </c>
      <c r="EB106" s="21">
        <f>EXP(-LN(2)/25)*EB105+(1-EXP(-LN(2)/25))/(LN(2)/25)*Calculateur!DW106*Calculateur!DY106*VLOOKUP('Données projet'!$B$14,Paramètres!$A$1:$I$89,3,0)*0.475*44/12</f>
        <v>12.858663832456196</v>
      </c>
      <c r="EC106" s="21">
        <f>EXP(-LN(2)/2)*EC105+(1-EXP(-LN(2)/2))/(LN(2)/2)*DW106*DZ106*VLOOKUP('Données projet'!$B$14,Paramètres!$A$1:$I$89,3,0)*0.475*44/12</f>
        <v>0.6264129900140889</v>
      </c>
      <c r="ED106" s="22">
        <f t="shared" si="72"/>
        <v>20.706283397842963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67.650372260899474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67.650372260899474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67.650372260899474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67.650372260899474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45">
      <c r="A107" s="10">
        <f t="shared" si="85"/>
        <v>104</v>
      </c>
      <c r="B107" s="73">
        <f>'Scénario référence'!$B$16*5+'Scénario référence'!$B$17*0+'Scénario référence'!$B$18*5</f>
        <v>2.8499999999999996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10.449999999999998</v>
      </c>
      <c r="H107" s="67">
        <f t="shared" si="56"/>
        <v>214.86666666666667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67.691133049192189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10.840999999999998</v>
      </c>
      <c r="N107" s="13">
        <f>IF('Données projet'!$A$36&gt;35,N106+M107-V106,IF(A107&lt;'Données projet'!$A$36,$K$205^A107,IF(A107='Données projet'!$A$36,'Données projet'!$B$36,N106+M107-V106)))</f>
        <v>465.99400000000003</v>
      </c>
      <c r="O107" s="13">
        <f>N107*VLOOKUP('Données projet'!$B$9,Paramètres!$A$1:$I$89,3,0)*VLOOKUP('Données projet'!$B$9,Paramètres!$A$1:$I$89,5,0)</f>
        <v>421.63137120000005</v>
      </c>
      <c r="P107" s="13">
        <f t="shared" si="87"/>
        <v>96.148561301747847</v>
      </c>
      <c r="Q107" s="20">
        <f t="shared" si="107"/>
        <v>901.80004910721084</v>
      </c>
      <c r="R107" s="59">
        <f t="shared" si="55"/>
        <v>1186.6675369542488</v>
      </c>
      <c r="S107" s="59">
        <f ca="1">AVERAGE(OFFSET($R$3,0,0,'Données projet'!$E$9+1,1))-AVERAGE(OFFSET($H$3,0,0,'Données projet'!$E$9+1,1))</f>
        <v>719.20816951277925</v>
      </c>
      <c r="T107" s="59">
        <f t="shared" si="88"/>
        <v>237.1127421841087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47.630115383977419</v>
      </c>
      <c r="AA107" s="21">
        <f>EXP(-LN(2)/25)*AA106+(1-EXP(-LN(2)/25))/(LN(2)/25)*Calculateur!V107*Calculateur!X107*VLOOKUP('Données projet'!$B$9,Paramètres!$A$1:$I$89,3,0)*0.475*44/12</f>
        <v>31.291434387185266</v>
      </c>
      <c r="AB107" s="21">
        <f>EXP(-LN(2)/2)*AB106+(1-EXP(-LN(2)/2))/(LN(2)/2)*V107*Y107*VLOOKUP('Données projet'!$B$9,Paramètres!$A$1:$I$89,3,0)*0.475*44/12</f>
        <v>4.834605646836411E-2</v>
      </c>
      <c r="AC107" s="22">
        <f t="shared" si="57"/>
        <v>78.969895827631049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67.691133049192189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3.3666666666666694</v>
      </c>
      <c r="AI107" s="13">
        <f>IF('Données projet'!$A$62&gt;35,AI106+AH107-AQ106,IF(A107&lt;'Données projet'!$A$62,$AF$205^A107,IF(A107='Données projet'!$A$62,'Données projet'!$B$62,AI106+AH107-AQ106)))</f>
        <v>124.72666666666673</v>
      </c>
      <c r="AJ107" s="13">
        <f>AI107*VLOOKUP('Données projet'!$B$10,Paramètres!$A$1:$I$89,3,0)*VLOOKUP('Données projet'!$B$10,Paramètres!$A$1:$I$89,5,0)</f>
        <v>105.06974400000007</v>
      </c>
      <c r="AK107" s="13">
        <f t="shared" si="89"/>
        <v>28.166295917869327</v>
      </c>
      <c r="AL107" s="20">
        <f t="shared" si="58"/>
        <v>232.05276952362252</v>
      </c>
      <c r="AM107" s="59">
        <f t="shared" si="59"/>
        <v>516.92025737066058</v>
      </c>
      <c r="AN107" s="59">
        <f ca="1">AVERAGE(OFFSET($AM$3,0,0,'Données projet'!$E$10+1,1))-AVERAGE(OFFSET($H$3,0,0,'Données projet'!$E$10+1,1))</f>
        <v>442.79037205372367</v>
      </c>
      <c r="AO107" s="59">
        <f t="shared" si="90"/>
        <v>288.23553637727969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102.6388244467099</v>
      </c>
      <c r="AV107" s="21">
        <f>EXP(-LN(2)/25)*AV106+(1-EXP(-LN(2)/25))/(LN(2)/25)*Calculateur!AQ107*Calculateur!AS107*VLOOKUP('Données projet'!$B$10,Paramètres!$A$1:$I$89,3,0)*0.475*44/12</f>
        <v>26.803981855235889</v>
      </c>
      <c r="AW107" s="21">
        <f>EXP(-LN(2)/2)*AW106+(1-EXP(-LN(2)/2))/(LN(2)/2)*AQ107*AT107*VLOOKUP('Données projet'!$B$10,Paramètres!$A$1:$I$89,3,0)*0.475*44/12</f>
        <v>4.397250350057953</v>
      </c>
      <c r="AX107" s="21">
        <f t="shared" si="60"/>
        <v>133.84005665200374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67.691133049192189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>
        <f>VLOOKUP(A107,'Données projet'!$A$87:$I$107,2,0)</f>
        <v>271.37</v>
      </c>
      <c r="BB107" s="12">
        <f>VLOOKUP(A107,'Données projet'!$A$87:$I$107,9,0)</f>
        <v>6.7777777777777777</v>
      </c>
      <c r="BC107" s="12">
        <f t="array" ref="BC107">INDEX(BB:BB,MIN(IF(ISNUMBER(BB107:BB303),ROW(BB107:BB303),"")))</f>
        <v>6.7777777777777777</v>
      </c>
      <c r="BD107" s="12">
        <f>IF('Données projet'!$A$88&gt;35,BD106+BC107-BL106,IF(A107&lt;'Données projet'!$A$88,$BA$205^A107,IF(A107='Données projet'!$A$88,'Données projet'!$B$88,BD106+BC107-BL106)))</f>
        <v>271.36999999999983</v>
      </c>
      <c r="BE107" s="13">
        <f>BD107*VLOOKUP('Données projet'!$B$11,Paramètres!$A$1:$I$89,3,0)*VLOOKUP('Données projet'!$B$11,Paramètres!$A$1:$I$89,5,0)</f>
        <v>275.16917999999981</v>
      </c>
      <c r="BF107" s="13">
        <f t="shared" si="91"/>
        <v>65.945086005549797</v>
      </c>
      <c r="BG107" s="20">
        <f t="shared" si="61"/>
        <v>594.10734662633229</v>
      </c>
      <c r="BH107" s="59">
        <f t="shared" si="62"/>
        <v>878.97483447337027</v>
      </c>
      <c r="BI107" s="59">
        <f ca="1">AVERAGE(OFFSET($BH$3,0,0,'Données projet'!$E$11+1,1))-AVERAGE(OFFSET($H$3,0,0,'Données projet'!$E$11+1,1))</f>
        <v>559.91818701710872</v>
      </c>
      <c r="BJ107" s="59">
        <f t="shared" si="92"/>
        <v>273.47272623465915</v>
      </c>
      <c r="BK107" s="15">
        <f>IF(ISNA(VLOOKUP(A107,'Données projet'!$A$87:$I$107,3,0)),0,VLOOKUP(A107,'Données projet'!$A$87:$I$107,3,0))</f>
        <v>6</v>
      </c>
      <c r="BL107" s="15">
        <f>IF(ISNA(VLOOKUP(A107,'Données projet'!$A$87:$I$107,4,0)),0,VLOOKUP(A107,'Données projet'!$A$87:$I$107,4,0))</f>
        <v>39.400000000000006</v>
      </c>
      <c r="BM107" s="16">
        <f>IF(ISNA(VLOOKUP(A107,'Données projet'!$A$87:$I$107,5,0)),0%,VLOOKUP(A107,'Données projet'!$A$87:$I$107,5,0)*VLOOKUP('Données projet'!$B$11,Paramètres!$A$1:$I$89,7,0))</f>
        <v>0.15049999999999999</v>
      </c>
      <c r="BN107" s="16">
        <f>IF(ISNA(VLOOKUP(A107,'Données projet'!$A$87:$I$107,6,0)),0%,VLOOKUP(A107,'Données projet'!$A$87:$I$107,6,0)*VLOOKUP('Données projet'!$B$11,Paramètres!$A$1:$I$89,7,0))</f>
        <v>8.6000000000000007E-2</v>
      </c>
      <c r="BO107" s="16">
        <f>IF(ISNA(VLOOKUP(A107,'Données projet'!$A$87:$I$107,7,0)),0%,VLOOKUP(A107,'Données projet'!$A$87:$I$107,7,0))</f>
        <v>0.1</v>
      </c>
      <c r="BP107" s="21">
        <f>EXP(-LN(2)/35)*BP106+(1-EXP(-LN(2)/35))/(LN(2)/35)*BL107*BM107*VLOOKUP('Données projet'!$B$11,Paramètres!$A$1:$I$89,3,0)*0.475*44/12</f>
        <v>17.037909601686799</v>
      </c>
      <c r="BQ107" s="21">
        <f>EXP(-LN(2)/25)*BQ106+(1-EXP(-LN(2)/25))/(LN(2)/25)*Calculateur!BL107*Calculateur!BN107*VLOOKUP('Données projet'!$B$11,Paramètres!$A$1:$I$89,3,0)*0.475*44/12</f>
        <v>29.705420325182111</v>
      </c>
      <c r="BR107" s="21">
        <f>EXP(-LN(2)/2)*BR106+(1-EXP(-LN(2)/2))/(LN(2)/2)*BL107*BO107*VLOOKUP('Données projet'!$B$11,Paramètres!$A$1:$I$89,3,0)*0.475*44/12</f>
        <v>3.9555942072717549</v>
      </c>
      <c r="BS107" s="22">
        <f t="shared" si="63"/>
        <v>50.698924134140668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67.691133049192189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-1.1368683772161603E-13</v>
      </c>
      <c r="BZ107" s="13">
        <f>BY107*VLOOKUP('Données projet'!$B$12,Paramètres!$A$1:$I$89,3,0)*VLOOKUP('Données projet'!$B$12,Paramètres!$A$1:$I$89,5,0)</f>
        <v>-8.8675733422860506E-14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208.92677786250815</v>
      </c>
      <c r="CE107" s="59">
        <f t="shared" si="94"/>
        <v>207.54290142772214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13.781596188858769</v>
      </c>
      <c r="CL107" s="21">
        <f>EXP(-LN(2)/25)*CL106+(1-EXP(-LN(2)/25))/(LN(2)/25)*Calculateur!CG107*Calculateur!CI107*VLOOKUP('Données projet'!$B$12,Paramètres!$A$1:$I$89,3,0)*0.475*44/12</f>
        <v>10.283355221549003</v>
      </c>
      <c r="CM107" s="21">
        <f>EXP(-LN(2)/2)*CM106+(1-EXP(-LN(2)/2))/(LN(2)/2)*CG107*CJ107*VLOOKUP('Données projet'!$B$12,Paramètres!$A$1:$I$89,3,0)*0.475*44/12</f>
        <v>2.1010665359963353E-4</v>
      </c>
      <c r="CN107" s="22">
        <f t="shared" si="66"/>
        <v>24.065161517061373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67.691133049192189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8.7540000000000013</v>
      </c>
      <c r="CT107" s="12">
        <f>IF('Données projet'!$A$140&gt;35,CT106+CS107-DB106,IF(A107&lt;'Données projet'!$A$140,$CQ$205^A107,IF(A107='Données projet'!$A$140,'Données projet'!$B$140,CT106+CS107-DB106)))</f>
        <v>312.39400000000012</v>
      </c>
      <c r="CU107" s="17">
        <f>CT107*VLOOKUP('Données projet'!$B$13,Paramètres!$A$1:$I$89,3,0)*VLOOKUP('Données projet'!$B$13,Paramètres!$A$1:$I$89,5,0)</f>
        <v>297.27413040000016</v>
      </c>
      <c r="CV107" s="13">
        <f t="shared" si="95"/>
        <v>70.604713287138281</v>
      </c>
      <c r="CW107" s="20">
        <f t="shared" si="67"/>
        <v>640.72231942176609</v>
      </c>
      <c r="CX107" s="59">
        <f t="shared" si="68"/>
        <v>925.58980726880418</v>
      </c>
      <c r="CY107" s="59">
        <f ca="1">AVERAGE(OFFSET($CX$3,0,0,'Données projet'!$E$13+1,1))-AVERAGE(OFFSET($H$3,0,0,'Données projet'!$E$13+1,1))</f>
        <v>470.42022791389275</v>
      </c>
      <c r="CZ107" s="59">
        <f t="shared" si="96"/>
        <v>300.26117330627346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26.192804779314596</v>
      </c>
      <c r="DG107" s="21">
        <f>EXP(-LN(2)/25)*DG106+(1-EXP(-LN(2)/25))/(LN(2)/25)*Calculateur!DB107*Calculateur!DD107*VLOOKUP('Données projet'!$B$13,Paramètres!$A$1:$I$89,3,0)*0.475*44/12</f>
        <v>24.825561472383288</v>
      </c>
      <c r="DH107" s="21">
        <f>EXP(-LN(2)/2)*DH106+(1-EXP(-LN(2)/2))/(LN(2)/2)*DB107*DE107*VLOOKUP('Données projet'!$B$13,Paramètres!$A$1:$I$89,3,0)*0.475*44/12</f>
        <v>11.097718023833204</v>
      </c>
      <c r="DI107" s="22">
        <f t="shared" si="69"/>
        <v>62.116084275531087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67.691133049192189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>
        <f>VLOOKUP(A107,'Données projet'!$A$165:$I$185,2,0)</f>
        <v>271.37</v>
      </c>
      <c r="DM107" s="12">
        <f>VLOOKUP(A107,'Données projet'!$A$165:$I$185,9,0)</f>
        <v>6.7777777777777777</v>
      </c>
      <c r="DN107" s="12">
        <f t="array" ref="DN107">INDEX(DM:DM,MIN(IF(ISNUMBER(DM107:DM303),ROW(DM107:DM303),"")))</f>
        <v>6.7777777777777777</v>
      </c>
      <c r="DO107" s="12">
        <f>IF('Données projet'!$A$166&gt;35,DO106+DN107-DW106,IF(A107&lt;'Données projet'!$A$166,$DL$205^A107,IF(A107='Données projet'!$A$166,'Données projet'!$B$166,DO106+DN107-DW106)))</f>
        <v>271.36999999999983</v>
      </c>
      <c r="DP107" s="17">
        <f>DO107*VLOOKUP('Données projet'!$B$14,Paramètres!$A$1:$I$89,3,0)*VLOOKUP('Données projet'!$B$14,Paramètres!$A$1:$I$89,5,0)</f>
        <v>262.46906399999983</v>
      </c>
      <c r="DQ107" s="13">
        <f t="shared" si="97"/>
        <v>63.248392763074122</v>
      </c>
      <c r="DR107" s="20">
        <f t="shared" si="70"/>
        <v>567.29123719568713</v>
      </c>
      <c r="DS107" s="59">
        <f t="shared" si="71"/>
        <v>852.15872504272511</v>
      </c>
      <c r="DT107" s="59">
        <f ca="1">AVERAGE(OFFSET($DS$3,0,0,'Données projet'!$E$14+1,1))-AVERAGE(OFFSET($H$3,0,0,'Données projet'!$E$14+1,1))</f>
        <v>537.37164071064103</v>
      </c>
      <c r="DU107" s="59">
        <f t="shared" si="98"/>
        <v>263.29777321132235</v>
      </c>
      <c r="DV107" s="15">
        <f>IF(ISNA(VLOOKUP(A107,'Données projet'!$A$165:$I$185,3,0)),0,VLOOKUP(A107,'Données projet'!$A$165:$I$185,3,0))</f>
        <v>6</v>
      </c>
      <c r="DW107" s="15">
        <f>IF(ISNA(VLOOKUP(A107,'Données projet'!$A$165:$I$185,4,0)),0,VLOOKUP(A107,'Données projet'!$A$165:$I$185,4,0))</f>
        <v>39.400000000000006</v>
      </c>
      <c r="DX107" s="16">
        <f>IF(ISNA(VLOOKUP(A107,'Données projet'!$A$165:$I$185,5,0)),0%,VLOOKUP(A107,'Données projet'!$A$165:$I$185,5,0)*VLOOKUP('Données projet'!$B$14,Paramètres!$A$1:$I$89,7,0))</f>
        <v>0.1075</v>
      </c>
      <c r="DY107" s="16">
        <f>IF(ISNA(VLOOKUP(A107,'Données projet'!$A$165:$I$185,6,0)),0%,VLOOKUP(A107,'Données projet'!$A$165:$I$185,6,0)*VLOOKUP('Données projet'!$B$14,Paramètres!$A$1:$I$89,7,0))</f>
        <v>0.1075</v>
      </c>
      <c r="DZ107" s="16">
        <f>IF(ISNA(VLOOKUP(A107,'Données projet'!$A$165:$I$185,7,0)),0%,VLOOKUP(A107,'Données projet'!$A$165:$I$185,7,0))</f>
        <v>0.25</v>
      </c>
      <c r="EA107" s="21">
        <f>EXP(-LN(2)/35)*EA106+(1-EXP(-LN(2)/35))/(LN(2)/35)*DW107*DX107*VLOOKUP('Données projet'!$B$14,Paramètres!$A$1:$I$89,3,0)*0.475*44/12</f>
        <v>11.608246102248147</v>
      </c>
      <c r="EB107" s="21">
        <f>EXP(-LN(2)/25)*EB106+(1-EXP(-LN(2)/25))/(LN(2)/25)*Calculateur!DW107*Calculateur!DY107*VLOOKUP('Données projet'!$B$14,Paramètres!$A$1:$I$89,3,0)*0.475*44/12</f>
        <v>17.017854984093784</v>
      </c>
      <c r="EC107" s="21">
        <f>EXP(-LN(2)/2)*EC106+(1-EXP(-LN(2)/2))/(LN(2)/2)*DW107*DZ107*VLOOKUP('Données projet'!$B$14,Paramètres!$A$1:$I$89,3,0)*0.475*44/12</f>
        <v>9.431846306354668</v>
      </c>
      <c r="ED107" s="22">
        <f t="shared" si="72"/>
        <v>38.057947392696605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67.691133049192189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67.691133049192189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67.691133049192189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67.691133049192189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45">
      <c r="A108" s="10">
        <f t="shared" si="85"/>
        <v>105</v>
      </c>
      <c r="B108" s="73">
        <f>'Scénario référence'!$B$16*5+'Scénario référence'!$B$17*0+'Scénario référence'!$B$18*5</f>
        <v>2.8499999999999996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10.449999999999998</v>
      </c>
      <c r="H108" s="67">
        <f t="shared" si="56"/>
        <v>214.86666666666667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67.731186728935512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10.840999999999998</v>
      </c>
      <c r="N108" s="13">
        <f>IF('Données projet'!$A$36&gt;35,N107+M108-V107,IF(A108&lt;'Données projet'!$A$36,$K$205^A108,IF(A108='Données projet'!$A$36,'Données projet'!$B$36,N107+M108-V107)))</f>
        <v>476.83500000000004</v>
      </c>
      <c r="O108" s="13">
        <f>N108*VLOOKUP('Données projet'!$B$9,Paramètres!$A$1:$I$89,3,0)*VLOOKUP('Données projet'!$B$9,Paramètres!$A$1:$I$89,5,0)</f>
        <v>431.44030800000002</v>
      </c>
      <c r="P108" s="13">
        <f t="shared" si="87"/>
        <v>98.122365773392104</v>
      </c>
      <c r="Q108" s="20">
        <f t="shared" si="107"/>
        <v>922.32165682199127</v>
      </c>
      <c r="R108" s="59">
        <f t="shared" si="55"/>
        <v>1207.3360081614214</v>
      </c>
      <c r="S108" s="59">
        <f ca="1">AVERAGE(OFFSET($R$3,0,0,'Données projet'!$E$9+1,1))-AVERAGE(OFFSET($H$3,0,0,'Données projet'!$E$9+1,1))</f>
        <v>719.20816951277925</v>
      </c>
      <c r="T108" s="59">
        <f t="shared" si="88"/>
        <v>237.1127421841087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46.696117872799405</v>
      </c>
      <c r="AA108" s="21">
        <f>EXP(-LN(2)/25)*AA107+(1-EXP(-LN(2)/25))/(LN(2)/25)*Calculateur!V108*Calculateur!X108*VLOOKUP('Données projet'!$B$9,Paramètres!$A$1:$I$89,3,0)*0.475*44/12</f>
        <v>30.435768468322667</v>
      </c>
      <c r="AB108" s="21">
        <f>EXP(-LN(2)/2)*AB107+(1-EXP(-LN(2)/2))/(LN(2)/2)*V108*Y108*VLOOKUP('Données projet'!$B$9,Paramètres!$A$1:$I$89,3,0)*0.475*44/12</f>
        <v>3.4185824372408011E-2</v>
      </c>
      <c r="AC108" s="22">
        <f t="shared" si="57"/>
        <v>77.166072165494484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67.731186728935512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3.3666666666666694</v>
      </c>
      <c r="AI108" s="13">
        <f>IF('Données projet'!$A$62&gt;35,AI107+AH108-AQ107,IF(A108&lt;'Données projet'!$A$62,$AF$205^A108,IF(A108='Données projet'!$A$62,'Données projet'!$B$62,AI107+AH108-AQ107)))</f>
        <v>128.09333333333339</v>
      </c>
      <c r="AJ108" s="13">
        <f>AI108*VLOOKUP('Données projet'!$B$10,Paramètres!$A$1:$I$89,3,0)*VLOOKUP('Données projet'!$B$10,Paramètres!$A$1:$I$89,5,0)</f>
        <v>107.90582400000005</v>
      </c>
      <c r="AK108" s="13">
        <f t="shared" si="89"/>
        <v>28.837029763814225</v>
      </c>
      <c r="AL108" s="20">
        <f t="shared" si="58"/>
        <v>238.1604703053099</v>
      </c>
      <c r="AM108" s="59">
        <f t="shared" si="59"/>
        <v>523.17482164474018</v>
      </c>
      <c r="AN108" s="59">
        <f ca="1">AVERAGE(OFFSET($AM$3,0,0,'Données projet'!$E$10+1,1))-AVERAGE(OFFSET($H$3,0,0,'Données projet'!$E$10+1,1))</f>
        <v>442.79037205372367</v>
      </c>
      <c r="AO108" s="59">
        <f t="shared" si="90"/>
        <v>288.23553637727969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100.62613970281126</v>
      </c>
      <c r="AV108" s="21">
        <f>EXP(-LN(2)/25)*AV107+(1-EXP(-LN(2)/25))/(LN(2)/25)*Calculateur!AQ108*Calculateur!AS108*VLOOKUP('Données projet'!$B$10,Paramètres!$A$1:$I$89,3,0)*0.475*44/12</f>
        <v>26.071025561844319</v>
      </c>
      <c r="AW108" s="21">
        <f>EXP(-LN(2)/2)*AW107+(1-EXP(-LN(2)/2))/(LN(2)/2)*AQ108*AT108*VLOOKUP('Données projet'!$B$10,Paramètres!$A$1:$I$89,3,0)*0.475*44/12</f>
        <v>3.1093255411008989</v>
      </c>
      <c r="AX108" s="21">
        <f t="shared" si="60"/>
        <v>129.80649080575648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67.731186728935512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6.8811111111111085</v>
      </c>
      <c r="BD108" s="12">
        <f>IF('Données projet'!$A$88&gt;35,BD107+BC108-BL107,IF(A108&lt;'Données projet'!$A$88,$BA$205^A108,IF(A108='Données projet'!$A$88,'Données projet'!$B$88,BD107+BC108-BL107)))</f>
        <v>238.85111111111095</v>
      </c>
      <c r="BE108" s="13">
        <f>BD108*VLOOKUP('Données projet'!$B$11,Paramètres!$A$1:$I$89,3,0)*VLOOKUP('Données projet'!$B$11,Paramètres!$A$1:$I$89,5,0)</f>
        <v>242.19502666666651</v>
      </c>
      <c r="BF108" s="13">
        <f t="shared" si="91"/>
        <v>58.911550627030486</v>
      </c>
      <c r="BG108" s="20">
        <f t="shared" si="61"/>
        <v>524.42728878652235</v>
      </c>
      <c r="BH108" s="59">
        <f t="shared" si="62"/>
        <v>809.44164012595252</v>
      </c>
      <c r="BI108" s="59">
        <f ca="1">AVERAGE(OFFSET($BH$3,0,0,'Données projet'!$E$11+1,1))-AVERAGE(OFFSET($H$3,0,0,'Données projet'!$E$11+1,1))</f>
        <v>559.91818701710872</v>
      </c>
      <c r="BJ108" s="59">
        <f t="shared" si="92"/>
        <v>273.47272623465915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16.703806586496444</v>
      </c>
      <c r="BQ108" s="21">
        <f>EXP(-LN(2)/25)*BQ107+(1-EXP(-LN(2)/25))/(LN(2)/25)*Calculateur!BL108*Calculateur!BN108*VLOOKUP('Données projet'!$B$11,Paramètres!$A$1:$I$89,3,0)*0.475*44/12</f>
        <v>28.893124044249845</v>
      </c>
      <c r="BR108" s="21">
        <f>EXP(-LN(2)/2)*BR107+(1-EXP(-LN(2)/2))/(LN(2)/2)*BL108*BO108*VLOOKUP('Données projet'!$B$11,Paramètres!$A$1:$I$89,3,0)*0.475*44/12</f>
        <v>2.7970274875840837</v>
      </c>
      <c r="BS108" s="22">
        <f t="shared" si="63"/>
        <v>48.393958118330367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67.731186728935512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-1.1368683772161603E-13</v>
      </c>
      <c r="BZ108" s="13">
        <f>BY108*VLOOKUP('Données projet'!$B$12,Paramètres!$A$1:$I$89,3,0)*VLOOKUP('Données projet'!$B$12,Paramètres!$A$1:$I$89,5,0)</f>
        <v>-8.8675733422860506E-14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208.92677786250815</v>
      </c>
      <c r="CE108" s="59">
        <f t="shared" si="94"/>
        <v>207.54290142772214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13.511347493538906</v>
      </c>
      <c r="CL108" s="21">
        <f>EXP(-LN(2)/25)*CL107+(1-EXP(-LN(2)/25))/(LN(2)/25)*Calculateur!CG108*Calculateur!CI108*VLOOKUP('Données projet'!$B$12,Paramètres!$A$1:$I$89,3,0)*0.475*44/12</f>
        <v>10.002156332237599</v>
      </c>
      <c r="CM108" s="21">
        <f>EXP(-LN(2)/2)*CM107+(1-EXP(-LN(2)/2))/(LN(2)/2)*CG108*CJ108*VLOOKUP('Données projet'!$B$12,Paramètres!$A$1:$I$89,3,0)*0.475*44/12</f>
        <v>1.485678395327138E-4</v>
      </c>
      <c r="CN108" s="22">
        <f t="shared" si="66"/>
        <v>23.513652393616034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67.731186728935512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8.7540000000000013</v>
      </c>
      <c r="CT108" s="12">
        <f>IF('Données projet'!$A$140&gt;35,CT107+CS108-DB107,IF(A108&lt;'Données projet'!$A$140,$CQ$205^A108,IF(A108='Données projet'!$A$140,'Données projet'!$B$140,CT107+CS108-DB107)))</f>
        <v>321.14800000000014</v>
      </c>
      <c r="CU108" s="17">
        <f>CT108*VLOOKUP('Données projet'!$B$13,Paramètres!$A$1:$I$89,3,0)*VLOOKUP('Données projet'!$B$13,Paramètres!$A$1:$I$89,5,0)</f>
        <v>305.60443680000009</v>
      </c>
      <c r="CV108" s="13">
        <f t="shared" si="95"/>
        <v>72.350100063341856</v>
      </c>
      <c r="CW108" s="20">
        <f t="shared" si="67"/>
        <v>658.27081837032063</v>
      </c>
      <c r="CX108" s="59">
        <f t="shared" si="68"/>
        <v>943.28516970975079</v>
      </c>
      <c r="CY108" s="59">
        <f ca="1">AVERAGE(OFFSET($CX$3,0,0,'Données projet'!$E$13+1,1))-AVERAGE(OFFSET($H$3,0,0,'Données projet'!$E$13+1,1))</f>
        <v>470.42022791389275</v>
      </c>
      <c r="CZ108" s="59">
        <f t="shared" si="96"/>
        <v>300.26117330627346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25.679179853625648</v>
      </c>
      <c r="DG108" s="21">
        <f>EXP(-LN(2)/25)*DG107+(1-EXP(-LN(2)/25))/(LN(2)/25)*Calculateur!DB108*Calculateur!DD108*VLOOKUP('Données projet'!$B$13,Paramètres!$A$1:$I$89,3,0)*0.475*44/12</f>
        <v>24.14670518840143</v>
      </c>
      <c r="DH108" s="21">
        <f>EXP(-LN(2)/2)*DH107+(1-EXP(-LN(2)/2))/(LN(2)/2)*DB108*DE108*VLOOKUP('Données projet'!$B$13,Paramètres!$A$1:$I$89,3,0)*0.475*44/12</f>
        <v>7.8472716703486309</v>
      </c>
      <c r="DI108" s="22">
        <f t="shared" si="69"/>
        <v>57.673156712375715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67.731186728935512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6.8811111111111085</v>
      </c>
      <c r="DO108" s="12">
        <f>IF('Données projet'!$A$166&gt;35,DO107+DN108-DW107,IF(A108&lt;'Données projet'!$A$166,$DL$205^A108,IF(A108='Données projet'!$A$166,'Données projet'!$B$166,DO107+DN108-DW107)))</f>
        <v>238.85111111111095</v>
      </c>
      <c r="DP108" s="17">
        <f>DO108*VLOOKUP('Données projet'!$B$14,Paramètres!$A$1:$I$89,3,0)*VLOOKUP('Données projet'!$B$14,Paramètres!$A$1:$I$89,5,0)</f>
        <v>231.0167946666665</v>
      </c>
      <c r="DQ108" s="13">
        <f t="shared" si="97"/>
        <v>56.50247983642894</v>
      </c>
      <c r="DR108" s="20">
        <f t="shared" si="70"/>
        <v>500.76273642622454</v>
      </c>
      <c r="DS108" s="59">
        <f t="shared" si="71"/>
        <v>785.77708776565476</v>
      </c>
      <c r="DT108" s="59">
        <f ca="1">AVERAGE(OFFSET($DS$3,0,0,'Données projet'!$E$14+1,1))-AVERAGE(OFFSET($H$3,0,0,'Données projet'!$E$14+1,1))</f>
        <v>537.37164071064103</v>
      </c>
      <c r="DU108" s="59">
        <f t="shared" si="98"/>
        <v>263.29777321132235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11.380615476514059</v>
      </c>
      <c r="EB108" s="21">
        <f>EXP(-LN(2)/25)*EB107+(1-EXP(-LN(2)/25))/(LN(2)/25)*Calculateur!DW108*Calculateur!DY108*VLOOKUP('Données projet'!$B$14,Paramètres!$A$1:$I$89,3,0)*0.475*44/12</f>
        <v>16.552500844623641</v>
      </c>
      <c r="EC108" s="21">
        <f>EXP(-LN(2)/2)*EC107+(1-EXP(-LN(2)/2))/(LN(2)/2)*DW108*DZ108*VLOOKUP('Données projet'!$B$14,Paramètres!$A$1:$I$89,3,0)*0.475*44/12</f>
        <v>6.6693224823326771</v>
      </c>
      <c r="ED108" s="22">
        <f t="shared" si="72"/>
        <v>34.602438803470378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67.731186728935512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67.731186728935512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67.731186728935512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67.731186728935512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45">
      <c r="A109" s="10">
        <f t="shared" si="85"/>
        <v>106</v>
      </c>
      <c r="B109" s="73">
        <f>'Scénario référence'!$B$16*5+'Scénario référence'!$B$17*0+'Scénario référence'!$B$18*5</f>
        <v>2.8499999999999996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10.449999999999998</v>
      </c>
      <c r="H109" s="67">
        <f t="shared" si="56"/>
        <v>214.86666666666667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67.770545566881893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10.840999999999998</v>
      </c>
      <c r="N109" s="13">
        <f>IF('Données projet'!$A$36&gt;35,N108+M109-V108,IF(A109&lt;'Données projet'!$A$36,$K$205^A109,IF(A109='Données projet'!$A$36,'Données projet'!$B$36,N108+M109-V108)))</f>
        <v>487.67600000000004</v>
      </c>
      <c r="O109" s="13">
        <f>N109*VLOOKUP('Données projet'!$B$9,Paramètres!$A$1:$I$89,3,0)*VLOOKUP('Données projet'!$B$9,Paramètres!$A$1:$I$89,5,0)</f>
        <v>441.24924480000004</v>
      </c>
      <c r="P109" s="13">
        <f t="shared" si="87"/>
        <v>100.09095321491932</v>
      </c>
      <c r="Q109" s="20">
        <f t="shared" si="107"/>
        <v>942.83417820931766</v>
      </c>
      <c r="R109" s="59">
        <f t="shared" si="55"/>
        <v>1227.9928452878846</v>
      </c>
      <c r="S109" s="59">
        <f ca="1">AVERAGE(OFFSET($R$3,0,0,'Données projet'!$E$9+1,1))-AVERAGE(OFFSET($H$3,0,0,'Données projet'!$E$9+1,1))</f>
        <v>719.20816951277925</v>
      </c>
      <c r="T109" s="59">
        <f t="shared" si="88"/>
        <v>237.1127421841087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45.780435483133367</v>
      </c>
      <c r="AA109" s="21">
        <f>EXP(-LN(2)/25)*AA108+(1-EXP(-LN(2)/25))/(LN(2)/25)*Calculateur!V109*Calculateur!X109*VLOOKUP('Données projet'!$B$9,Paramètres!$A$1:$I$89,3,0)*0.475*44/12</f>
        <v>29.603500779008883</v>
      </c>
      <c r="AB109" s="21">
        <f>EXP(-LN(2)/2)*AB108+(1-EXP(-LN(2)/2))/(LN(2)/2)*V109*Y109*VLOOKUP('Données projet'!$B$9,Paramètres!$A$1:$I$89,3,0)*0.475*44/12</f>
        <v>2.4173028234182055E-2</v>
      </c>
      <c r="AC109" s="22">
        <f t="shared" si="57"/>
        <v>75.40810929037643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67.770545566881893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>
        <f>VLOOKUP(A109,'Données projet'!$A$61:$I$81,2,0)</f>
        <v>131.46</v>
      </c>
      <c r="AG109" s="12">
        <f>VLOOKUP(A109,'Données projet'!$A$61:$I$81,9,0)</f>
        <v>3.3666666666666694</v>
      </c>
      <c r="AH109" s="12">
        <f t="array" ref="AH109">INDEX(AG:AG,MIN(IF(ISNUMBER(AG109:AG305),ROW(AG109:AG305),"")))</f>
        <v>3.3666666666666694</v>
      </c>
      <c r="AI109" s="13">
        <f>IF('Données projet'!$A$62&gt;35,AI108+AH109-AQ108,IF(A109&lt;'Données projet'!$A$62,$AF$205^A109,IF(A109='Données projet'!$A$62,'Données projet'!$B$62,AI108+AH109-AQ108)))</f>
        <v>131.46000000000006</v>
      </c>
      <c r="AJ109" s="13">
        <f>AI109*VLOOKUP('Données projet'!$B$10,Paramètres!$A$1:$I$89,3,0)*VLOOKUP('Données projet'!$B$10,Paramètres!$A$1:$I$89,5,0)</f>
        <v>110.74190400000006</v>
      </c>
      <c r="AK109" s="13">
        <f t="shared" si="89"/>
        <v>29.505714498780094</v>
      </c>
      <c r="AL109" s="20">
        <f t="shared" si="58"/>
        <v>244.26460221870877</v>
      </c>
      <c r="AM109" s="59">
        <f t="shared" si="59"/>
        <v>529.42326929727574</v>
      </c>
      <c r="AN109" s="59">
        <f ca="1">AVERAGE(OFFSET($AM$3,0,0,'Données projet'!$E$10+1,1))-AVERAGE(OFFSET($H$3,0,0,'Données projet'!$E$10+1,1))</f>
        <v>442.79037205372367</v>
      </c>
      <c r="AO109" s="59">
        <f t="shared" si="90"/>
        <v>288.23553637727969</v>
      </c>
      <c r="AP109" s="15">
        <f>IF(ISNA(VLOOKUP(A109,'Données projet'!$A$61:$I$81,3,0)),0,VLOOKUP(A109,'Données projet'!$A$61:$I$81,3,0))</f>
        <v>13</v>
      </c>
      <c r="AQ109" s="15">
        <f>IF(ISNA(VLOOKUP(A109,'Données projet'!$A$61:$I$81,4,0)),0,VLOOKUP(A109,'Données projet'!$A$61:$I$81,4,0))</f>
        <v>131.46</v>
      </c>
      <c r="AR109" s="16">
        <f>IF(ISNA(VLOOKUP(A109,'Données projet'!$A$61:$I$81,5,0)),0%,VLOOKUP(A109,'Données projet'!$A$61:$I$81,5,0)*VLOOKUP('Données projet'!$B$10,Paramètres!$A$1:$I$89,7,0))</f>
        <v>0.19350000000000001</v>
      </c>
      <c r="AS109" s="16">
        <f>IF(ISNA(VLOOKUP(A109,'Données projet'!$A$61:$I$81,6,0)),0%,VLOOKUP(A109,'Données projet'!$A$61:$I$81,6,0)*VLOOKUP('Données projet'!$B$10,Paramètres!$A$1:$I$89,7,0))</f>
        <v>2.1500000000000002E-2</v>
      </c>
      <c r="AT109" s="16">
        <f>IF(ISNA(VLOOKUP(A109,'Données projet'!$A$61:$I$81,7,0)),0%,VLOOKUP(A109,'Données projet'!$A$61:$I$81,7,0))</f>
        <v>0.05</v>
      </c>
      <c r="AU109" s="21">
        <f>EXP(-LN(2)/35)*AU108+(1-EXP(-LN(2)/35))/(LN(2)/35)*AQ109*AR109*VLOOKUP('Données projet'!$B$10,Paramètres!$A$1:$I$89,3,0)*0.475*44/12</f>
        <v>122.34155909294726</v>
      </c>
      <c r="AV109" s="21">
        <f>EXP(-LN(2)/25)*AV108+(1-EXP(-LN(2)/25))/(LN(2)/25)*Calculateur!AQ109*Calculateur!AS109*VLOOKUP('Données projet'!$B$10,Paramètres!$A$1:$I$89,3,0)*0.475*44/12</f>
        <v>27.979819266328533</v>
      </c>
      <c r="AW109" s="21">
        <f>EXP(-LN(2)/2)*AW108+(1-EXP(-LN(2)/2))/(LN(2)/2)*AQ109*AT109*VLOOKUP('Données projet'!$B$10,Paramètres!$A$1:$I$89,3,0)*0.475*44/12</f>
        <v>7.423023524961283</v>
      </c>
      <c r="AX109" s="21">
        <f t="shared" si="60"/>
        <v>157.74440188423708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67.770545566881893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6.8811111111111085</v>
      </c>
      <c r="BD109" s="12">
        <f>IF('Données projet'!$A$88&gt;35,BD108+BC109-BL108,IF(A109&lt;'Données projet'!$A$88,$BA$205^A109,IF(A109='Données projet'!$A$88,'Données projet'!$B$88,BD108+BC109-BL108)))</f>
        <v>245.73222222222205</v>
      </c>
      <c r="BE109" s="13">
        <f>BD109*VLOOKUP('Données projet'!$B$11,Paramètres!$A$1:$I$89,3,0)*VLOOKUP('Données projet'!$B$11,Paramètres!$A$1:$I$89,5,0)</f>
        <v>249.17247333333319</v>
      </c>
      <c r="BF109" s="13">
        <f t="shared" si="91"/>
        <v>60.408704291647716</v>
      </c>
      <c r="BG109" s="20">
        <f t="shared" si="61"/>
        <v>539.18721769684169</v>
      </c>
      <c r="BH109" s="59">
        <f t="shared" si="62"/>
        <v>824.34588477540865</v>
      </c>
      <c r="BI109" s="59">
        <f ca="1">AVERAGE(OFFSET($BH$3,0,0,'Données projet'!$E$11+1,1))-AVERAGE(OFFSET($H$3,0,0,'Données projet'!$E$11+1,1))</f>
        <v>559.91818701710872</v>
      </c>
      <c r="BJ109" s="59">
        <f t="shared" si="92"/>
        <v>273.47272623465915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16.376255127651255</v>
      </c>
      <c r="BQ109" s="21">
        <f>EXP(-LN(2)/25)*BQ108+(1-EXP(-LN(2)/25))/(LN(2)/25)*Calculateur!BL109*Calculateur!BN109*VLOOKUP('Données projet'!$B$11,Paramètres!$A$1:$I$89,3,0)*0.475*44/12</f>
        <v>28.103040047836476</v>
      </c>
      <c r="BR109" s="21">
        <f>EXP(-LN(2)/2)*BR108+(1-EXP(-LN(2)/2))/(LN(2)/2)*BL109*BO109*VLOOKUP('Données projet'!$B$11,Paramètres!$A$1:$I$89,3,0)*0.475*44/12</f>
        <v>1.9777971036358777</v>
      </c>
      <c r="BS109" s="22">
        <f t="shared" si="63"/>
        <v>46.457092279123614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67.770545566881893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-1.1368683772161603E-13</v>
      </c>
      <c r="BZ109" s="13">
        <f>BY109*VLOOKUP('Données projet'!$B$12,Paramètres!$A$1:$I$89,3,0)*VLOOKUP('Données projet'!$B$12,Paramètres!$A$1:$I$89,5,0)</f>
        <v>-8.8675733422860506E-14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208.92677786250815</v>
      </c>
      <c r="CE109" s="59">
        <f t="shared" si="94"/>
        <v>207.54290142772214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13.246398210298837</v>
      </c>
      <c r="CL109" s="21">
        <f>EXP(-LN(2)/25)*CL108+(1-EXP(-LN(2)/25))/(LN(2)/25)*Calculateur!CG109*Calculateur!CI109*VLOOKUP('Données projet'!$B$12,Paramètres!$A$1:$I$89,3,0)*0.475*44/12</f>
        <v>9.7286468413420195</v>
      </c>
      <c r="CM109" s="21">
        <f>EXP(-LN(2)/2)*CM108+(1-EXP(-LN(2)/2))/(LN(2)/2)*CG109*CJ109*VLOOKUP('Données projet'!$B$12,Paramètres!$A$1:$I$89,3,0)*0.475*44/12</f>
        <v>1.0505332679981677E-4</v>
      </c>
      <c r="CN109" s="22">
        <f t="shared" si="66"/>
        <v>22.975150104967653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67.770545566881893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8.7540000000000013</v>
      </c>
      <c r="CT109" s="12">
        <f>IF('Données projet'!$A$140&gt;35,CT108+CS109-DB108,IF(A109&lt;'Données projet'!$A$140,$CQ$205^A109,IF(A109='Données projet'!$A$140,'Données projet'!$B$140,CT108+CS109-DB108)))</f>
        <v>329.90200000000016</v>
      </c>
      <c r="CU109" s="17">
        <f>CT109*VLOOKUP('Données projet'!$B$13,Paramètres!$A$1:$I$89,3,0)*VLOOKUP('Données projet'!$B$13,Paramètres!$A$1:$I$89,5,0)</f>
        <v>313.93474320000013</v>
      </c>
      <c r="CV109" s="13">
        <f t="shared" si="95"/>
        <v>74.089956981068127</v>
      </c>
      <c r="CW109" s="20">
        <f t="shared" si="67"/>
        <v>675.80968614869391</v>
      </c>
      <c r="CX109" s="59">
        <f t="shared" si="68"/>
        <v>960.96835322726088</v>
      </c>
      <c r="CY109" s="59">
        <f ca="1">AVERAGE(OFFSET($CX$3,0,0,'Données projet'!$E$13+1,1))-AVERAGE(OFFSET($H$3,0,0,'Données projet'!$E$13+1,1))</f>
        <v>470.42022791389275</v>
      </c>
      <c r="CZ109" s="59">
        <f t="shared" si="96"/>
        <v>300.26117330627346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25.175626799449191</v>
      </c>
      <c r="DG109" s="21">
        <f>EXP(-LN(2)/25)*DG108+(1-EXP(-LN(2)/25))/(LN(2)/25)*Calculateur!DB109*Calculateur!DD109*VLOOKUP('Données projet'!$B$13,Paramètres!$A$1:$I$89,3,0)*0.475*44/12</f>
        <v>23.486412265204557</v>
      </c>
      <c r="DH109" s="21">
        <f>EXP(-LN(2)/2)*DH108+(1-EXP(-LN(2)/2))/(LN(2)/2)*DB109*DE109*VLOOKUP('Données projet'!$B$13,Paramètres!$A$1:$I$89,3,0)*0.475*44/12</f>
        <v>5.548859011916603</v>
      </c>
      <c r="DI109" s="22">
        <f t="shared" si="69"/>
        <v>54.210898076570352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67.770545566881893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6.8811111111111085</v>
      </c>
      <c r="DO109" s="12">
        <f>IF('Données projet'!$A$166&gt;35,DO108+DN109-DW108,IF(A109&lt;'Données projet'!$A$166,$DL$205^A109,IF(A109='Données projet'!$A$166,'Données projet'!$B$166,DO108+DN109-DW108)))</f>
        <v>245.73222222222205</v>
      </c>
      <c r="DP109" s="17">
        <f>DO109*VLOOKUP('Données projet'!$B$14,Paramètres!$A$1:$I$89,3,0)*VLOOKUP('Données projet'!$B$14,Paramètres!$A$1:$I$89,5,0)</f>
        <v>237.67220533333315</v>
      </c>
      <c r="DQ109" s="13">
        <f t="shared" si="97"/>
        <v>57.938410377158242</v>
      </c>
      <c r="DR109" s="20">
        <f t="shared" si="70"/>
        <v>514.8551556957724</v>
      </c>
      <c r="DS109" s="59">
        <f t="shared" si="71"/>
        <v>800.01382277433936</v>
      </c>
      <c r="DT109" s="59">
        <f ca="1">AVERAGE(OFFSET($DS$3,0,0,'Données projet'!$E$14+1,1))-AVERAGE(OFFSET($H$3,0,0,'Données projet'!$E$14+1,1))</f>
        <v>537.37164071064103</v>
      </c>
      <c r="DU109" s="59">
        <f t="shared" si="98"/>
        <v>263.29777321132235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11.157448548509644</v>
      </c>
      <c r="EB109" s="21">
        <f>EXP(-LN(2)/25)*EB108+(1-EXP(-LN(2)/25))/(LN(2)/25)*Calculateur!DW109*Calculateur!DY109*VLOOKUP('Données projet'!$B$14,Paramètres!$A$1:$I$89,3,0)*0.475*44/12</f>
        <v>16.099871838569218</v>
      </c>
      <c r="EC109" s="21">
        <f>EXP(-LN(2)/2)*EC108+(1-EXP(-LN(2)/2))/(LN(2)/2)*DW109*DZ109*VLOOKUP('Données projet'!$B$14,Paramètres!$A$1:$I$89,3,0)*0.475*44/12</f>
        <v>4.7159231531773349</v>
      </c>
      <c r="ED109" s="22">
        <f t="shared" si="72"/>
        <v>31.973243540256199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67.770545566881893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67.770545566881893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67.770545566881893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67.770545566881893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45">
      <c r="A110" s="10">
        <f t="shared" si="85"/>
        <v>107</v>
      </c>
      <c r="B110" s="73">
        <f>'Scénario référence'!$B$16*5+'Scénario référence'!$B$17*0+'Scénario référence'!$B$18*5</f>
        <v>2.8499999999999996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10.449999999999998</v>
      </c>
      <c r="H110" s="67">
        <f t="shared" si="56"/>
        <v>214.86666666666667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67.809221616983081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10.840999999999998</v>
      </c>
      <c r="N110" s="13">
        <f>IF('Données projet'!$A$36&gt;35,N109+M110-V109,IF(A110&lt;'Données projet'!$A$36,$K$205^A110,IF(A110='Données projet'!$A$36,'Données projet'!$B$36,N109+M110-V109)))</f>
        <v>498.51700000000005</v>
      </c>
      <c r="O110" s="13">
        <f>N110*VLOOKUP('Données projet'!$B$9,Paramètres!$A$1:$I$89,3,0)*VLOOKUP('Données projet'!$B$9,Paramètres!$A$1:$I$89,5,0)</f>
        <v>451.05818160000001</v>
      </c>
      <c r="P110" s="13">
        <f t="shared" si="87"/>
        <v>102.05445295405619</v>
      </c>
      <c r="Q110" s="20">
        <f t="shared" si="107"/>
        <v>963.33783851498117</v>
      </c>
      <c r="R110" s="59">
        <f t="shared" si="55"/>
        <v>1248.6383177772525</v>
      </c>
      <c r="S110" s="59">
        <f ca="1">AVERAGE(OFFSET($R$3,0,0,'Données projet'!$E$9+1,1))-AVERAGE(OFFSET($H$3,0,0,'Données projet'!$E$9+1,1))</f>
        <v>719.20816951277925</v>
      </c>
      <c r="T110" s="59">
        <f t="shared" si="88"/>
        <v>237.1127421841087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44.882709066617572</v>
      </c>
      <c r="AA110" s="21">
        <f>EXP(-LN(2)/25)*AA109+(1-EXP(-LN(2)/25))/(LN(2)/25)*Calculateur!V110*Calculateur!X110*VLOOKUP('Données projet'!$B$9,Paramètres!$A$1:$I$89,3,0)*0.475*44/12</f>
        <v>28.793991493426439</v>
      </c>
      <c r="AB110" s="21">
        <f>EXP(-LN(2)/2)*AB109+(1-EXP(-LN(2)/2))/(LN(2)/2)*V110*Y110*VLOOKUP('Données projet'!$B$9,Paramètres!$A$1:$I$89,3,0)*0.475*44/12</f>
        <v>1.7092912186204005E-2</v>
      </c>
      <c r="AC110" s="22">
        <f t="shared" si="57"/>
        <v>73.693793472230212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67.809221616983081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5.6843418860808015E-14</v>
      </c>
      <c r="AJ110" s="13">
        <f>AI110*VLOOKUP('Données projet'!$B$10,Paramètres!$A$1:$I$89,3,0)*VLOOKUP('Données projet'!$B$10,Paramètres!$A$1:$I$89,5,0)</f>
        <v>4.7884896048344674E-14</v>
      </c>
      <c r="AK110" s="13">
        <f t="shared" si="89"/>
        <v>7.8374629847779921E-13</v>
      </c>
      <c r="AL110" s="20">
        <f t="shared" si="58"/>
        <v>1.4484243304663672E-12</v>
      </c>
      <c r="AM110" s="59">
        <f t="shared" si="59"/>
        <v>285.30047926227269</v>
      </c>
      <c r="AN110" s="59">
        <f ca="1">AVERAGE(OFFSET($AM$3,0,0,'Données projet'!$E$10+1,1))-AVERAGE(OFFSET($H$3,0,0,'Données projet'!$E$10+1,1))</f>
        <v>442.79037205372367</v>
      </c>
      <c r="AO110" s="59">
        <f t="shared" si="90"/>
        <v>288.23553637727969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119.9425157401174</v>
      </c>
      <c r="AV110" s="21">
        <f>EXP(-LN(2)/25)*AV109+(1-EXP(-LN(2)/25))/(LN(2)/25)*Calculateur!AQ110*Calculateur!AS110*VLOOKUP('Données projet'!$B$10,Paramètres!$A$1:$I$89,3,0)*0.475*44/12</f>
        <v>27.214709637096032</v>
      </c>
      <c r="AW110" s="21">
        <f>EXP(-LN(2)/2)*AW109+(1-EXP(-LN(2)/2))/(LN(2)/2)*AQ110*AT110*VLOOKUP('Données projet'!$B$10,Paramètres!$A$1:$I$89,3,0)*0.475*44/12</f>
        <v>5.2488702714073927</v>
      </c>
      <c r="AX110" s="21">
        <f t="shared" si="60"/>
        <v>152.40609564862081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67.809221616983081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6.8811111111111085</v>
      </c>
      <c r="BD110" s="12">
        <f>IF('Données projet'!$A$88&gt;35,BD109+BC110-BL109,IF(A110&lt;'Données projet'!$A$88,$BA$205^A110,IF(A110='Données projet'!$A$88,'Données projet'!$B$88,BD109+BC110-BL109)))</f>
        <v>252.61333333333314</v>
      </c>
      <c r="BE110" s="13">
        <f>BD110*VLOOKUP('Données projet'!$B$11,Paramètres!$A$1:$I$89,3,0)*VLOOKUP('Données projet'!$B$11,Paramètres!$A$1:$I$89,5,0)</f>
        <v>256.14991999999984</v>
      </c>
      <c r="BF110" s="13">
        <f t="shared" si="91"/>
        <v>61.900985272770555</v>
      </c>
      <c r="BG110" s="20">
        <f t="shared" si="61"/>
        <v>553.93866001674166</v>
      </c>
      <c r="BH110" s="59">
        <f t="shared" si="62"/>
        <v>839.23913927901299</v>
      </c>
      <c r="BI110" s="59">
        <f ca="1">AVERAGE(OFFSET($BH$3,0,0,'Données projet'!$E$11+1,1))-AVERAGE(OFFSET($H$3,0,0,'Données projet'!$E$11+1,1))</f>
        <v>559.91818701710872</v>
      </c>
      <c r="BJ110" s="59">
        <f t="shared" si="92"/>
        <v>273.47272623465915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16.055126753127357</v>
      </c>
      <c r="BQ110" s="21">
        <f>EXP(-LN(2)/25)*BQ109+(1-EXP(-LN(2)/25))/(LN(2)/25)*Calculateur!BL110*Calculateur!BN110*VLOOKUP('Données projet'!$B$11,Paramètres!$A$1:$I$89,3,0)*0.475*44/12</f>
        <v>27.334560939853741</v>
      </c>
      <c r="BR110" s="21">
        <f>EXP(-LN(2)/2)*BR109+(1-EXP(-LN(2)/2))/(LN(2)/2)*BL110*BO110*VLOOKUP('Données projet'!$B$11,Paramètres!$A$1:$I$89,3,0)*0.475*44/12</f>
        <v>1.3985137437920421</v>
      </c>
      <c r="BS110" s="22">
        <f t="shared" si="63"/>
        <v>44.788201436773143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67.809221616983081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-1.1368683772161603E-13</v>
      </c>
      <c r="BZ110" s="13">
        <f>BY110*VLOOKUP('Données projet'!$B$12,Paramètres!$A$1:$I$89,3,0)*VLOOKUP('Données projet'!$B$12,Paramètres!$A$1:$I$89,5,0)</f>
        <v>-8.8675733422860506E-14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208.92677786250815</v>
      </c>
      <c r="CE110" s="59">
        <f t="shared" si="94"/>
        <v>207.54290142772214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12.986644420900001</v>
      </c>
      <c r="CL110" s="21">
        <f>EXP(-LN(2)/25)*CL109+(1-EXP(-LN(2)/25))/(LN(2)/25)*Calculateur!CG110*Calculateur!CI110*VLOOKUP('Données projet'!$B$12,Paramètres!$A$1:$I$89,3,0)*0.475*44/12</f>
        <v>9.4626164818582197</v>
      </c>
      <c r="CM110" s="21">
        <f>EXP(-LN(2)/2)*CM109+(1-EXP(-LN(2)/2))/(LN(2)/2)*CG110*CJ110*VLOOKUP('Données projet'!$B$12,Paramètres!$A$1:$I$89,3,0)*0.475*44/12</f>
        <v>7.4283919766356902E-5</v>
      </c>
      <c r="CN110" s="22">
        <f t="shared" si="66"/>
        <v>22.449335186677985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67.809221616983081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8.7540000000000013</v>
      </c>
      <c r="CT110" s="12">
        <f>IF('Données projet'!$A$140&gt;35,CT109+CS110-DB109,IF(A110&lt;'Données projet'!$A$140,$CQ$205^A110,IF(A110='Données projet'!$A$140,'Données projet'!$B$140,CT109+CS110-DB109)))</f>
        <v>338.65600000000018</v>
      </c>
      <c r="CU110" s="17">
        <f>CT110*VLOOKUP('Données projet'!$B$13,Paramètres!$A$1:$I$89,3,0)*VLOOKUP('Données projet'!$B$13,Paramètres!$A$1:$I$89,5,0)</f>
        <v>322.26504960000017</v>
      </c>
      <c r="CV110" s="13">
        <f t="shared" si="95"/>
        <v>75.824447642126486</v>
      </c>
      <c r="CW110" s="20">
        <f t="shared" si="67"/>
        <v>693.33920769670385</v>
      </c>
      <c r="CX110" s="59">
        <f t="shared" si="68"/>
        <v>978.63968695897506</v>
      </c>
      <c r="CY110" s="59">
        <f ca="1">AVERAGE(OFFSET($CX$3,0,0,'Données projet'!$E$13+1,1))-AVERAGE(OFFSET($H$3,0,0,'Données projet'!$E$13+1,1))</f>
        <v>470.42022791389275</v>
      </c>
      <c r="CZ110" s="59">
        <f t="shared" si="96"/>
        <v>300.26117330627346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24.681948113528097</v>
      </c>
      <c r="DG110" s="21">
        <f>EXP(-LN(2)/25)*DG109+(1-EXP(-LN(2)/25))/(LN(2)/25)*Calculateur!DB110*Calculateur!DD110*VLOOKUP('Données projet'!$B$13,Paramètres!$A$1:$I$89,3,0)*0.475*44/12</f>
        <v>22.844175086715797</v>
      </c>
      <c r="DH110" s="21">
        <f>EXP(-LN(2)/2)*DH109+(1-EXP(-LN(2)/2))/(LN(2)/2)*DB110*DE110*VLOOKUP('Données projet'!$B$13,Paramètres!$A$1:$I$89,3,0)*0.475*44/12</f>
        <v>3.9236358351743159</v>
      </c>
      <c r="DI110" s="22">
        <f t="shared" si="69"/>
        <v>51.449759035418211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67.809221616983081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6.8811111111111085</v>
      </c>
      <c r="DO110" s="12">
        <f>IF('Données projet'!$A$166&gt;35,DO109+DN110-DW109,IF(A110&lt;'Données projet'!$A$166,$DL$205^A110,IF(A110='Données projet'!$A$166,'Données projet'!$B$166,DO109+DN110-DW109)))</f>
        <v>252.61333333333314</v>
      </c>
      <c r="DP110" s="17">
        <f>DO110*VLOOKUP('Données projet'!$B$14,Paramètres!$A$1:$I$89,3,0)*VLOOKUP('Données projet'!$B$14,Paramètres!$A$1:$I$89,5,0)</f>
        <v>244.32761599999981</v>
      </c>
      <c r="DQ110" s="13">
        <f t="shared" si="97"/>
        <v>59.369667493101296</v>
      </c>
      <c r="DR110" s="20">
        <f t="shared" si="70"/>
        <v>528.93943541715112</v>
      </c>
      <c r="DS110" s="59">
        <f t="shared" si="71"/>
        <v>814.23991467942233</v>
      </c>
      <c r="DT110" s="59">
        <f ca="1">AVERAGE(OFFSET($DS$3,0,0,'Données projet'!$E$14+1,1))-AVERAGE(OFFSET($H$3,0,0,'Données projet'!$E$14+1,1))</f>
        <v>537.37164071064103</v>
      </c>
      <c r="DU110" s="59">
        <f t="shared" si="98"/>
        <v>263.29777321132235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10.93865778784501</v>
      </c>
      <c r="EB110" s="21">
        <f>EXP(-LN(2)/25)*EB109+(1-EXP(-LN(2)/25))/(LN(2)/25)*Calculateur!DW110*Calculateur!DY110*VLOOKUP('Données projet'!$B$14,Paramètres!$A$1:$I$89,3,0)*0.475*44/12</f>
        <v>15.659619996488079</v>
      </c>
      <c r="EC110" s="21">
        <f>EXP(-LN(2)/2)*EC109+(1-EXP(-LN(2)/2))/(LN(2)/2)*DW110*DZ110*VLOOKUP('Données projet'!$B$14,Paramètres!$A$1:$I$89,3,0)*0.475*44/12</f>
        <v>3.3346612411663394</v>
      </c>
      <c r="ED110" s="22">
        <f t="shared" si="72"/>
        <v>29.932939025499429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67.809221616983081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67.809221616983081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67.809221616983081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67.809221616983081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45">
      <c r="A111" s="10">
        <f t="shared" si="85"/>
        <v>108</v>
      </c>
      <c r="B111" s="73">
        <f>'Scénario référence'!$B$16*5+'Scénario référence'!$B$17*0+'Scénario référence'!$B$18*5</f>
        <v>2.8499999999999996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10.449999999999998</v>
      </c>
      <c r="H111" s="67">
        <f t="shared" si="56"/>
        <v>214.86666666666667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67.847226724081708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10.840999999999998</v>
      </c>
      <c r="N111" s="13">
        <f>IF('Données projet'!$A$36&gt;35,N110+M111-V110,IF(A111&lt;'Données projet'!$A$36,$K$205^A111,IF(A111='Données projet'!$A$36,'Données projet'!$B$36,N110+M111-V110)))</f>
        <v>509.35800000000006</v>
      </c>
      <c r="O111" s="13">
        <f>N111*VLOOKUP('Données projet'!$B$9,Paramètres!$A$1:$I$89,3,0)*VLOOKUP('Données projet'!$B$9,Paramètres!$A$1:$I$89,5,0)</f>
        <v>460.86711840000004</v>
      </c>
      <c r="P111" s="13">
        <f t="shared" si="87"/>
        <v>104.01298837243165</v>
      </c>
      <c r="Q111" s="20">
        <f t="shared" si="107"/>
        <v>983.83285262865172</v>
      </c>
      <c r="R111" s="59">
        <f t="shared" si="55"/>
        <v>1269.2726839502848</v>
      </c>
      <c r="S111" s="59">
        <f ca="1">AVERAGE(OFFSET($R$3,0,0,'Données projet'!$E$9+1,1))-AVERAGE(OFFSET($H$3,0,0,'Données projet'!$E$9+1,1))</f>
        <v>719.20816951277925</v>
      </c>
      <c r="T111" s="59">
        <f t="shared" si="88"/>
        <v>237.1127421841087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44.002586517570599</v>
      </c>
      <c r="AA111" s="21">
        <f>EXP(-LN(2)/25)*AA110+(1-EXP(-LN(2)/25))/(LN(2)/25)*Calculateur!V111*Calculateur!X111*VLOOKUP('Données projet'!$B$9,Paramètres!$A$1:$I$89,3,0)*0.475*44/12</f>
        <v>28.006618281828491</v>
      </c>
      <c r="AB111" s="21">
        <f>EXP(-LN(2)/2)*AB110+(1-EXP(-LN(2)/2))/(LN(2)/2)*V111*Y111*VLOOKUP('Données projet'!$B$9,Paramètres!$A$1:$I$89,3,0)*0.475*44/12</f>
        <v>1.2086514117091027E-2</v>
      </c>
      <c r="AC111" s="22">
        <f t="shared" si="57"/>
        <v>72.021291313516173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67.847226724081708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5.6843418860808015E-14</v>
      </c>
      <c r="AJ111" s="13">
        <f>AI111*VLOOKUP('Données projet'!$B$10,Paramètres!$A$1:$I$89,3,0)*VLOOKUP('Données projet'!$B$10,Paramètres!$A$1:$I$89,5,0)</f>
        <v>4.7884896048344674E-14</v>
      </c>
      <c r="AK111" s="13">
        <f t="shared" si="89"/>
        <v>7.8374629847779921E-13</v>
      </c>
      <c r="AL111" s="20">
        <f t="shared" si="58"/>
        <v>1.4484243304663672E-12</v>
      </c>
      <c r="AM111" s="59">
        <f t="shared" si="59"/>
        <v>285.43983132163436</v>
      </c>
      <c r="AN111" s="59">
        <f ca="1">AVERAGE(OFFSET($AM$3,0,0,'Données projet'!$E$10+1,1))-AVERAGE(OFFSET($H$3,0,0,'Données projet'!$E$10+1,1))</f>
        <v>442.79037205372367</v>
      </c>
      <c r="AO111" s="59">
        <f t="shared" si="90"/>
        <v>288.23553637727969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117.59051616416457</v>
      </c>
      <c r="AV111" s="21">
        <f>EXP(-LN(2)/25)*AV110+(1-EXP(-LN(2)/25))/(LN(2)/25)*Calculateur!AQ111*Calculateur!AS111*VLOOKUP('Données projet'!$B$10,Paramètres!$A$1:$I$89,3,0)*0.475*44/12</f>
        <v>26.470521970910262</v>
      </c>
      <c r="AW111" s="21">
        <f>EXP(-LN(2)/2)*AW110+(1-EXP(-LN(2)/2))/(LN(2)/2)*AQ111*AT111*VLOOKUP('Données projet'!$B$10,Paramètres!$A$1:$I$89,3,0)*0.475*44/12</f>
        <v>3.711511762480642</v>
      </c>
      <c r="AX111" s="21">
        <f t="shared" si="60"/>
        <v>147.77254989755548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67.847226724081708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6.8811111111111085</v>
      </c>
      <c r="BD111" s="12">
        <f>IF('Données projet'!$A$88&gt;35,BD110+BC111-BL110,IF(A111&lt;'Données projet'!$A$88,$BA$205^A111,IF(A111='Données projet'!$A$88,'Données projet'!$B$88,BD110+BC111-BL110)))</f>
        <v>259.49444444444424</v>
      </c>
      <c r="BE111" s="13">
        <f>BD111*VLOOKUP('Données projet'!$B$11,Paramètres!$A$1:$I$89,3,0)*VLOOKUP('Données projet'!$B$11,Paramètres!$A$1:$I$89,5,0)</f>
        <v>263.12736666666649</v>
      </c>
      <c r="BF111" s="13">
        <f t="shared" si="91"/>
        <v>63.388541553044227</v>
      </c>
      <c r="BG111" s="20">
        <f t="shared" si="61"/>
        <v>568.68187348266281</v>
      </c>
      <c r="BH111" s="59">
        <f t="shared" si="62"/>
        <v>854.12170480429575</v>
      </c>
      <c r="BI111" s="59">
        <f ca="1">AVERAGE(OFFSET($BH$3,0,0,'Données projet'!$E$11+1,1))-AVERAGE(OFFSET($H$3,0,0,'Données projet'!$E$11+1,1))</f>
        <v>559.91818701710872</v>
      </c>
      <c r="BJ111" s="59">
        <f t="shared" si="92"/>
        <v>273.47272623465915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15.740295510158905</v>
      </c>
      <c r="BQ111" s="21">
        <f>EXP(-LN(2)/25)*BQ110+(1-EXP(-LN(2)/25))/(LN(2)/25)*Calculateur!BL111*Calculateur!BN111*VLOOKUP('Données projet'!$B$11,Paramètres!$A$1:$I$89,3,0)*0.475*44/12</f>
        <v>26.587095933491355</v>
      </c>
      <c r="BR111" s="21">
        <f>EXP(-LN(2)/2)*BR110+(1-EXP(-LN(2)/2))/(LN(2)/2)*BL111*BO111*VLOOKUP('Données projet'!$B$11,Paramètres!$A$1:$I$89,3,0)*0.475*44/12</f>
        <v>0.98889855181793895</v>
      </c>
      <c r="BS111" s="22">
        <f t="shared" si="63"/>
        <v>43.316289995468196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67.847226724081708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-1.1368683772161603E-13</v>
      </c>
      <c r="BZ111" s="13">
        <f>BY111*VLOOKUP('Données projet'!$B$12,Paramètres!$A$1:$I$89,3,0)*VLOOKUP('Données projet'!$B$12,Paramètres!$A$1:$I$89,5,0)</f>
        <v>-8.8675733422860506E-14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208.92677786250815</v>
      </c>
      <c r="CE111" s="59">
        <f t="shared" si="94"/>
        <v>207.54290142772214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12.731984244877108</v>
      </c>
      <c r="CL111" s="21">
        <f>EXP(-LN(2)/25)*CL110+(1-EXP(-LN(2)/25))/(LN(2)/25)*Calculateur!CG111*Calculateur!CI111*VLOOKUP('Données projet'!$B$12,Paramètres!$A$1:$I$89,3,0)*0.475*44/12</f>
        <v>9.2038607365444332</v>
      </c>
      <c r="CM111" s="21">
        <f>EXP(-LN(2)/2)*CM110+(1-EXP(-LN(2)/2))/(LN(2)/2)*CG111*CJ111*VLOOKUP('Données projet'!$B$12,Paramètres!$A$1:$I$89,3,0)*0.475*44/12</f>
        <v>5.2526663399908383E-5</v>
      </c>
      <c r="CN111" s="22">
        <f t="shared" si="66"/>
        <v>21.935897508084938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67.847226724081708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8.7540000000000013</v>
      </c>
      <c r="CT111" s="12">
        <f>IF('Données projet'!$A$140&gt;35,CT110+CS111-DB110,IF(A111&lt;'Données projet'!$A$140,$CQ$205^A111,IF(A111='Données projet'!$A$140,'Données projet'!$B$140,CT110+CS111-DB110)))</f>
        <v>347.4100000000002</v>
      </c>
      <c r="CU111" s="17">
        <f>CT111*VLOOKUP('Données projet'!$B$13,Paramètres!$A$1:$I$89,3,0)*VLOOKUP('Données projet'!$B$13,Paramètres!$A$1:$I$89,5,0)</f>
        <v>330.59535600000015</v>
      </c>
      <c r="CV111" s="13">
        <f t="shared" si="95"/>
        <v>77.553726708555331</v>
      </c>
      <c r="CW111" s="20">
        <f t="shared" si="67"/>
        <v>710.85965238406754</v>
      </c>
      <c r="CX111" s="59">
        <f t="shared" si="68"/>
        <v>996.29948370570048</v>
      </c>
      <c r="CY111" s="59">
        <f ca="1">AVERAGE(OFFSET($CX$3,0,0,'Données projet'!$E$13+1,1))-AVERAGE(OFFSET($H$3,0,0,'Données projet'!$E$13+1,1))</f>
        <v>470.42022791389275</v>
      </c>
      <c r="CZ111" s="59">
        <f t="shared" si="96"/>
        <v>300.26117330627346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24.19795016552365</v>
      </c>
      <c r="DG111" s="21">
        <f>EXP(-LN(2)/25)*DG110+(1-EXP(-LN(2)/25))/(LN(2)/25)*Calculateur!DB111*Calculateur!DD111*VLOOKUP('Données projet'!$B$13,Paramètres!$A$1:$I$89,3,0)*0.475*44/12</f>
        <v>22.219499917646598</v>
      </c>
      <c r="DH111" s="21">
        <f>EXP(-LN(2)/2)*DH110+(1-EXP(-LN(2)/2))/(LN(2)/2)*DB111*DE111*VLOOKUP('Données projet'!$B$13,Paramètres!$A$1:$I$89,3,0)*0.475*44/12</f>
        <v>2.774429505958302</v>
      </c>
      <c r="DI111" s="22">
        <f t="shared" si="69"/>
        <v>49.191879589128554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67.847226724081708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6.8811111111111085</v>
      </c>
      <c r="DO111" s="12">
        <f>IF('Données projet'!$A$166&gt;35,DO110+DN111-DW110,IF(A111&lt;'Données projet'!$A$166,$DL$205^A111,IF(A111='Données projet'!$A$166,'Données projet'!$B$166,DO110+DN111-DW110)))</f>
        <v>259.49444444444424</v>
      </c>
      <c r="DP111" s="17">
        <f>DO111*VLOOKUP('Données projet'!$B$14,Paramètres!$A$1:$I$89,3,0)*VLOOKUP('Données projet'!$B$14,Paramètres!$A$1:$I$89,5,0)</f>
        <v>250.98302666666646</v>
      </c>
      <c r="DQ111" s="13">
        <f t="shared" si="97"/>
        <v>60.796393115447323</v>
      </c>
      <c r="DR111" s="20">
        <f t="shared" si="70"/>
        <v>543.01582278718149</v>
      </c>
      <c r="DS111" s="59">
        <f t="shared" si="71"/>
        <v>828.45565410881443</v>
      </c>
      <c r="DT111" s="59">
        <f ca="1">AVERAGE(OFFSET($DS$3,0,0,'Données projet'!$E$14+1,1))-AVERAGE(OFFSET($H$3,0,0,'Données projet'!$E$14+1,1))</f>
        <v>537.37164071064103</v>
      </c>
      <c r="DU111" s="59">
        <f t="shared" si="98"/>
        <v>263.29777321132235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10.724157380547823</v>
      </c>
      <c r="EB111" s="21">
        <f>EXP(-LN(2)/25)*EB110+(1-EXP(-LN(2)/25))/(LN(2)/25)*Calculateur!DW111*Calculateur!DY111*VLOOKUP('Données projet'!$B$14,Paramètres!$A$1:$I$89,3,0)*0.475*44/12</f>
        <v>15.231406864180487</v>
      </c>
      <c r="EC111" s="21">
        <f>EXP(-LN(2)/2)*EC110+(1-EXP(-LN(2)/2))/(LN(2)/2)*DW111*DZ111*VLOOKUP('Données projet'!$B$14,Paramètres!$A$1:$I$89,3,0)*0.475*44/12</f>
        <v>2.3579615765886679</v>
      </c>
      <c r="ED111" s="22">
        <f t="shared" si="72"/>
        <v>28.313525821316976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67.847226724081708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67.847226724081708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67.847226724081708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67.847226724081708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45">
      <c r="A112" s="10">
        <f t="shared" si="85"/>
        <v>109</v>
      </c>
      <c r="B112" s="73">
        <f>'Scénario référence'!$B$16*5+'Scénario référence'!$B$17*0+'Scénario référence'!$B$18*5</f>
        <v>2.8499999999999996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10.449999999999998</v>
      </c>
      <c r="H112" s="67">
        <f t="shared" si="56"/>
        <v>214.86666666666667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67.884572527538879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10.840999999999998</v>
      </c>
      <c r="N112" s="13">
        <f>IF('Données projet'!$A$36&gt;35,N111+M112-V111,IF(A112&lt;'Données projet'!$A$36,$K$205^A112,IF(A112='Données projet'!$A$36,'Données projet'!$B$36,N111+M112-V111)))</f>
        <v>520.19900000000007</v>
      </c>
      <c r="O112" s="13">
        <f>N112*VLOOKUP('Données projet'!$B$9,Paramètres!$A$1:$I$89,3,0)*VLOOKUP('Données projet'!$B$9,Paramètres!$A$1:$I$89,5,0)</f>
        <v>470.67605520000001</v>
      </c>
      <c r="P112" s="13">
        <f t="shared" si="87"/>
        <v>105.96667729960197</v>
      </c>
      <c r="Q112" s="20">
        <f t="shared" si="107"/>
        <v>1004.3194257701401</v>
      </c>
      <c r="R112" s="59">
        <f t="shared" si="55"/>
        <v>1289.8961917044494</v>
      </c>
      <c r="S112" s="59">
        <f ca="1">AVERAGE(OFFSET($R$3,0,0,'Données projet'!$E$9+1,1))-AVERAGE(OFFSET($H$3,0,0,'Données projet'!$E$9+1,1))</f>
        <v>719.20816951277925</v>
      </c>
      <c r="T112" s="59">
        <f t="shared" si="88"/>
        <v>237.1127421841087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43.139722634888692</v>
      </c>
      <c r="AA112" s="21">
        <f>EXP(-LN(2)/25)*AA111+(1-EXP(-LN(2)/25))/(LN(2)/25)*Calculateur!V112*Calculateur!X112*VLOOKUP('Données projet'!$B$9,Paramètres!$A$1:$I$89,3,0)*0.475*44/12</f>
        <v>27.240775832107847</v>
      </c>
      <c r="AB112" s="21">
        <f>EXP(-LN(2)/2)*AB111+(1-EXP(-LN(2)/2))/(LN(2)/2)*V112*Y112*VLOOKUP('Données projet'!$B$9,Paramètres!$A$1:$I$89,3,0)*0.475*44/12</f>
        <v>8.5464560931020027E-3</v>
      </c>
      <c r="AC112" s="22">
        <f t="shared" si="57"/>
        <v>70.389044923089642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67.884572527538879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5.6843418860808015E-14</v>
      </c>
      <c r="AJ112" s="13">
        <f>AI112*VLOOKUP('Données projet'!$B$10,Paramètres!$A$1:$I$89,3,0)*VLOOKUP('Données projet'!$B$10,Paramètres!$A$1:$I$89,5,0)</f>
        <v>4.7884896048344674E-14</v>
      </c>
      <c r="AK112" s="13">
        <f t="shared" si="89"/>
        <v>7.8374629847779921E-13</v>
      </c>
      <c r="AL112" s="20">
        <f t="shared" si="58"/>
        <v>1.4484243304663672E-12</v>
      </c>
      <c r="AM112" s="59">
        <f t="shared" si="59"/>
        <v>285.57676593431063</v>
      </c>
      <c r="AN112" s="59">
        <f ca="1">AVERAGE(OFFSET($AM$3,0,0,'Données projet'!$E$10+1,1))-AVERAGE(OFFSET($H$3,0,0,'Données projet'!$E$10+1,1))</f>
        <v>442.79037205372367</v>
      </c>
      <c r="AO112" s="59">
        <f t="shared" si="90"/>
        <v>288.23553637727969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115.28463786531809</v>
      </c>
      <c r="AV112" s="21">
        <f>EXP(-LN(2)/25)*AV111+(1-EXP(-LN(2)/25))/(LN(2)/25)*Calculateur!AQ112*Calculateur!AS112*VLOOKUP('Données projet'!$B$10,Paramètres!$A$1:$I$89,3,0)*0.475*44/12</f>
        <v>25.74668415559147</v>
      </c>
      <c r="AW112" s="21">
        <f>EXP(-LN(2)/2)*AW111+(1-EXP(-LN(2)/2))/(LN(2)/2)*AQ112*AT112*VLOOKUP('Données projet'!$B$10,Paramètres!$A$1:$I$89,3,0)*0.475*44/12</f>
        <v>2.6244351357036968</v>
      </c>
      <c r="AX112" s="21">
        <f t="shared" si="60"/>
        <v>143.65575715661325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67.884572527538879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6.8811111111111085</v>
      </c>
      <c r="BD112" s="12">
        <f>IF('Données projet'!$A$88&gt;35,BD111+BC112-BL111,IF(A112&lt;'Données projet'!$A$88,$BA$205^A112,IF(A112='Données projet'!$A$88,'Données projet'!$B$88,BD111+BC112-BL111)))</f>
        <v>266.37555555555537</v>
      </c>
      <c r="BE112" s="13">
        <f>BD112*VLOOKUP('Données projet'!$B$11,Paramètres!$A$1:$I$89,3,0)*VLOOKUP('Données projet'!$B$11,Paramètres!$A$1:$I$89,5,0)</f>
        <v>270.10481333333314</v>
      </c>
      <c r="BF112" s="13">
        <f t="shared" si="91"/>
        <v>64.87151281999401</v>
      </c>
      <c r="BG112" s="20">
        <f t="shared" si="61"/>
        <v>583.41710138371138</v>
      </c>
      <c r="BH112" s="59">
        <f t="shared" si="62"/>
        <v>868.99386731802065</v>
      </c>
      <c r="BI112" s="59">
        <f ca="1">AVERAGE(OFFSET($BH$3,0,0,'Données projet'!$E$11+1,1))-AVERAGE(OFFSET($H$3,0,0,'Données projet'!$E$11+1,1))</f>
        <v>559.91818701710872</v>
      </c>
      <c r="BJ112" s="59">
        <f t="shared" si="92"/>
        <v>273.47272623465915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15.431637915836966</v>
      </c>
      <c r="BQ112" s="21">
        <f>EXP(-LN(2)/25)*BQ111+(1-EXP(-LN(2)/25))/(LN(2)/25)*Calculateur!BL112*Calculateur!BN112*VLOOKUP('Données projet'!$B$11,Paramètres!$A$1:$I$89,3,0)*0.475*44/12</f>
        <v>25.860070397035425</v>
      </c>
      <c r="BR112" s="21">
        <f>EXP(-LN(2)/2)*BR111+(1-EXP(-LN(2)/2))/(LN(2)/2)*BL112*BO112*VLOOKUP('Données projet'!$B$11,Paramètres!$A$1:$I$89,3,0)*0.475*44/12</f>
        <v>0.69925687189602115</v>
      </c>
      <c r="BS112" s="22">
        <f t="shared" si="63"/>
        <v>41.990965184768406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67.884572527538879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-1.1368683772161603E-13</v>
      </c>
      <c r="BZ112" s="13">
        <f>BY112*VLOOKUP('Données projet'!$B$12,Paramètres!$A$1:$I$89,3,0)*VLOOKUP('Données projet'!$B$12,Paramètres!$A$1:$I$89,5,0)</f>
        <v>-8.8675733422860506E-14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208.92677786250815</v>
      </c>
      <c r="CE112" s="59">
        <f t="shared" si="94"/>
        <v>207.54290142772214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12.482317799578654</v>
      </c>
      <c r="CL112" s="21">
        <f>EXP(-LN(2)/25)*CL111+(1-EXP(-LN(2)/25))/(LN(2)/25)*Calculateur!CG112*Calculateur!CI112*VLOOKUP('Données projet'!$B$12,Paramètres!$A$1:$I$89,3,0)*0.475*44/12</f>
        <v>8.9521806806936244</v>
      </c>
      <c r="CM112" s="21">
        <f>EXP(-LN(2)/2)*CM111+(1-EXP(-LN(2)/2))/(LN(2)/2)*CG112*CJ112*VLOOKUP('Données projet'!$B$12,Paramètres!$A$1:$I$89,3,0)*0.475*44/12</f>
        <v>3.7141959883178451E-5</v>
      </c>
      <c r="CN112" s="22">
        <f t="shared" si="66"/>
        <v>21.434535622232161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67.884572527538879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8.7540000000000013</v>
      </c>
      <c r="CT112" s="12">
        <f>IF('Données projet'!$A$140&gt;35,CT111+CS112-DB111,IF(A112&lt;'Données projet'!$A$140,$CQ$205^A112,IF(A112='Données projet'!$A$140,'Données projet'!$B$140,CT111+CS112-DB111)))</f>
        <v>356.16400000000021</v>
      </c>
      <c r="CU112" s="17">
        <f>CT112*VLOOKUP('Données projet'!$B$13,Paramètres!$A$1:$I$89,3,0)*VLOOKUP('Données projet'!$B$13,Paramètres!$A$1:$I$89,5,0)</f>
        <v>338.92566240000019</v>
      </c>
      <c r="CV112" s="13">
        <f t="shared" si="95"/>
        <v>79.27794060390417</v>
      </c>
      <c r="CW112" s="20">
        <f t="shared" si="67"/>
        <v>728.37127523180015</v>
      </c>
      <c r="CX112" s="59">
        <f t="shared" si="68"/>
        <v>1013.9480411661093</v>
      </c>
      <c r="CY112" s="59">
        <f ca="1">AVERAGE(OFFSET($CX$3,0,0,'Données projet'!$E$13+1,1))-AVERAGE(OFFSET($H$3,0,0,'Données projet'!$E$13+1,1))</f>
        <v>470.42022791389275</v>
      </c>
      <c r="CZ112" s="59">
        <f t="shared" si="96"/>
        <v>300.26117330627346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23.723443122069973</v>
      </c>
      <c r="DG112" s="21">
        <f>EXP(-LN(2)/25)*DG111+(1-EXP(-LN(2)/25))/(LN(2)/25)*Calculateur!DB112*Calculateur!DD112*VLOOKUP('Données projet'!$B$13,Paramètres!$A$1:$I$89,3,0)*0.475*44/12</f>
        <v>21.611906523925835</v>
      </c>
      <c r="DH112" s="21">
        <f>EXP(-LN(2)/2)*DH111+(1-EXP(-LN(2)/2))/(LN(2)/2)*DB112*DE112*VLOOKUP('Données projet'!$B$13,Paramètres!$A$1:$I$89,3,0)*0.475*44/12</f>
        <v>1.9618179175871584</v>
      </c>
      <c r="DI112" s="22">
        <f t="shared" si="69"/>
        <v>47.297167563582967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67.884572527538879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6.8811111111111085</v>
      </c>
      <c r="DO112" s="12">
        <f>IF('Données projet'!$A$166&gt;35,DO111+DN112-DW111,IF(A112&lt;'Données projet'!$A$166,$DL$205^A112,IF(A112='Données projet'!$A$166,'Données projet'!$B$166,DO111+DN112-DW111)))</f>
        <v>266.37555555555537</v>
      </c>
      <c r="DP112" s="17">
        <f>DO112*VLOOKUP('Données projet'!$B$14,Paramètres!$A$1:$I$89,3,0)*VLOOKUP('Données projet'!$B$14,Paramètres!$A$1:$I$89,5,0)</f>
        <v>257.63843733333317</v>
      </c>
      <c r="DQ112" s="13">
        <f t="shared" si="97"/>
        <v>62.218721219477693</v>
      </c>
      <c r="DR112" s="20">
        <f t="shared" si="70"/>
        <v>557.0845511461456</v>
      </c>
      <c r="DS112" s="59">
        <f t="shared" si="71"/>
        <v>842.66131708045486</v>
      </c>
      <c r="DT112" s="59">
        <f ca="1">AVERAGE(OFFSET($DS$3,0,0,'Données projet'!$E$14+1,1))-AVERAGE(OFFSET($H$3,0,0,'Données projet'!$E$14+1,1))</f>
        <v>537.37164071064103</v>
      </c>
      <c r="DU112" s="59">
        <f t="shared" si="98"/>
        <v>263.29777321132235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10.513863195405403</v>
      </c>
      <c r="EB112" s="21">
        <f>EXP(-LN(2)/25)*EB111+(1-EXP(-LN(2)/25))/(LN(2)/25)*Calculateur!DW112*Calculateur!DY112*VLOOKUP('Données projet'!$B$14,Paramètres!$A$1:$I$89,3,0)*0.475*44/12</f>
        <v>14.814903242494596</v>
      </c>
      <c r="EC112" s="21">
        <f>EXP(-LN(2)/2)*EC111+(1-EXP(-LN(2)/2))/(LN(2)/2)*DW112*DZ112*VLOOKUP('Données projet'!$B$14,Paramètres!$A$1:$I$89,3,0)*0.475*44/12</f>
        <v>1.6673306205831699</v>
      </c>
      <c r="ED112" s="22">
        <f t="shared" si="72"/>
        <v>26.996097058483169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67.884572527538879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67.884572527538879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67.884572527538879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67.884572527538879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45">
      <c r="A113" s="10">
        <f t="shared" si="85"/>
        <v>110</v>
      </c>
      <c r="B113" s="73">
        <f>'Scénario référence'!$B$16*5+'Scénario référence'!$B$17*0+'Scénario référence'!$B$18*5</f>
        <v>2.8499999999999996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10.449999999999998</v>
      </c>
      <c r="H113" s="67">
        <f t="shared" si="56"/>
        <v>214.86666666666667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67.921270464798752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>
        <f>VLOOKUP(A113,'Données projet'!$A$35:$I$55,2,0)</f>
        <v>531.04</v>
      </c>
      <c r="L113" s="12">
        <f>VLOOKUP(A113,'Données projet'!$A$35:$I$55,9,0)</f>
        <v>10.840999999999998</v>
      </c>
      <c r="M113" s="12">
        <f t="array" ref="M113">INDEX(L:L,MIN(IF(ISNUMBER(L113:L309),ROW(L113:L309),"")))</f>
        <v>10.840999999999998</v>
      </c>
      <c r="N113" s="13">
        <f>IF('Données projet'!$A$36&gt;35,N112+M113-V112,IF(A113&lt;'Données projet'!$A$36,$K$205^A113,IF(A113='Données projet'!$A$36,'Données projet'!$B$36,N112+M113-V112)))</f>
        <v>531.04000000000008</v>
      </c>
      <c r="O113" s="13">
        <f>N113*VLOOKUP('Données projet'!$B$9,Paramètres!$A$1:$I$89,3,0)*VLOOKUP('Données projet'!$B$9,Paramètres!$A$1:$I$89,5,0)</f>
        <v>480.48499200000009</v>
      </c>
      <c r="P113" s="13">
        <f t="shared" si="87"/>
        <v>107.9156323733046</v>
      </c>
      <c r="Q113" s="20">
        <f t="shared" si="107"/>
        <v>1024.7977541168391</v>
      </c>
      <c r="R113" s="59">
        <f t="shared" si="55"/>
        <v>1310.5090791544344</v>
      </c>
      <c r="S113" s="59">
        <f ca="1">AVERAGE(OFFSET($R$3,0,0,'Données projet'!$E$9+1,1))-AVERAGE(OFFSET($H$3,0,0,'Données projet'!$E$9+1,1))</f>
        <v>719.20816951277925</v>
      </c>
      <c r="T113" s="59">
        <f t="shared" si="88"/>
        <v>237.1127421841087</v>
      </c>
      <c r="U113" s="15">
        <f>IF(ISNA(VLOOKUP(A113,'Données projet'!$A$35:$I$55,3,0)),0,VLOOKUP(A113,'Données projet'!$A$35:$I$55,3,0))</f>
        <v>10</v>
      </c>
      <c r="V113" s="15">
        <f>IF(ISNA(VLOOKUP(A113,'Données projet'!$A$35:$I$55,4,0)),0,VLOOKUP(A113,'Données projet'!$A$35:$I$55,4,0))</f>
        <v>73.299999999999955</v>
      </c>
      <c r="W113" s="16">
        <f>IF(ISNA(VLOOKUP(A113,'Données projet'!$A$35:$I$55,5,0)),0%,VLOOKUP(A113,'Données projet'!$A$35:$I$55,5,0)*VLOOKUP('Données projet'!$B$9,Paramètres!$A$1:$I$89,7,0))</f>
        <v>0.215</v>
      </c>
      <c r="X113" s="16">
        <f>IF(ISNA(VLOOKUP(A113,'Données projet'!$A$35:$I$55,6,0)),0%,VLOOKUP(A113,'Données projet'!$A$35:$I$55,6,0)*VLOOKUP('Données projet'!$B$9,Paramètres!$A$1:$I$89,7,0))</f>
        <v>8.6000000000000007E-2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58.056897358417743</v>
      </c>
      <c r="AA113" s="21">
        <f>EXP(-LN(2)/25)*AA112+(1-EXP(-LN(2)/25))/(LN(2)/25)*Calculateur!V113*Calculateur!X113*VLOOKUP('Données projet'!$B$9,Paramètres!$A$1:$I$89,3,0)*0.475*44/12</f>
        <v>32.776296571855895</v>
      </c>
      <c r="AB113" s="21">
        <f>EXP(-LN(2)/2)*AB112+(1-EXP(-LN(2)/2))/(LN(2)/2)*V113*Y113*VLOOKUP('Données projet'!$B$9,Paramètres!$A$1:$I$89,3,0)*0.475*44/12</f>
        <v>6.0432570585455137E-3</v>
      </c>
      <c r="AC113" s="22">
        <f t="shared" si="57"/>
        <v>90.839237187332188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67.921270464798752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5.6843418860808015E-14</v>
      </c>
      <c r="AJ113" s="13">
        <f>AI113*VLOOKUP('Données projet'!$B$10,Paramètres!$A$1:$I$89,3,0)*VLOOKUP('Données projet'!$B$10,Paramètres!$A$1:$I$89,5,0)</f>
        <v>4.7884896048344674E-14</v>
      </c>
      <c r="AK113" s="13">
        <f t="shared" si="89"/>
        <v>7.8374629847779921E-13</v>
      </c>
      <c r="AL113" s="20">
        <f t="shared" si="58"/>
        <v>1.4484243304663672E-12</v>
      </c>
      <c r="AM113" s="59">
        <f t="shared" si="59"/>
        <v>285.71132503759685</v>
      </c>
      <c r="AN113" s="59">
        <f ca="1">AVERAGE(OFFSET($AM$3,0,0,'Données projet'!$E$10+1,1))-AVERAGE(OFFSET($H$3,0,0,'Données projet'!$E$10+1,1))</f>
        <v>442.79037205372367</v>
      </c>
      <c r="AO113" s="59">
        <f t="shared" si="90"/>
        <v>288.23553637727969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113.02397643346511</v>
      </c>
      <c r="AV113" s="21">
        <f>EXP(-LN(2)/25)*AV112+(1-EXP(-LN(2)/25))/(LN(2)/25)*Calculateur!AQ113*Calculateur!AS113*VLOOKUP('Données projet'!$B$10,Paramètres!$A$1:$I$89,3,0)*0.475*44/12</f>
        <v>25.042639723397546</v>
      </c>
      <c r="AW113" s="21">
        <f>EXP(-LN(2)/2)*AW112+(1-EXP(-LN(2)/2))/(LN(2)/2)*AQ113*AT113*VLOOKUP('Données projet'!$B$10,Paramètres!$A$1:$I$89,3,0)*0.475*44/12</f>
        <v>1.8557558812403212</v>
      </c>
      <c r="AX113" s="21">
        <f t="shared" si="60"/>
        <v>139.92237203810299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67.921270464798752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6.8811111111111085</v>
      </c>
      <c r="BD113" s="12">
        <f>IF('Données projet'!$A$88&gt;35,BD112+BC113-BL112,IF(A113&lt;'Données projet'!$A$88,$BA$205^A113,IF(A113='Données projet'!$A$88,'Données projet'!$B$88,BD112+BC113-BL112)))</f>
        <v>273.25666666666649</v>
      </c>
      <c r="BE113" s="13">
        <f>BD113*VLOOKUP('Données projet'!$B$11,Paramètres!$A$1:$I$89,3,0)*VLOOKUP('Données projet'!$B$11,Paramètres!$A$1:$I$89,5,0)</f>
        <v>277.08225999999985</v>
      </c>
      <c r="BF113" s="13">
        <f t="shared" si="91"/>
        <v>66.350031133112068</v>
      </c>
      <c r="BG113" s="20">
        <f t="shared" si="61"/>
        <v>598.14457372350319</v>
      </c>
      <c r="BH113" s="59">
        <f t="shared" si="62"/>
        <v>883.85589876109862</v>
      </c>
      <c r="BI113" s="59">
        <f ca="1">AVERAGE(OFFSET($BH$3,0,0,'Données projet'!$E$11+1,1))-AVERAGE(OFFSET($H$3,0,0,'Données projet'!$E$11+1,1))</f>
        <v>559.91818701710872</v>
      </c>
      <c r="BJ113" s="59">
        <f t="shared" si="92"/>
        <v>273.47272623465915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15.129032908677138</v>
      </c>
      <c r="BQ113" s="21">
        <f>EXP(-LN(2)/25)*BQ112+(1-EXP(-LN(2)/25))/(LN(2)/25)*Calculateur!BL113*Calculateur!BN113*VLOOKUP('Données projet'!$B$11,Paramètres!$A$1:$I$89,3,0)*0.475*44/12</f>
        <v>25.152925412106494</v>
      </c>
      <c r="BR113" s="21">
        <f>EXP(-LN(2)/2)*BR112+(1-EXP(-LN(2)/2))/(LN(2)/2)*BL113*BO113*VLOOKUP('Données projet'!$B$11,Paramètres!$A$1:$I$89,3,0)*0.475*44/12</f>
        <v>0.49444927590896953</v>
      </c>
      <c r="BS113" s="22">
        <f t="shared" si="63"/>
        <v>40.7764075966926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67.921270464798752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-1.1368683772161603E-13</v>
      </c>
      <c r="BZ113" s="13">
        <f>BY113*VLOOKUP('Données projet'!$B$12,Paramètres!$A$1:$I$89,3,0)*VLOOKUP('Données projet'!$B$12,Paramètres!$A$1:$I$89,5,0)</f>
        <v>-8.8675733422860506E-14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208.92677786250815</v>
      </c>
      <c r="CE113" s="59">
        <f t="shared" si="94"/>
        <v>207.54290142772214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12.237547160991008</v>
      </c>
      <c r="CL113" s="21">
        <f>EXP(-LN(2)/25)*CL112+(1-EXP(-LN(2)/25))/(LN(2)/25)*Calculateur!CG113*Calculateur!CI113*VLOOKUP('Données projet'!$B$12,Paramètres!$A$1:$I$89,3,0)*0.475*44/12</f>
        <v>8.7073828292053363</v>
      </c>
      <c r="CM113" s="21">
        <f>EXP(-LN(2)/2)*CM112+(1-EXP(-LN(2)/2))/(LN(2)/2)*CG113*CJ113*VLOOKUP('Données projet'!$B$12,Paramètres!$A$1:$I$89,3,0)*0.475*44/12</f>
        <v>2.6263331699954192E-5</v>
      </c>
      <c r="CN113" s="22">
        <f t="shared" si="66"/>
        <v>20.944956253528044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67.921270464798752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8.7540000000000013</v>
      </c>
      <c r="CT113" s="12">
        <f>IF('Données projet'!$A$140&gt;35,CT112+CS113-DB112,IF(A113&lt;'Données projet'!$A$140,$CQ$205^A113,IF(A113='Données projet'!$A$140,'Données projet'!$B$140,CT112+CS113-DB112)))</f>
        <v>364.91800000000023</v>
      </c>
      <c r="CU113" s="17">
        <f>CT113*VLOOKUP('Données projet'!$B$13,Paramètres!$A$1:$I$89,3,0)*VLOOKUP('Données projet'!$B$13,Paramètres!$A$1:$I$89,5,0)</f>
        <v>347.25596880000023</v>
      </c>
      <c r="CV113" s="13">
        <f t="shared" si="95"/>
        <v>80.997228143628277</v>
      </c>
      <c r="CW113" s="20">
        <f t="shared" si="67"/>
        <v>745.87431801015293</v>
      </c>
      <c r="CX113" s="59">
        <f t="shared" si="68"/>
        <v>1031.5856430477484</v>
      </c>
      <c r="CY113" s="59">
        <f ca="1">AVERAGE(OFFSET($CX$3,0,0,'Données projet'!$E$13+1,1))-AVERAGE(OFFSET($H$3,0,0,'Données projet'!$E$13+1,1))</f>
        <v>470.42022791389275</v>
      </c>
      <c r="CZ113" s="59">
        <f t="shared" si="96"/>
        <v>300.26117330627346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23.258240872317703</v>
      </c>
      <c r="DG113" s="21">
        <f>EXP(-LN(2)/25)*DG112+(1-EXP(-LN(2)/25))/(LN(2)/25)*Calculateur!DB113*Calculateur!DD113*VLOOKUP('Données projet'!$B$13,Paramètres!$A$1:$I$89,3,0)*0.475*44/12</f>
        <v>21.020927803508314</v>
      </c>
      <c r="DH113" s="21">
        <f>EXP(-LN(2)/2)*DH112+(1-EXP(-LN(2)/2))/(LN(2)/2)*DB113*DE113*VLOOKUP('Données projet'!$B$13,Paramètres!$A$1:$I$89,3,0)*0.475*44/12</f>
        <v>1.3872147529791512</v>
      </c>
      <c r="DI113" s="22">
        <f t="shared" si="69"/>
        <v>45.666383428805162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67.921270464798752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6.8811111111111085</v>
      </c>
      <c r="DO113" s="12">
        <f>IF('Données projet'!$A$166&gt;35,DO112+DN113-DW112,IF(A113&lt;'Données projet'!$A$166,$DL$205^A113,IF(A113='Données projet'!$A$166,'Données projet'!$B$166,DO112+DN113-DW112)))</f>
        <v>273.25666666666649</v>
      </c>
      <c r="DP113" s="17">
        <f>DO113*VLOOKUP('Données projet'!$B$14,Paramètres!$A$1:$I$89,3,0)*VLOOKUP('Données projet'!$B$14,Paramètres!$A$1:$I$89,5,0)</f>
        <v>264.29384799999985</v>
      </c>
      <c r="DQ113" s="13">
        <f t="shared" si="97"/>
        <v>63.636778464374139</v>
      </c>
      <c r="DR113" s="20">
        <f t="shared" si="70"/>
        <v>571.14584109211796</v>
      </c>
      <c r="DS113" s="59">
        <f t="shared" si="71"/>
        <v>856.85716612971339</v>
      </c>
      <c r="DT113" s="59">
        <f ca="1">AVERAGE(OFFSET($DS$3,0,0,'Données projet'!$E$14+1,1))-AVERAGE(OFFSET($H$3,0,0,'Données projet'!$E$14+1,1))</f>
        <v>537.37164071064103</v>
      </c>
      <c r="DU113" s="59">
        <f t="shared" si="98"/>
        <v>263.29777321132235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10.307692750966838</v>
      </c>
      <c r="EB113" s="21">
        <f>EXP(-LN(2)/25)*EB112+(1-EXP(-LN(2)/25))/(LN(2)/25)*Calculateur!DW113*Calculateur!DY113*VLOOKUP('Données projet'!$B$14,Paramètres!$A$1:$I$89,3,0)*0.475*44/12</f>
        <v>14.409788934246679</v>
      </c>
      <c r="EC113" s="21">
        <f>EXP(-LN(2)/2)*EC112+(1-EXP(-LN(2)/2))/(LN(2)/2)*DW113*DZ113*VLOOKUP('Données projet'!$B$14,Paramètres!$A$1:$I$89,3,0)*0.475*44/12</f>
        <v>1.1789807882943342</v>
      </c>
      <c r="ED113" s="22">
        <f t="shared" si="72"/>
        <v>25.896462473507853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67.921270464798752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67.921270464798752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67.921270464798752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67.921270464798752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45">
      <c r="A114" s="10">
        <f t="shared" si="85"/>
        <v>111</v>
      </c>
      <c r="B114" s="73">
        <f>'Scénario référence'!$B$16*5+'Scénario référence'!$B$17*0+'Scénario référence'!$B$18*5</f>
        <v>2.8499999999999996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10.449999999999998</v>
      </c>
      <c r="H114" s="67">
        <f t="shared" si="56"/>
        <v>214.86666666666667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67.957331774891472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10.725999999999999</v>
      </c>
      <c r="N114" s="13">
        <f>IF('Données projet'!$A$36&gt;35,N113+M114-V113,IF(A114&lt;'Données projet'!$A$36,$K$205^A114,IF(A114='Données projet'!$A$36,'Données projet'!$B$36,N113+M114-V113)))</f>
        <v>468.46600000000012</v>
      </c>
      <c r="O114" s="13">
        <f>N114*VLOOKUP('Données projet'!$B$9,Paramètres!$A$1:$I$89,3,0)*VLOOKUP('Données projet'!$B$9,Paramètres!$A$1:$I$89,5,0)</f>
        <v>423.86803680000014</v>
      </c>
      <c r="P114" s="13">
        <f t="shared" si="87"/>
        <v>96.59910072492606</v>
      </c>
      <c r="Q114" s="20">
        <f t="shared" si="107"/>
        <v>906.48026452257966</v>
      </c>
      <c r="R114" s="59">
        <f t="shared" si="55"/>
        <v>1192.3238143638484</v>
      </c>
      <c r="S114" s="59">
        <f ca="1">AVERAGE(OFFSET($R$3,0,0,'Données projet'!$E$9+1,1))-AVERAGE(OFFSET($H$3,0,0,'Données projet'!$E$9+1,1))</f>
        <v>719.20816951277925</v>
      </c>
      <c r="T114" s="59">
        <f t="shared" si="88"/>
        <v>237.1127421841087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56.91843701242999</v>
      </c>
      <c r="AA114" s="21">
        <f>EXP(-LN(2)/25)*AA113+(1-EXP(-LN(2)/25))/(LN(2)/25)*Calculateur!V114*Calculateur!X114*VLOOKUP('Données projet'!$B$9,Paramètres!$A$1:$I$89,3,0)*0.475*44/12</f>
        <v>31.88002701846797</v>
      </c>
      <c r="AB114" s="21">
        <f>EXP(-LN(2)/2)*AB113+(1-EXP(-LN(2)/2))/(LN(2)/2)*V114*Y114*VLOOKUP('Données projet'!$B$9,Paramètres!$A$1:$I$89,3,0)*0.475*44/12</f>
        <v>4.2732280465510013E-3</v>
      </c>
      <c r="AC114" s="22">
        <f t="shared" si="57"/>
        <v>88.802737258944518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67.957331774891472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5.6843418860808015E-14</v>
      </c>
      <c r="AJ114" s="13">
        <f>AI114*VLOOKUP('Données projet'!$B$10,Paramètres!$A$1:$I$89,3,0)*VLOOKUP('Données projet'!$B$10,Paramètres!$A$1:$I$89,5,0)</f>
        <v>4.7884896048344674E-14</v>
      </c>
      <c r="AK114" s="13">
        <f t="shared" si="89"/>
        <v>7.8374629847779921E-13</v>
      </c>
      <c r="AL114" s="20">
        <f t="shared" si="58"/>
        <v>1.4484243304663672E-12</v>
      </c>
      <c r="AM114" s="59">
        <f t="shared" si="59"/>
        <v>285.84354984127015</v>
      </c>
      <c r="AN114" s="59">
        <f ca="1">AVERAGE(OFFSET($AM$3,0,0,'Données projet'!$E$10+1,1))-AVERAGE(OFFSET($H$3,0,0,'Données projet'!$E$10+1,1))</f>
        <v>442.79037205372367</v>
      </c>
      <c r="AO114" s="59">
        <f t="shared" si="90"/>
        <v>288.23553637727969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110.80764519342344</v>
      </c>
      <c r="AV114" s="21">
        <f>EXP(-LN(2)/25)*AV113+(1-EXP(-LN(2)/25))/(LN(2)/25)*Calculateur!AQ114*Calculateur!AS114*VLOOKUP('Données projet'!$B$10,Paramètres!$A$1:$I$89,3,0)*0.475*44/12</f>
        <v>24.357847423226051</v>
      </c>
      <c r="AW114" s="21">
        <f>EXP(-LN(2)/2)*AW113+(1-EXP(-LN(2)/2))/(LN(2)/2)*AQ114*AT114*VLOOKUP('Données projet'!$B$10,Paramètres!$A$1:$I$89,3,0)*0.475*44/12</f>
        <v>1.3122175678518486</v>
      </c>
      <c r="AX114" s="21">
        <f t="shared" si="60"/>
        <v>136.47771018450135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67.957331774891472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6.8811111111111085</v>
      </c>
      <c r="BD114" s="12">
        <f>IF('Données projet'!$A$88&gt;35,BD113+BC114-BL113,IF(A114&lt;'Données projet'!$A$88,$BA$205^A114,IF(A114='Données projet'!$A$88,'Données projet'!$B$88,BD113+BC114-BL113)))</f>
        <v>280.13777777777761</v>
      </c>
      <c r="BE114" s="13">
        <f>BD114*VLOOKUP('Données projet'!$B$11,Paramètres!$A$1:$I$89,3,0)*VLOOKUP('Données projet'!$B$11,Paramètres!$A$1:$I$89,5,0)</f>
        <v>284.0597066666665</v>
      </c>
      <c r="BF114" s="13">
        <f t="shared" si="91"/>
        <v>67.824221521859315</v>
      </c>
      <c r="BG114" s="20">
        <f t="shared" si="61"/>
        <v>612.86450826168243</v>
      </c>
      <c r="BH114" s="59">
        <f t="shared" si="62"/>
        <v>898.7080581029511</v>
      </c>
      <c r="BI114" s="59">
        <f ca="1">AVERAGE(OFFSET($BH$3,0,0,'Données projet'!$E$11+1,1))-AVERAGE(OFFSET($H$3,0,0,'Données projet'!$E$11+1,1))</f>
        <v>559.91818701710872</v>
      </c>
      <c r="BJ114" s="59">
        <f t="shared" si="92"/>
        <v>273.47272623465915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14.832361801136884</v>
      </c>
      <c r="BQ114" s="21">
        <f>EXP(-LN(2)/25)*BQ113+(1-EXP(-LN(2)/25))/(LN(2)/25)*Calculateur!BL114*Calculateur!BN114*VLOOKUP('Données projet'!$B$11,Paramètres!$A$1:$I$89,3,0)*0.475*44/12</f>
        <v>24.465117343977582</v>
      </c>
      <c r="BR114" s="21">
        <f>EXP(-LN(2)/2)*BR113+(1-EXP(-LN(2)/2))/(LN(2)/2)*BL114*BO114*VLOOKUP('Données projet'!$B$11,Paramètres!$A$1:$I$89,3,0)*0.475*44/12</f>
        <v>0.34962843594801063</v>
      </c>
      <c r="BS114" s="22">
        <f t="shared" si="63"/>
        <v>39.647107581062478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67.957331774891472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-1.1368683772161603E-13</v>
      </c>
      <c r="BZ114" s="13">
        <f>BY114*VLOOKUP('Données projet'!$B$12,Paramètres!$A$1:$I$89,3,0)*VLOOKUP('Données projet'!$B$12,Paramètres!$A$1:$I$89,5,0)</f>
        <v>-8.8675733422860506E-14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208.92677786250815</v>
      </c>
      <c r="CE114" s="59">
        <f t="shared" si="94"/>
        <v>207.54290142772214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11.997576325330717</v>
      </c>
      <c r="CL114" s="21">
        <f>EXP(-LN(2)/25)*CL113+(1-EXP(-LN(2)/25))/(LN(2)/25)*Calculateur!CG114*Calculateur!CI114*VLOOKUP('Données projet'!$B$12,Paramètres!$A$1:$I$89,3,0)*0.475*44/12</f>
        <v>8.4692789878393544</v>
      </c>
      <c r="CM114" s="21">
        <f>EXP(-LN(2)/2)*CM113+(1-EXP(-LN(2)/2))/(LN(2)/2)*CG114*CJ114*VLOOKUP('Données projet'!$B$12,Paramètres!$A$1:$I$89,3,0)*0.475*44/12</f>
        <v>1.8570979941589225E-5</v>
      </c>
      <c r="CN114" s="22">
        <f t="shared" si="66"/>
        <v>20.466873884150015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67.957331774891472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8.7540000000000013</v>
      </c>
      <c r="CT114" s="12">
        <f>IF('Données projet'!$A$140&gt;35,CT113+CS114-DB113,IF(A114&lt;'Données projet'!$A$140,$CQ$205^A114,IF(A114='Données projet'!$A$140,'Données projet'!$B$140,CT113+CS114-DB113)))</f>
        <v>373.67200000000025</v>
      </c>
      <c r="CU114" s="17">
        <f>CT114*VLOOKUP('Données projet'!$B$13,Paramètres!$A$1:$I$89,3,0)*VLOOKUP('Données projet'!$B$13,Paramètres!$A$1:$I$89,5,0)</f>
        <v>355.58627520000022</v>
      </c>
      <c r="CV114" s="13">
        <f t="shared" si="95"/>
        <v>82.711721103289179</v>
      </c>
      <c r="CW114" s="20">
        <f t="shared" si="67"/>
        <v>763.36901022822894</v>
      </c>
      <c r="CX114" s="59">
        <f t="shared" si="68"/>
        <v>1049.2125600694976</v>
      </c>
      <c r="CY114" s="59">
        <f ca="1">AVERAGE(OFFSET($CX$3,0,0,'Données projet'!$E$13+1,1))-AVERAGE(OFFSET($H$3,0,0,'Données projet'!$E$13+1,1))</f>
        <v>470.42022791389275</v>
      </c>
      <c r="CZ114" s="59">
        <f t="shared" si="96"/>
        <v>300.26117330627346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22.802160954937722</v>
      </c>
      <c r="DG114" s="21">
        <f>EXP(-LN(2)/25)*DG113+(1-EXP(-LN(2)/25))/(LN(2)/25)*Calculateur!DB114*Calculateur!DD114*VLOOKUP('Données projet'!$B$13,Paramètres!$A$1:$I$89,3,0)*0.475*44/12</f>
        <v>20.446109427278831</v>
      </c>
      <c r="DH114" s="21">
        <f>EXP(-LN(2)/2)*DH113+(1-EXP(-LN(2)/2))/(LN(2)/2)*DB114*DE114*VLOOKUP('Données projet'!$B$13,Paramètres!$A$1:$I$89,3,0)*0.475*44/12</f>
        <v>0.98090895879357931</v>
      </c>
      <c r="DI114" s="22">
        <f t="shared" si="69"/>
        <v>44.229179341010131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67.957331774891472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6.8811111111111085</v>
      </c>
      <c r="DO114" s="12">
        <f>IF('Données projet'!$A$166&gt;35,DO113+DN114-DW113,IF(A114&lt;'Données projet'!$A$166,$DL$205^A114,IF(A114='Données projet'!$A$166,'Données projet'!$B$166,DO113+DN114-DW113)))</f>
        <v>280.13777777777761</v>
      </c>
      <c r="DP114" s="17">
        <f>DO114*VLOOKUP('Données projet'!$B$14,Paramètres!$A$1:$I$89,3,0)*VLOOKUP('Données projet'!$B$14,Paramètres!$A$1:$I$89,5,0)</f>
        <v>270.94925866666654</v>
      </c>
      <c r="DQ114" s="13">
        <f t="shared" si="97"/>
        <v>65.050684766766153</v>
      </c>
      <c r="DR114" s="20">
        <f t="shared" si="70"/>
        <v>585.19990147989529</v>
      </c>
      <c r="DS114" s="59">
        <f t="shared" si="71"/>
        <v>871.04345132116396</v>
      </c>
      <c r="DT114" s="59">
        <f ca="1">AVERAGE(OFFSET($DS$3,0,0,'Données projet'!$E$14+1,1))-AVERAGE(OFFSET($H$3,0,0,'Données projet'!$E$14+1,1))</f>
        <v>537.37164071064103</v>
      </c>
      <c r="DU114" s="59">
        <f t="shared" si="98"/>
        <v>263.29777321132235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10.10556518319216</v>
      </c>
      <c r="EB114" s="21">
        <f>EXP(-LN(2)/25)*EB113+(1-EXP(-LN(2)/25))/(LN(2)/25)*Calculateur!DW114*Calculateur!DY114*VLOOKUP('Données projet'!$B$14,Paramètres!$A$1:$I$89,3,0)*0.475*44/12</f>
        <v>14.015752498061838</v>
      </c>
      <c r="EC114" s="21">
        <f>EXP(-LN(2)/2)*EC113+(1-EXP(-LN(2)/2))/(LN(2)/2)*DW114*DZ114*VLOOKUP('Données projet'!$B$14,Paramètres!$A$1:$I$89,3,0)*0.475*44/12</f>
        <v>0.83366531029158508</v>
      </c>
      <c r="ED114" s="22">
        <f t="shared" si="72"/>
        <v>24.954982991545585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67.957331774891472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67.957331774891472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67.957331774891472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67.957331774891472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45">
      <c r="A115" s="10">
        <f t="shared" si="85"/>
        <v>112</v>
      </c>
      <c r="B115" s="73">
        <f>'Scénario référence'!$B$16*5+'Scénario référence'!$B$17*0+'Scénario référence'!$B$18*5</f>
        <v>2.8499999999999996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10.449999999999998</v>
      </c>
      <c r="H115" s="67">
        <f t="shared" si="56"/>
        <v>214.86666666666667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67.992767501875107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10.725999999999999</v>
      </c>
      <c r="N115" s="13">
        <f>IF('Données projet'!$A$36&gt;35,N114+M115-V114,IF(A115&lt;'Données projet'!$A$36,$K$205^A115,IF(A115='Données projet'!$A$36,'Données projet'!$B$36,N114+M115-V114)))</f>
        <v>479.19200000000012</v>
      </c>
      <c r="O115" s="13">
        <f>N115*VLOOKUP('Données projet'!$B$9,Paramètres!$A$1:$I$89,3,0)*VLOOKUP('Données projet'!$B$9,Paramètres!$A$1:$I$89,5,0)</f>
        <v>433.57292160000009</v>
      </c>
      <c r="P115" s="13">
        <f t="shared" si="87"/>
        <v>98.550806203987747</v>
      </c>
      <c r="Q115" s="20">
        <f t="shared" si="107"/>
        <v>926.78215925861196</v>
      </c>
      <c r="R115" s="59">
        <f t="shared" si="55"/>
        <v>1212.7556400988208</v>
      </c>
      <c r="S115" s="59">
        <f ca="1">AVERAGE(OFFSET($R$3,0,0,'Données projet'!$E$9+1,1))-AVERAGE(OFFSET($H$3,0,0,'Données projet'!$E$9+1,1))</f>
        <v>719.20816951277925</v>
      </c>
      <c r="T115" s="59">
        <f t="shared" si="88"/>
        <v>237.1127421841087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55.802301179434814</v>
      </c>
      <c r="AA115" s="21">
        <f>EXP(-LN(2)/25)*AA114+(1-EXP(-LN(2)/25))/(LN(2)/25)*Calculateur!V115*Calculateur!X115*VLOOKUP('Données projet'!$B$9,Paramètres!$A$1:$I$89,3,0)*0.475*44/12</f>
        <v>31.008266003150204</v>
      </c>
      <c r="AB115" s="21">
        <f>EXP(-LN(2)/2)*AB114+(1-EXP(-LN(2)/2))/(LN(2)/2)*V115*Y115*VLOOKUP('Données projet'!$B$9,Paramètres!$A$1:$I$89,3,0)*0.475*44/12</f>
        <v>3.0216285292727569E-3</v>
      </c>
      <c r="AC115" s="22">
        <f t="shared" si="57"/>
        <v>86.813588811114286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67.992767501875107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5.6843418860808015E-14</v>
      </c>
      <c r="AJ115" s="13">
        <f>AI115*VLOOKUP('Données projet'!$B$10,Paramètres!$A$1:$I$89,3,0)*VLOOKUP('Données projet'!$B$10,Paramètres!$A$1:$I$89,5,0)</f>
        <v>4.7884896048344674E-14</v>
      </c>
      <c r="AK115" s="13">
        <f t="shared" si="89"/>
        <v>7.8374629847779921E-13</v>
      </c>
      <c r="AL115" s="20">
        <f t="shared" si="58"/>
        <v>1.4484243304663672E-12</v>
      </c>
      <c r="AM115" s="59">
        <f t="shared" si="59"/>
        <v>285.97348084021019</v>
      </c>
      <c r="AN115" s="59">
        <f ca="1">AVERAGE(OFFSET($AM$3,0,0,'Données projet'!$E$10+1,1))-AVERAGE(OFFSET($H$3,0,0,'Données projet'!$E$10+1,1))</f>
        <v>442.79037205372367</v>
      </c>
      <c r="AO115" s="59">
        <f t="shared" si="90"/>
        <v>288.23553637727969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108.63477485717041</v>
      </c>
      <c r="AV115" s="21">
        <f>EXP(-LN(2)/25)*AV114+(1-EXP(-LN(2)/25))/(LN(2)/25)*Calculateur!AQ115*Calculateur!AS115*VLOOKUP('Données projet'!$B$10,Paramètres!$A$1:$I$89,3,0)*0.475*44/12</f>
        <v>23.691780804514408</v>
      </c>
      <c r="AW115" s="21">
        <f>EXP(-LN(2)/2)*AW114+(1-EXP(-LN(2)/2))/(LN(2)/2)*AQ115*AT115*VLOOKUP('Données projet'!$B$10,Paramètres!$A$1:$I$89,3,0)*0.475*44/12</f>
        <v>0.92787794062016071</v>
      </c>
      <c r="AX115" s="21">
        <f t="shared" si="60"/>
        <v>133.254433602305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67.992767501875107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6.8811111111111085</v>
      </c>
      <c r="BD115" s="12">
        <f>IF('Données projet'!$A$88&gt;35,BD114+BC115-BL114,IF(A115&lt;'Données projet'!$A$88,$BA$205^A115,IF(A115='Données projet'!$A$88,'Données projet'!$B$88,BD114+BC115-BL114)))</f>
        <v>287.01888888888874</v>
      </c>
      <c r="BE115" s="13">
        <f>BD115*VLOOKUP('Données projet'!$B$11,Paramètres!$A$1:$I$89,3,0)*VLOOKUP('Données projet'!$B$11,Paramètres!$A$1:$I$89,5,0)</f>
        <v>291.03715333333321</v>
      </c>
      <c r="BF115" s="13">
        <f t="shared" si="91"/>
        <v>69.294202523257042</v>
      </c>
      <c r="BG115" s="20">
        <f t="shared" si="61"/>
        <v>627.57711145022802</v>
      </c>
      <c r="BH115" s="59">
        <f t="shared" si="62"/>
        <v>913.55059229043673</v>
      </c>
      <c r="BI115" s="59">
        <f ca="1">AVERAGE(OFFSET($BH$3,0,0,'Données projet'!$E$11+1,1))-AVERAGE(OFFSET($H$3,0,0,'Données projet'!$E$11+1,1))</f>
        <v>559.91818701710872</v>
      </c>
      <c r="BJ115" s="59">
        <f t="shared" si="92"/>
        <v>273.47272623465915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14.541508233063986</v>
      </c>
      <c r="BQ115" s="21">
        <f>EXP(-LN(2)/25)*BQ114+(1-EXP(-LN(2)/25))/(LN(2)/25)*Calculateur!BL115*Calculateur!BN115*VLOOKUP('Données projet'!$B$11,Paramètres!$A$1:$I$89,3,0)*0.475*44/12</f>
        <v>23.79611742364191</v>
      </c>
      <c r="BR115" s="21">
        <f>EXP(-LN(2)/2)*BR114+(1-EXP(-LN(2)/2))/(LN(2)/2)*BL115*BO115*VLOOKUP('Données projet'!$B$11,Paramètres!$A$1:$I$89,3,0)*0.475*44/12</f>
        <v>0.24722463795448482</v>
      </c>
      <c r="BS115" s="22">
        <f t="shared" si="63"/>
        <v>38.584850294660377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67.992767501875107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-1.1368683772161603E-13</v>
      </c>
      <c r="BZ115" s="13">
        <f>BY115*VLOOKUP('Données projet'!$B$12,Paramètres!$A$1:$I$89,3,0)*VLOOKUP('Données projet'!$B$12,Paramètres!$A$1:$I$89,5,0)</f>
        <v>-8.8675733422860506E-14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208.92677786250815</v>
      </c>
      <c r="CE115" s="59">
        <f t="shared" si="94"/>
        <v>207.54290142772214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11.762311171389968</v>
      </c>
      <c r="CL115" s="21">
        <f>EXP(-LN(2)/25)*CL114+(1-EXP(-LN(2)/25))/(LN(2)/25)*Calculateur!CG115*Calculateur!CI115*VLOOKUP('Données projet'!$B$12,Paramètres!$A$1:$I$89,3,0)*0.475*44/12</f>
        <v>8.2376861085368613</v>
      </c>
      <c r="CM115" s="21">
        <f>EXP(-LN(2)/2)*CM114+(1-EXP(-LN(2)/2))/(LN(2)/2)*CG115*CJ115*VLOOKUP('Données projet'!$B$12,Paramètres!$A$1:$I$89,3,0)*0.475*44/12</f>
        <v>1.3131665849977096E-5</v>
      </c>
      <c r="CN115" s="22">
        <f t="shared" si="66"/>
        <v>20.00001041159268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67.992767501875107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8.7540000000000013</v>
      </c>
      <c r="CT115" s="12">
        <f>IF('Données projet'!$A$140&gt;35,CT114+CS115-DB114,IF(A115&lt;'Données projet'!$A$140,$CQ$205^A115,IF(A115='Données projet'!$A$140,'Données projet'!$B$140,CT114+CS115-DB114)))</f>
        <v>382.42600000000027</v>
      </c>
      <c r="CU115" s="17">
        <f>CT115*VLOOKUP('Données projet'!$B$13,Paramètres!$A$1:$I$89,3,0)*VLOOKUP('Données projet'!$B$13,Paramètres!$A$1:$I$89,5,0)</f>
        <v>363.91658160000026</v>
      </c>
      <c r="CV115" s="13">
        <f t="shared" si="95"/>
        <v>84.421544732010858</v>
      </c>
      <c r="CW115" s="20">
        <f t="shared" si="67"/>
        <v>780.85557002825271</v>
      </c>
      <c r="CX115" s="59">
        <f t="shared" si="68"/>
        <v>1066.8290508684615</v>
      </c>
      <c r="CY115" s="59">
        <f ca="1">AVERAGE(OFFSET($CX$3,0,0,'Données projet'!$E$13+1,1))-AVERAGE(OFFSET($H$3,0,0,'Données projet'!$E$13+1,1))</f>
        <v>470.42022791389275</v>
      </c>
      <c r="CZ115" s="59">
        <f t="shared" si="96"/>
        <v>300.26117330627346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22.355024486556282</v>
      </c>
      <c r="DG115" s="21">
        <f>EXP(-LN(2)/25)*DG114+(1-EXP(-LN(2)/25))/(LN(2)/25)*Calculateur!DB115*Calculateur!DD115*VLOOKUP('Données projet'!$B$13,Paramètres!$A$1:$I$89,3,0)*0.475*44/12</f>
        <v>19.887009489775728</v>
      </c>
      <c r="DH115" s="21">
        <f>EXP(-LN(2)/2)*DH114+(1-EXP(-LN(2)/2))/(LN(2)/2)*DB115*DE115*VLOOKUP('Données projet'!$B$13,Paramètres!$A$1:$I$89,3,0)*0.475*44/12</f>
        <v>0.69360737648957571</v>
      </c>
      <c r="DI115" s="22">
        <f t="shared" si="69"/>
        <v>42.935641352821584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67.992767501875107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6.8811111111111085</v>
      </c>
      <c r="DO115" s="12">
        <f>IF('Données projet'!$A$166&gt;35,DO114+DN115-DW114,IF(A115&lt;'Données projet'!$A$166,$DL$205^A115,IF(A115='Données projet'!$A$166,'Données projet'!$B$166,DO114+DN115-DW114)))</f>
        <v>287.01888888888874</v>
      </c>
      <c r="DP115" s="17">
        <f>DO115*VLOOKUP('Données projet'!$B$14,Paramètres!$A$1:$I$89,3,0)*VLOOKUP('Données projet'!$B$14,Paramètres!$A$1:$I$89,5,0)</f>
        <v>277.60466933333322</v>
      </c>
      <c r="DQ115" s="13">
        <f t="shared" si="97"/>
        <v>66.460553816339257</v>
      </c>
      <c r="DR115" s="20">
        <f t="shared" si="70"/>
        <v>599.24693031901279</v>
      </c>
      <c r="DS115" s="59">
        <f t="shared" si="71"/>
        <v>885.22041115922161</v>
      </c>
      <c r="DT115" s="59">
        <f ca="1">AVERAGE(OFFSET($DS$3,0,0,'Données projet'!$E$14+1,1))-AVERAGE(OFFSET($H$3,0,0,'Données projet'!$E$14+1,1))</f>
        <v>537.37164071064103</v>
      </c>
      <c r="DU115" s="59">
        <f t="shared" si="98"/>
        <v>263.29777321132235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9.9074012137359002</v>
      </c>
      <c r="EB115" s="21">
        <f>EXP(-LN(2)/25)*EB114+(1-EXP(-LN(2)/25))/(LN(2)/25)*Calculateur!DW115*Calculateur!DY115*VLOOKUP('Données projet'!$B$14,Paramètres!$A$1:$I$89,3,0)*0.475*44/12</f>
        <v>13.632491008945946</v>
      </c>
      <c r="EC115" s="21">
        <f>EXP(-LN(2)/2)*EC114+(1-EXP(-LN(2)/2))/(LN(2)/2)*DW115*DZ115*VLOOKUP('Données projet'!$B$14,Paramètres!$A$1:$I$89,3,0)*0.475*44/12</f>
        <v>0.58949039414716708</v>
      </c>
      <c r="ED115" s="22">
        <f t="shared" si="72"/>
        <v>24.129382616829012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67.992767501875107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67.992767501875107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67.992767501875107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67.992767501875107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45">
      <c r="A116" s="10">
        <f t="shared" si="85"/>
        <v>113</v>
      </c>
      <c r="B116" s="73">
        <f>'Scénario référence'!$B$16*5+'Scénario référence'!$B$17*0+'Scénario référence'!$B$18*5</f>
        <v>2.8499999999999996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10.449999999999998</v>
      </c>
      <c r="H116" s="67">
        <f t="shared" si="56"/>
        <v>214.86666666666667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68.02758849821798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10.725999999999999</v>
      </c>
      <c r="N116" s="13">
        <f>IF('Données projet'!$A$36&gt;35,N115+M116-V115,IF(A116&lt;'Données projet'!$A$36,$K$205^A116,IF(A116='Données projet'!$A$36,'Données projet'!$B$36,N115+M116-V115)))</f>
        <v>489.91800000000012</v>
      </c>
      <c r="O116" s="13">
        <f>N116*VLOOKUP('Données projet'!$B$9,Paramètres!$A$1:$I$89,3,0)*VLOOKUP('Données projet'!$B$9,Paramètres!$A$1:$I$89,5,0)</f>
        <v>443.27780640000015</v>
      </c>
      <c r="P116" s="13">
        <f t="shared" si="87"/>
        <v>100.49743280031032</v>
      </c>
      <c r="Q116" s="20">
        <f t="shared" si="107"/>
        <v>947.07520827387407</v>
      </c>
      <c r="R116" s="59">
        <f t="shared" si="55"/>
        <v>1233.1763661006732</v>
      </c>
      <c r="S116" s="59">
        <f ca="1">AVERAGE(OFFSET($R$3,0,0,'Données projet'!$E$9+1,1))-AVERAGE(OFFSET($H$3,0,0,'Données projet'!$E$9+1,1))</f>
        <v>719.20816951277925</v>
      </c>
      <c r="T116" s="59">
        <f t="shared" si="88"/>
        <v>237.1127421841087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54.708052089349039</v>
      </c>
      <c r="AA116" s="21">
        <f>EXP(-LN(2)/25)*AA115+(1-EXP(-LN(2)/25))/(LN(2)/25)*Calculateur!V116*Calculateur!X116*VLOOKUP('Données projet'!$B$9,Paramètres!$A$1:$I$89,3,0)*0.475*44/12</f>
        <v>30.160343338640224</v>
      </c>
      <c r="AB116" s="21">
        <f>EXP(-LN(2)/2)*AB115+(1-EXP(-LN(2)/2))/(LN(2)/2)*V116*Y116*VLOOKUP('Données projet'!$B$9,Paramètres!$A$1:$I$89,3,0)*0.475*44/12</f>
        <v>2.1366140232755007E-3</v>
      </c>
      <c r="AC116" s="22">
        <f t="shared" si="57"/>
        <v>84.870532042012542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68.02758849821798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5.6843418860808015E-14</v>
      </c>
      <c r="AJ116" s="13">
        <f>AI116*VLOOKUP('Données projet'!$B$10,Paramètres!$A$1:$I$89,3,0)*VLOOKUP('Données projet'!$B$10,Paramètres!$A$1:$I$89,5,0)</f>
        <v>4.7884896048344674E-14</v>
      </c>
      <c r="AK116" s="13">
        <f t="shared" si="89"/>
        <v>7.8374629847779921E-13</v>
      </c>
      <c r="AL116" s="20">
        <f t="shared" si="58"/>
        <v>1.4484243304663672E-12</v>
      </c>
      <c r="AM116" s="59">
        <f t="shared" si="59"/>
        <v>286.10115782680066</v>
      </c>
      <c r="AN116" s="59">
        <f ca="1">AVERAGE(OFFSET($AM$3,0,0,'Données projet'!$E$10+1,1))-AVERAGE(OFFSET($H$3,0,0,'Données projet'!$E$10+1,1))</f>
        <v>442.79037205372367</v>
      </c>
      <c r="AO116" s="59">
        <f t="shared" si="90"/>
        <v>288.23553637727969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106.50451318289127</v>
      </c>
      <c r="AV116" s="21">
        <f>EXP(-LN(2)/25)*AV115+(1-EXP(-LN(2)/25))/(LN(2)/25)*Calculateur!AQ116*Calculateur!AS116*VLOOKUP('Données projet'!$B$10,Paramètres!$A$1:$I$89,3,0)*0.475*44/12</f>
        <v>23.043927812518358</v>
      </c>
      <c r="AW116" s="21">
        <f>EXP(-LN(2)/2)*AW115+(1-EXP(-LN(2)/2))/(LN(2)/2)*AQ116*AT116*VLOOKUP('Données projet'!$B$10,Paramètres!$A$1:$I$89,3,0)*0.475*44/12</f>
        <v>0.65610878392592431</v>
      </c>
      <c r="AX116" s="21">
        <f t="shared" si="60"/>
        <v>130.20454977933557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68.02758849821798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>
        <f>VLOOKUP(A116,'Données projet'!$A$87:$I$107,2,0)</f>
        <v>293.89999999999998</v>
      </c>
      <c r="BB116" s="12">
        <f>VLOOKUP(A116,'Données projet'!$A$87:$I$107,9,0)</f>
        <v>6.8811111111111085</v>
      </c>
      <c r="BC116" s="12">
        <f t="array" ref="BC116">INDEX(BB:BB,MIN(IF(ISNUMBER(BB116:BB312),ROW(BB116:BB312),"")))</f>
        <v>6.8811111111111085</v>
      </c>
      <c r="BD116" s="12">
        <f>IF('Données projet'!$A$88&gt;35,BD115+BC116-BL115,IF(A116&lt;'Données projet'!$A$88,$BA$205^A116,IF(A116='Données projet'!$A$88,'Données projet'!$B$88,BD115+BC116-BL115)))</f>
        <v>293.89999999999986</v>
      </c>
      <c r="BE116" s="13">
        <f>BD116*VLOOKUP('Données projet'!$B$11,Paramètres!$A$1:$I$89,3,0)*VLOOKUP('Données projet'!$B$11,Paramètres!$A$1:$I$89,5,0)</f>
        <v>298.01459999999986</v>
      </c>
      <c r="BF116" s="13">
        <f t="shared" si="91"/>
        <v>70.760086666473185</v>
      </c>
      <c r="BG116" s="20">
        <f t="shared" si="61"/>
        <v>642.2825792774405</v>
      </c>
      <c r="BH116" s="59">
        <f t="shared" si="62"/>
        <v>928.3837371042398</v>
      </c>
      <c r="BI116" s="59">
        <f ca="1">AVERAGE(OFFSET($BH$3,0,0,'Données projet'!$E$11+1,1))-AVERAGE(OFFSET($H$3,0,0,'Données projet'!$E$11+1,1))</f>
        <v>559.91818701710872</v>
      </c>
      <c r="BJ116" s="59">
        <f t="shared" si="92"/>
        <v>273.47272623465915</v>
      </c>
      <c r="BK116" s="15">
        <f>IF(ISNA(VLOOKUP(A116,'Données projet'!$A$87:$I$107,3,0)),0,VLOOKUP(A116,'Données projet'!$A$87:$I$107,3,0))</f>
        <v>7</v>
      </c>
      <c r="BL116" s="15">
        <f>IF(ISNA(VLOOKUP(A116,'Données projet'!$A$87:$I$107,4,0)),0,VLOOKUP(A116,'Données projet'!$A$87:$I$107,4,0))</f>
        <v>41.639999999999986</v>
      </c>
      <c r="BM116" s="16">
        <f>IF(ISNA(VLOOKUP(A116,'Données projet'!$A$87:$I$107,5,0)),0%,VLOOKUP(A116,'Données projet'!$A$87:$I$107,5,0)*VLOOKUP('Données projet'!$B$11,Paramètres!$A$1:$I$89,7,0))</f>
        <v>0.15049999999999999</v>
      </c>
      <c r="BN116" s="16">
        <f>IF(ISNA(VLOOKUP(A116,'Données projet'!$A$87:$I$107,6,0)),0%,VLOOKUP(A116,'Données projet'!$A$87:$I$107,6,0)*VLOOKUP('Données projet'!$B$11,Paramètres!$A$1:$I$89,7,0))</f>
        <v>8.6000000000000007E-2</v>
      </c>
      <c r="BO116" s="16">
        <f>IF(ISNA(VLOOKUP(A116,'Données projet'!$A$87:$I$107,7,0)),0%,VLOOKUP(A116,'Données projet'!$A$87:$I$107,7,0))</f>
        <v>0.1</v>
      </c>
      <c r="BP116" s="21">
        <f>EXP(-LN(2)/35)*BP115+(1-EXP(-LN(2)/35))/(LN(2)/35)*BL116*BM116*VLOOKUP('Données projet'!$B$11,Paramètres!$A$1:$I$89,3,0)*0.475*44/12</f>
        <v>21.281130984296624</v>
      </c>
      <c r="BQ116" s="21">
        <f>EXP(-LN(2)/25)*BQ115+(1-EXP(-LN(2)/25))/(LN(2)/25)*Calculateur!BL116*Calculateur!BN116*VLOOKUP('Données projet'!$B$11,Paramètres!$A$1:$I$89,3,0)*0.475*44/12</f>
        <v>27.143761998936192</v>
      </c>
      <c r="BR116" s="21">
        <f>EXP(-LN(2)/2)*BR115+(1-EXP(-LN(2)/2))/(LN(2)/2)*BL116*BO116*VLOOKUP('Données projet'!$B$11,Paramètres!$A$1:$I$89,3,0)*0.475*44/12</f>
        <v>4.1586641354046767</v>
      </c>
      <c r="BS116" s="22">
        <f t="shared" si="63"/>
        <v>52.583557118637493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68.02758849821798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-1.1368683772161603E-13</v>
      </c>
      <c r="BZ116" s="13">
        <f>BY116*VLOOKUP('Données projet'!$B$12,Paramètres!$A$1:$I$89,3,0)*VLOOKUP('Données projet'!$B$12,Paramètres!$A$1:$I$89,5,0)</f>
        <v>-8.8675733422860506E-14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208.92677786250815</v>
      </c>
      <c r="CE116" s="59">
        <f t="shared" si="94"/>
        <v>207.54290142772214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11.531659423620422</v>
      </c>
      <c r="CL116" s="21">
        <f>EXP(-LN(2)/25)*CL115+(1-EXP(-LN(2)/25))/(LN(2)/25)*Calculateur!CG116*Calculateur!CI116*VLOOKUP('Données projet'!$B$12,Paramètres!$A$1:$I$89,3,0)*0.475*44/12</f>
        <v>8.0124261486978359</v>
      </c>
      <c r="CM116" s="21">
        <f>EXP(-LN(2)/2)*CM115+(1-EXP(-LN(2)/2))/(LN(2)/2)*CG116*CJ116*VLOOKUP('Données projet'!$B$12,Paramètres!$A$1:$I$89,3,0)*0.475*44/12</f>
        <v>9.2854899707946127E-6</v>
      </c>
      <c r="CN116" s="22">
        <f t="shared" si="66"/>
        <v>19.544094857808229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68.02758849821798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>
        <f>VLOOKUP(A116,'Données projet'!$A$139:$I$159,2,0)</f>
        <v>391.18</v>
      </c>
      <c r="CR116" s="12">
        <f>VLOOKUP(A116,'Données projet'!$A$139:$I$159,9,0)</f>
        <v>8.7540000000000013</v>
      </c>
      <c r="CS116" s="12">
        <f t="array" ref="CS116">INDEX(CR:CR,MIN(IF(ISNUMBER(CR116:CR312),ROW(CR116:CR312),"")))</f>
        <v>8.7540000000000013</v>
      </c>
      <c r="CT116" s="12">
        <f>IF('Données projet'!$A$140&gt;35,CT115+CS116-DB115,IF(A116&lt;'Données projet'!$A$140,$CQ$205^A116,IF(A116='Données projet'!$A$140,'Données projet'!$B$140,CT115+CS116-DB115)))</f>
        <v>391.18000000000029</v>
      </c>
      <c r="CU116" s="17">
        <f>CT116*VLOOKUP('Données projet'!$B$13,Paramètres!$A$1:$I$89,3,0)*VLOOKUP('Données projet'!$B$13,Paramètres!$A$1:$I$89,5,0)</f>
        <v>372.2468880000003</v>
      </c>
      <c r="CV116" s="13">
        <f t="shared" si="95"/>
        <v>86.126818217596863</v>
      </c>
      <c r="CW116" s="20">
        <f t="shared" si="67"/>
        <v>798.33420499564829</v>
      </c>
      <c r="CX116" s="59">
        <f t="shared" si="68"/>
        <v>1084.4353628224476</v>
      </c>
      <c r="CY116" s="59">
        <f ca="1">AVERAGE(OFFSET($CX$3,0,0,'Données projet'!$E$13+1,1))-AVERAGE(OFFSET($H$3,0,0,'Données projet'!$E$13+1,1))</f>
        <v>470.42022791389275</v>
      </c>
      <c r="CZ116" s="59">
        <f t="shared" si="96"/>
        <v>300.26117330627346</v>
      </c>
      <c r="DA116" s="15">
        <f>IF(ISNA(VLOOKUP(A116,'Données projet'!$A$139:$I$159,3,0)),0,VLOOKUP(A116,'Données projet'!$A$139:$I$159,3,0))</f>
        <v>10</v>
      </c>
      <c r="DB116" s="15">
        <f>IF(ISNA(VLOOKUP(A116,'Données projet'!$A$139:$I$159,4,0)),0,VLOOKUP(A116,'Données projet'!$A$139:$I$159,4,0))</f>
        <v>68.670000000000016</v>
      </c>
      <c r="DC116" s="16">
        <f>IF(ISNA(VLOOKUP(A116,'Données projet'!$A$139:$I$159,5,0)),0%,VLOOKUP(A116,'Données projet'!$A$139:$I$159,5,0)*VLOOKUP('Données projet'!$B$13,Paramètres!$A$1:$I$89,7,0))</f>
        <v>0.1075</v>
      </c>
      <c r="DD116" s="16">
        <f>IF(ISNA(VLOOKUP(A116,'Données projet'!$A$139:$I$159,6,0)),0%,VLOOKUP(A116,'Données projet'!$A$139:$I$159,6,0)*VLOOKUP('Données projet'!$B$13,Paramètres!$A$1:$I$89,7,0))</f>
        <v>0.1075</v>
      </c>
      <c r="DE116" s="16">
        <f>IF(ISNA(VLOOKUP(A116,'Données projet'!$A$139:$I$159,7,0)),0%,VLOOKUP(A116,'Données projet'!$A$139:$I$159,7,0))</f>
        <v>0.25</v>
      </c>
      <c r="DF116" s="21">
        <f>EXP(-LN(2)/35)*DF115+(1-EXP(-LN(2)/35))/(LN(2)/35)*DB116*DC116*VLOOKUP('Données projet'!$B$13,Paramètres!$A$1:$I$89,3,0)*0.475*44/12</f>
        <v>29.682292547107181</v>
      </c>
      <c r="DG116" s="21">
        <f>EXP(-LN(2)/25)*DG115+(1-EXP(-LN(2)/25))/(LN(2)/25)*Calculateur!DB116*Calculateur!DD116*VLOOKUP('Données projet'!$B$13,Paramètres!$A$1:$I$89,3,0)*0.475*44/12</f>
        <v>27.078258355314308</v>
      </c>
      <c r="DH116" s="21">
        <f>EXP(-LN(2)/2)*DH115+(1-EXP(-LN(2)/2))/(LN(2)/2)*DB116*DE116*VLOOKUP('Données projet'!$B$13,Paramètres!$A$1:$I$89,3,0)*0.475*44/12</f>
        <v>15.904469667850778</v>
      </c>
      <c r="DI116" s="22">
        <f t="shared" si="69"/>
        <v>72.665020570272262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68.02758849821798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>
        <f>VLOOKUP(A116,'Données projet'!$A$165:$I$185,2,0)</f>
        <v>293.89999999999998</v>
      </c>
      <c r="DM116" s="12">
        <f>VLOOKUP(A116,'Données projet'!$A$165:$I$185,9,0)</f>
        <v>6.8811111111111085</v>
      </c>
      <c r="DN116" s="12">
        <f t="array" ref="DN116">INDEX(DM:DM,MIN(IF(ISNUMBER(DM116:DM312),ROW(DM116:DM312),"")))</f>
        <v>6.8811111111111085</v>
      </c>
      <c r="DO116" s="12">
        <f>IF('Données projet'!$A$166&gt;35,DO115+DN116-DW115,IF(A116&lt;'Données projet'!$A$166,$DL$205^A116,IF(A116='Données projet'!$A$166,'Données projet'!$B$166,DO115+DN116-DW115)))</f>
        <v>293.89999999999986</v>
      </c>
      <c r="DP116" s="17">
        <f>DO116*VLOOKUP('Données projet'!$B$14,Paramètres!$A$1:$I$89,3,0)*VLOOKUP('Données projet'!$B$14,Paramètres!$A$1:$I$89,5,0)</f>
        <v>284.26007999999985</v>
      </c>
      <c r="DQ116" s="13">
        <f t="shared" si="97"/>
        <v>67.866493540604594</v>
      </c>
      <c r="DR116" s="20">
        <f t="shared" si="70"/>
        <v>613.28711558321936</v>
      </c>
      <c r="DS116" s="59">
        <f t="shared" si="71"/>
        <v>899.38827341001866</v>
      </c>
      <c r="DT116" s="59">
        <f ca="1">AVERAGE(OFFSET($DS$3,0,0,'Données projet'!$E$14+1,1))-AVERAGE(OFFSET($H$3,0,0,'Données projet'!$E$14+1,1))</f>
        <v>537.37164071064103</v>
      </c>
      <c r="DU116" s="59">
        <f t="shared" si="98"/>
        <v>263.29777321132235</v>
      </c>
      <c r="DV116" s="15">
        <f>IF(ISNA(VLOOKUP(A116,'Données projet'!$A$165:$I$185,3,0)),0,VLOOKUP(A116,'Données projet'!$A$165:$I$185,3,0))</f>
        <v>7</v>
      </c>
      <c r="DW116" s="15">
        <f>IF(ISNA(VLOOKUP(A116,'Données projet'!$A$165:$I$185,4,0)),0,VLOOKUP(A116,'Données projet'!$A$165:$I$185,4,0))</f>
        <v>41.639999999999986</v>
      </c>
      <c r="DX116" s="16">
        <f>IF(ISNA(VLOOKUP(A116,'Données projet'!$A$165:$I$185,5,0)),0%,VLOOKUP(A116,'Données projet'!$A$165:$I$185,5,0)*VLOOKUP('Données projet'!$B$14,Paramètres!$A$1:$I$89,7,0))</f>
        <v>0.1075</v>
      </c>
      <c r="DY116" s="16">
        <f>IF(ISNA(VLOOKUP(A116,'Données projet'!$A$165:$I$185,6,0)),0%,VLOOKUP(A116,'Données projet'!$A$165:$I$185,6,0)*VLOOKUP('Données projet'!$B$14,Paramètres!$A$1:$I$89,7,0))</f>
        <v>0.1075</v>
      </c>
      <c r="DZ116" s="16">
        <f>IF(ISNA(VLOOKUP(A116,'Données projet'!$A$165:$I$185,7,0)),0%,VLOOKUP(A116,'Données projet'!$A$165:$I$185,7,0))</f>
        <v>0.25</v>
      </c>
      <c r="EA116" s="21">
        <f>EXP(-LN(2)/35)*EA115+(1-EXP(-LN(2)/35))/(LN(2)/35)*DW116*DX116*VLOOKUP('Données projet'!$B$14,Paramètres!$A$1:$I$89,3,0)*0.475*44/12</f>
        <v>14.499232099191104</v>
      </c>
      <c r="EB116" s="21">
        <f>EXP(-LN(2)/25)*EB115+(1-EXP(-LN(2)/25))/(LN(2)/25)*Calculateur!DW116*Calculateur!DY116*VLOOKUP('Données projet'!$B$14,Paramètres!$A$1:$I$89,3,0)*0.475*44/12</f>
        <v>18.026974071037202</v>
      </c>
      <c r="EC116" s="21">
        <f>EXP(-LN(2)/2)*EC115+(1-EXP(-LN(2)/2))/(LN(2)/2)*DW116*DZ116*VLOOKUP('Données projet'!$B$14,Paramètres!$A$1:$I$89,3,0)*0.475*44/12</f>
        <v>9.9167824582497008</v>
      </c>
      <c r="ED116" s="22">
        <f t="shared" si="72"/>
        <v>42.442988628478005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68.02758849821798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68.02758849821798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68.02758849821798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68.02758849821798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45">
      <c r="A117" s="10">
        <f t="shared" si="85"/>
        <v>114</v>
      </c>
      <c r="B117" s="73">
        <f>'Scénario référence'!$B$16*5+'Scénario référence'!$B$17*0+'Scénario référence'!$B$18*5</f>
        <v>2.8499999999999996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10.449999999999998</v>
      </c>
      <c r="H117" s="67">
        <f t="shared" si="56"/>
        <v>214.86666666666667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68.061805428122398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10.725999999999999</v>
      </c>
      <c r="N117" s="13">
        <f>IF('Données projet'!$A$36&gt;35,N116+M117-V116,IF(A117&lt;'Données projet'!$A$36,$K$205^A117,IF(A117='Données projet'!$A$36,'Données projet'!$B$36,N116+M117-V116)))</f>
        <v>500.64400000000012</v>
      </c>
      <c r="O117" s="13">
        <f>N117*VLOOKUP('Données projet'!$B$9,Paramètres!$A$1:$I$89,3,0)*VLOOKUP('Données projet'!$B$9,Paramètres!$A$1:$I$89,5,0)</f>
        <v>452.98269120000009</v>
      </c>
      <c r="P117" s="13">
        <f t="shared" si="87"/>
        <v>102.43910451319562</v>
      </c>
      <c r="Q117" s="20">
        <f t="shared" si="107"/>
        <v>967.35962753381591</v>
      </c>
      <c r="R117" s="59">
        <f t="shared" si="55"/>
        <v>1253.5862474369314</v>
      </c>
      <c r="S117" s="59">
        <f ca="1">AVERAGE(OFFSET($R$3,0,0,'Données projet'!$E$9+1,1))-AVERAGE(OFFSET($H$3,0,0,'Données projet'!$E$9+1,1))</f>
        <v>719.20816951277925</v>
      </c>
      <c r="T117" s="59">
        <f t="shared" si="88"/>
        <v>237.1127421841087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53.635260556493805</v>
      </c>
      <c r="AA117" s="21">
        <f>EXP(-LN(2)/25)*AA116+(1-EXP(-LN(2)/25))/(LN(2)/25)*Calculateur!V117*Calculateur!X117*VLOOKUP('Données projet'!$B$9,Paramètres!$A$1:$I$89,3,0)*0.475*44/12</f>
        <v>29.335607163981585</v>
      </c>
      <c r="AB117" s="21">
        <f>EXP(-LN(2)/2)*AB116+(1-EXP(-LN(2)/2))/(LN(2)/2)*V117*Y117*VLOOKUP('Données projet'!$B$9,Paramètres!$A$1:$I$89,3,0)*0.475*44/12</f>
        <v>1.5108142646363784E-3</v>
      </c>
      <c r="AC117" s="22">
        <f t="shared" si="57"/>
        <v>82.972378534740017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68.061805428122398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5.6843418860808015E-14</v>
      </c>
      <c r="AJ117" s="13">
        <f>AI117*VLOOKUP('Données projet'!$B$10,Paramètres!$A$1:$I$89,3,0)*VLOOKUP('Données projet'!$B$10,Paramètres!$A$1:$I$89,5,0)</f>
        <v>4.7884896048344674E-14</v>
      </c>
      <c r="AK117" s="13">
        <f t="shared" si="89"/>
        <v>7.8374629847779921E-13</v>
      </c>
      <c r="AL117" s="20">
        <f t="shared" si="58"/>
        <v>1.4484243304663672E-12</v>
      </c>
      <c r="AM117" s="59">
        <f t="shared" si="59"/>
        <v>286.2266199031169</v>
      </c>
      <c r="AN117" s="59">
        <f ca="1">AVERAGE(OFFSET($AM$3,0,0,'Données projet'!$E$10+1,1))-AVERAGE(OFFSET($H$3,0,0,'Données projet'!$E$10+1,1))</f>
        <v>442.79037205372367</v>
      </c>
      <c r="AO117" s="59">
        <f t="shared" si="90"/>
        <v>288.23553637727969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104.41602464071342</v>
      </c>
      <c r="AV117" s="21">
        <f>EXP(-LN(2)/25)*AV116+(1-EXP(-LN(2)/25))/(LN(2)/25)*Calculateur!AQ117*Calculateur!AS117*VLOOKUP('Données projet'!$B$10,Paramètres!$A$1:$I$89,3,0)*0.475*44/12</f>
        <v>22.413790394657546</v>
      </c>
      <c r="AW117" s="21">
        <f>EXP(-LN(2)/2)*AW116+(1-EXP(-LN(2)/2))/(LN(2)/2)*AQ117*AT117*VLOOKUP('Données projet'!$B$10,Paramètres!$A$1:$I$89,3,0)*0.475*44/12</f>
        <v>0.46393897031008036</v>
      </c>
      <c r="AX117" s="21">
        <f t="shared" si="60"/>
        <v>127.29375400568104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68.061805428122398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7.0011111111111104</v>
      </c>
      <c r="BD117" s="12">
        <f>IF('Données projet'!$A$88&gt;35,BD116+BC117-BL116,IF(A117&lt;'Données projet'!$A$88,$BA$205^A117,IF(A117='Données projet'!$A$88,'Données projet'!$B$88,BD116+BC117-BL116)))</f>
        <v>259.26111111111101</v>
      </c>
      <c r="BE117" s="13">
        <f>BD117*VLOOKUP('Données projet'!$B$11,Paramètres!$A$1:$I$89,3,0)*VLOOKUP('Données projet'!$B$11,Paramètres!$A$1:$I$89,5,0)</f>
        <v>262.89076666666659</v>
      </c>
      <c r="BF117" s="13">
        <f t="shared" si="91"/>
        <v>63.338175499546331</v>
      </c>
      <c r="BG117" s="20">
        <f t="shared" si="61"/>
        <v>568.18207427282073</v>
      </c>
      <c r="BH117" s="59">
        <f t="shared" si="62"/>
        <v>854.40869417593626</v>
      </c>
      <c r="BI117" s="59">
        <f ca="1">AVERAGE(OFFSET($BH$3,0,0,'Données projet'!$E$11+1,1))-AVERAGE(OFFSET($H$3,0,0,'Données projet'!$E$11+1,1))</f>
        <v>559.91818701710872</v>
      </c>
      <c r="BJ117" s="59">
        <f t="shared" si="92"/>
        <v>273.47272623465915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20.863820985902777</v>
      </c>
      <c r="BQ117" s="21">
        <f>EXP(-LN(2)/25)*BQ116+(1-EXP(-LN(2)/25))/(LN(2)/25)*Calculateur!BL117*Calculateur!BN117*VLOOKUP('Données projet'!$B$11,Paramètres!$A$1:$I$89,3,0)*0.475*44/12</f>
        <v>26.401514399646878</v>
      </c>
      <c r="BR117" s="21">
        <f>EXP(-LN(2)/2)*BR116+(1-EXP(-LN(2)/2))/(LN(2)/2)*BL117*BO117*VLOOKUP('Données projet'!$B$11,Paramètres!$A$1:$I$89,3,0)*0.475*44/12</f>
        <v>2.9406196108219378</v>
      </c>
      <c r="BS117" s="22">
        <f t="shared" si="63"/>
        <v>50.205954996371595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68.061805428122398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-1.1368683772161603E-13</v>
      </c>
      <c r="BZ117" s="13">
        <f>BY117*VLOOKUP('Données projet'!$B$12,Paramètres!$A$1:$I$89,3,0)*VLOOKUP('Données projet'!$B$12,Paramètres!$A$1:$I$89,5,0)</f>
        <v>-8.8675733422860506E-14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208.92677786250815</v>
      </c>
      <c r="CE117" s="59">
        <f t="shared" si="94"/>
        <v>207.54290142772214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11.305530615940961</v>
      </c>
      <c r="CL117" s="21">
        <f>EXP(-LN(2)/25)*CL116+(1-EXP(-LN(2)/25))/(LN(2)/25)*Calculateur!CG117*Calculateur!CI117*VLOOKUP('Données projet'!$B$12,Paramètres!$A$1:$I$89,3,0)*0.475*44/12</f>
        <v>7.7933259343065151</v>
      </c>
      <c r="CM117" s="21">
        <f>EXP(-LN(2)/2)*CM116+(1-EXP(-LN(2)/2))/(LN(2)/2)*CG117*CJ117*VLOOKUP('Données projet'!$B$12,Paramètres!$A$1:$I$89,3,0)*0.475*44/12</f>
        <v>6.5658329249885479E-6</v>
      </c>
      <c r="CN117" s="22">
        <f t="shared" si="66"/>
        <v>19.098863116080402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68.061805428122398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8.7019999999999982</v>
      </c>
      <c r="CT117" s="12">
        <f>IF('Données projet'!$A$140&gt;35,CT116+CS117-DB116,IF(A117&lt;'Données projet'!$A$140,$CQ$205^A117,IF(A117='Données projet'!$A$140,'Données projet'!$B$140,CT116+CS117-DB116)))</f>
        <v>331.21200000000027</v>
      </c>
      <c r="CU117" s="17">
        <f>CT117*VLOOKUP('Données projet'!$B$13,Paramètres!$A$1:$I$89,3,0)*VLOOKUP('Données projet'!$B$13,Paramètres!$A$1:$I$89,5,0)</f>
        <v>315.18133920000031</v>
      </c>
      <c r="CV117" s="13">
        <f t="shared" si="95"/>
        <v>74.349853920870757</v>
      </c>
      <c r="CW117" s="20">
        <f t="shared" si="67"/>
        <v>678.43349468551708</v>
      </c>
      <c r="CX117" s="59">
        <f t="shared" si="68"/>
        <v>964.6601145886325</v>
      </c>
      <c r="CY117" s="59">
        <f ca="1">AVERAGE(OFFSET($CX$3,0,0,'Données projet'!$E$13+1,1))-AVERAGE(OFFSET($H$3,0,0,'Données projet'!$E$13+1,1))</f>
        <v>470.42022791389275</v>
      </c>
      <c r="CZ117" s="59">
        <f t="shared" si="96"/>
        <v>300.26117330627346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29.100240894669202</v>
      </c>
      <c r="DG117" s="21">
        <f>EXP(-LN(2)/25)*DG116+(1-EXP(-LN(2)/25))/(LN(2)/25)*Calculateur!DB117*Calculateur!DD117*VLOOKUP('Données projet'!$B$13,Paramètres!$A$1:$I$89,3,0)*0.475*44/12</f>
        <v>26.337801956604519</v>
      </c>
      <c r="DH117" s="21">
        <f>EXP(-LN(2)/2)*DH116+(1-EXP(-LN(2)/2))/(LN(2)/2)*DB117*DE117*VLOOKUP('Données projet'!$B$13,Paramètres!$A$1:$I$89,3,0)*0.475*44/12</f>
        <v>11.246158353313042</v>
      </c>
      <c r="DI117" s="22">
        <f t="shared" si="69"/>
        <v>66.68420120458677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68.061805428122398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7.0011111111111104</v>
      </c>
      <c r="DO117" s="12">
        <f>IF('Données projet'!$A$166&gt;35,DO116+DN117-DW116,IF(A117&lt;'Données projet'!$A$166,$DL$205^A117,IF(A117='Données projet'!$A$166,'Données projet'!$B$166,DO116+DN117-DW116)))</f>
        <v>259.26111111111101</v>
      </c>
      <c r="DP117" s="17">
        <f>DO117*VLOOKUP('Données projet'!$B$14,Paramètres!$A$1:$I$89,3,0)*VLOOKUP('Données projet'!$B$14,Paramètres!$A$1:$I$89,5,0)</f>
        <v>250.75734666666656</v>
      </c>
      <c r="DQ117" s="13">
        <f t="shared" si="97"/>
        <v>60.748086681617018</v>
      </c>
      <c r="DR117" s="20">
        <f t="shared" si="70"/>
        <v>542.53862974826052</v>
      </c>
      <c r="DS117" s="59">
        <f t="shared" si="71"/>
        <v>828.76524965137605</v>
      </c>
      <c r="DT117" s="59">
        <f ca="1">AVERAGE(OFFSET($DS$3,0,0,'Données projet'!$E$14+1,1))-AVERAGE(OFFSET($H$3,0,0,'Données projet'!$E$14+1,1))</f>
        <v>537.37164071064103</v>
      </c>
      <c r="DU117" s="59">
        <f t="shared" si="98"/>
        <v>263.29777321132235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14.214911001384309</v>
      </c>
      <c r="EB117" s="21">
        <f>EXP(-LN(2)/25)*EB116+(1-EXP(-LN(2)/25))/(LN(2)/25)*Calculateur!DW117*Calculateur!DY117*VLOOKUP('Données projet'!$B$14,Paramètres!$A$1:$I$89,3,0)*0.475*44/12</f>
        <v>17.534025517067324</v>
      </c>
      <c r="EC117" s="21">
        <f>EXP(-LN(2)/2)*EC116+(1-EXP(-LN(2)/2))/(LN(2)/2)*DW117*DZ117*VLOOKUP('Données projet'!$B$14,Paramètres!$A$1:$I$89,3,0)*0.475*44/12</f>
        <v>7.0122241237801646</v>
      </c>
      <c r="ED117" s="22">
        <f t="shared" si="72"/>
        <v>38.7611606422318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68.061805428122398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68.061805428122398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68.061805428122398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68.061805428122398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45">
      <c r="A118" s="10">
        <f t="shared" si="85"/>
        <v>115</v>
      </c>
      <c r="B118" s="73">
        <f>'Scénario référence'!$B$16*5+'Scénario référence'!$B$17*0+'Scénario référence'!$B$18*5</f>
        <v>2.8499999999999996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10.449999999999998</v>
      </c>
      <c r="H118" s="67">
        <f t="shared" si="56"/>
        <v>214.86666666666667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68.095428770790562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10.725999999999999</v>
      </c>
      <c r="N118" s="13">
        <f>IF('Données projet'!$A$36&gt;35,N117+M118-V117,IF(A118&lt;'Données projet'!$A$36,$K$205^A118,IF(A118='Données projet'!$A$36,'Données projet'!$B$36,N117+M118-V117)))</f>
        <v>511.37000000000012</v>
      </c>
      <c r="O118" s="13">
        <f>N118*VLOOKUP('Données projet'!$B$9,Paramètres!$A$1:$I$89,3,0)*VLOOKUP('Données projet'!$B$9,Paramètres!$A$1:$I$89,5,0)</f>
        <v>462.68757600000015</v>
      </c>
      <c r="P118" s="13">
        <f t="shared" si="87"/>
        <v>104.37593972520772</v>
      </c>
      <c r="Q118" s="20">
        <f t="shared" si="107"/>
        <v>987.63562322140353</v>
      </c>
      <c r="R118" s="59">
        <f t="shared" si="55"/>
        <v>1273.9855287143023</v>
      </c>
      <c r="S118" s="59">
        <f ca="1">AVERAGE(OFFSET($R$3,0,0,'Données projet'!$E$9+1,1))-AVERAGE(OFFSET($H$3,0,0,'Données projet'!$E$9+1,1))</f>
        <v>719.20816951277925</v>
      </c>
      <c r="T118" s="59">
        <f t="shared" si="88"/>
        <v>237.1127421841087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52.583505811259634</v>
      </c>
      <c r="AA118" s="21">
        <f>EXP(-LN(2)/25)*AA117+(1-EXP(-LN(2)/25))/(LN(2)/25)*Calculateur!V118*Calculateur!X118*VLOOKUP('Données projet'!$B$9,Paramètres!$A$1:$I$89,3,0)*0.475*44/12</f>
        <v>28.533423443389974</v>
      </c>
      <c r="AB118" s="21">
        <f>EXP(-LN(2)/2)*AB117+(1-EXP(-LN(2)/2))/(LN(2)/2)*V118*Y118*VLOOKUP('Données projet'!$B$9,Paramètres!$A$1:$I$89,3,0)*0.475*44/12</f>
        <v>1.0683070116377503E-3</v>
      </c>
      <c r="AC118" s="22">
        <f t="shared" si="57"/>
        <v>81.117997561661241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68.095428770790562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5.6843418860808015E-14</v>
      </c>
      <c r="AJ118" s="13">
        <f>AI118*VLOOKUP('Données projet'!$B$10,Paramètres!$A$1:$I$89,3,0)*VLOOKUP('Données projet'!$B$10,Paramètres!$A$1:$I$89,5,0)</f>
        <v>4.7884896048344674E-14</v>
      </c>
      <c r="AK118" s="13">
        <f t="shared" si="89"/>
        <v>7.8374629847779921E-13</v>
      </c>
      <c r="AL118" s="20">
        <f t="shared" si="58"/>
        <v>1.4484243304663672E-12</v>
      </c>
      <c r="AM118" s="59">
        <f t="shared" si="59"/>
        <v>286.34990549290012</v>
      </c>
      <c r="AN118" s="59">
        <f ca="1">AVERAGE(OFFSET($AM$3,0,0,'Données projet'!$E$10+1,1))-AVERAGE(OFFSET($H$3,0,0,'Données projet'!$E$10+1,1))</f>
        <v>442.79037205372367</v>
      </c>
      <c r="AO118" s="59">
        <f t="shared" si="90"/>
        <v>288.23553637727969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102.36849008499544</v>
      </c>
      <c r="AV118" s="21">
        <f>EXP(-LN(2)/25)*AV117+(1-EXP(-LN(2)/25))/(LN(2)/25)*Calculateur!AQ118*Calculateur!AS118*VLOOKUP('Données projet'!$B$10,Paramètres!$A$1:$I$89,3,0)*0.475*44/12</f>
        <v>21.800884117625625</v>
      </c>
      <c r="AW118" s="21">
        <f>EXP(-LN(2)/2)*AW117+(1-EXP(-LN(2)/2))/(LN(2)/2)*AQ118*AT118*VLOOKUP('Données projet'!$B$10,Paramètres!$A$1:$I$89,3,0)*0.475*44/12</f>
        <v>0.32805439196296216</v>
      </c>
      <c r="AX118" s="21">
        <f t="shared" si="60"/>
        <v>124.49742859458404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68.095428770790562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7.0011111111111104</v>
      </c>
      <c r="BD118" s="12">
        <f>IF('Données projet'!$A$88&gt;35,BD117+BC118-BL117,IF(A118&lt;'Données projet'!$A$88,$BA$205^A118,IF(A118='Données projet'!$A$88,'Données projet'!$B$88,BD117+BC118-BL117)))</f>
        <v>266.26222222222214</v>
      </c>
      <c r="BE118" s="13">
        <f>BD118*VLOOKUP('Données projet'!$B$11,Paramètres!$A$1:$I$89,3,0)*VLOOKUP('Données projet'!$B$11,Paramètres!$A$1:$I$89,5,0)</f>
        <v>269.98989333333327</v>
      </c>
      <c r="BF118" s="13">
        <f t="shared" si="91"/>
        <v>64.847124393424096</v>
      </c>
      <c r="BG118" s="20">
        <f t="shared" si="61"/>
        <v>583.1744725407691</v>
      </c>
      <c r="BH118" s="59">
        <f t="shared" si="62"/>
        <v>869.52437803366774</v>
      </c>
      <c r="BI118" s="59">
        <f ca="1">AVERAGE(OFFSET($BH$3,0,0,'Données projet'!$E$11+1,1))-AVERAGE(OFFSET($H$3,0,0,'Données projet'!$E$11+1,1))</f>
        <v>559.91818701710872</v>
      </c>
      <c r="BJ118" s="59">
        <f t="shared" si="92"/>
        <v>273.47272623465915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20.454694182043468</v>
      </c>
      <c r="BQ118" s="21">
        <f>EXP(-LN(2)/25)*BQ117+(1-EXP(-LN(2)/25))/(LN(2)/25)*Calculateur!BL118*Calculateur!BN118*VLOOKUP('Données projet'!$B$11,Paramètres!$A$1:$I$89,3,0)*0.475*44/12</f>
        <v>25.679563599993234</v>
      </c>
      <c r="BR118" s="21">
        <f>EXP(-LN(2)/2)*BR117+(1-EXP(-LN(2)/2))/(LN(2)/2)*BL118*BO118*VLOOKUP('Données projet'!$B$11,Paramètres!$A$1:$I$89,3,0)*0.475*44/12</f>
        <v>2.0793320677023388</v>
      </c>
      <c r="BS118" s="22">
        <f t="shared" si="63"/>
        <v>48.213589849739037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68.095428770790562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-1.1368683772161603E-13</v>
      </c>
      <c r="BZ118" s="13">
        <f>BY118*VLOOKUP('Données projet'!$B$12,Paramètres!$A$1:$I$89,3,0)*VLOOKUP('Données projet'!$B$12,Paramètres!$A$1:$I$89,5,0)</f>
        <v>-8.8675733422860506E-14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208.92677786250815</v>
      </c>
      <c r="CE118" s="59">
        <f t="shared" si="94"/>
        <v>207.54290142772214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11.083836056255143</v>
      </c>
      <c r="CL118" s="21">
        <f>EXP(-LN(2)/25)*CL117+(1-EXP(-LN(2)/25))/(LN(2)/25)*Calculateur!CG118*Calculateur!CI118*VLOOKUP('Données projet'!$B$12,Paramètres!$A$1:$I$89,3,0)*0.475*44/12</f>
        <v>7.5802170267997049</v>
      </c>
      <c r="CM118" s="21">
        <f>EXP(-LN(2)/2)*CM117+(1-EXP(-LN(2)/2))/(LN(2)/2)*CG118*CJ118*VLOOKUP('Données projet'!$B$12,Paramètres!$A$1:$I$89,3,0)*0.475*44/12</f>
        <v>4.6427449853973064E-6</v>
      </c>
      <c r="CN118" s="22">
        <f t="shared" si="66"/>
        <v>18.664057725799832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68.095428770790562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8.7019999999999982</v>
      </c>
      <c r="CT118" s="12">
        <f>IF('Données projet'!$A$140&gt;35,CT117+CS118-DB117,IF(A118&lt;'Données projet'!$A$140,$CQ$205^A118,IF(A118='Données projet'!$A$140,'Données projet'!$B$140,CT117+CS118-DB117)))</f>
        <v>339.91400000000027</v>
      </c>
      <c r="CU118" s="17">
        <f>CT118*VLOOKUP('Données projet'!$B$13,Paramètres!$A$1:$I$89,3,0)*VLOOKUP('Données projet'!$B$13,Paramètres!$A$1:$I$89,5,0)</f>
        <v>323.46216240000024</v>
      </c>
      <c r="CV118" s="13">
        <f t="shared" si="95"/>
        <v>76.073272094226141</v>
      </c>
      <c r="CW118" s="20">
        <f t="shared" si="67"/>
        <v>695.85754841077744</v>
      </c>
      <c r="CX118" s="59">
        <f t="shared" si="68"/>
        <v>982.2074539036762</v>
      </c>
      <c r="CY118" s="59">
        <f ca="1">AVERAGE(OFFSET($CX$3,0,0,'Données projet'!$E$13+1,1))-AVERAGE(OFFSET($H$3,0,0,'Données projet'!$E$13+1,1))</f>
        <v>470.42022791389275</v>
      </c>
      <c r="CZ118" s="59">
        <f t="shared" si="96"/>
        <v>300.26117330627346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28.529602920119078</v>
      </c>
      <c r="DG118" s="21">
        <f>EXP(-LN(2)/25)*DG117+(1-EXP(-LN(2)/25))/(LN(2)/25)*Calculateur!DB118*Calculateur!DD118*VLOOKUP('Données projet'!$B$13,Paramètres!$A$1:$I$89,3,0)*0.475*44/12</f>
        <v>25.617593377056359</v>
      </c>
      <c r="DH118" s="21">
        <f>EXP(-LN(2)/2)*DH117+(1-EXP(-LN(2)/2))/(LN(2)/2)*DB118*DE118*VLOOKUP('Données projet'!$B$13,Paramètres!$A$1:$I$89,3,0)*0.475*44/12</f>
        <v>7.9522348339253899</v>
      </c>
      <c r="DI118" s="22">
        <f t="shared" si="69"/>
        <v>62.099431131100829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68.095428770790562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7.0011111111111104</v>
      </c>
      <c r="DO118" s="12">
        <f>IF('Données projet'!$A$166&gt;35,DO117+DN118-DW117,IF(A118&lt;'Données projet'!$A$166,$DL$205^A118,IF(A118='Données projet'!$A$166,'Données projet'!$B$166,DO117+DN118-DW117)))</f>
        <v>266.26222222222214</v>
      </c>
      <c r="DP118" s="17">
        <f>DO118*VLOOKUP('Données projet'!$B$14,Paramètres!$A$1:$I$89,3,0)*VLOOKUP('Données projet'!$B$14,Paramètres!$A$1:$I$89,5,0)</f>
        <v>257.52882133333327</v>
      </c>
      <c r="DQ118" s="13">
        <f t="shared" si="97"/>
        <v>62.195330109146276</v>
      </c>
      <c r="DR118" s="20">
        <f t="shared" si="70"/>
        <v>556.85289709565188</v>
      </c>
      <c r="DS118" s="59">
        <f t="shared" si="71"/>
        <v>843.20280258855064</v>
      </c>
      <c r="DT118" s="59">
        <f ca="1">AVERAGE(OFFSET($DS$3,0,0,'Données projet'!$E$14+1,1))-AVERAGE(OFFSET($H$3,0,0,'Données projet'!$E$14+1,1))</f>
        <v>537.37164071064103</v>
      </c>
      <c r="DU118" s="59">
        <f t="shared" si="98"/>
        <v>263.29777321132235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13.936165266886759</v>
      </c>
      <c r="EB118" s="21">
        <f>EXP(-LN(2)/25)*EB117+(1-EXP(-LN(2)/25))/(LN(2)/25)*Calculateur!DW118*Calculateur!DY118*VLOOKUP('Données projet'!$B$14,Paramètres!$A$1:$I$89,3,0)*0.475*44/12</f>
        <v>17.054556667228791</v>
      </c>
      <c r="EC118" s="21">
        <f>EXP(-LN(2)/2)*EC117+(1-EXP(-LN(2)/2))/(LN(2)/2)*DW118*DZ118*VLOOKUP('Données projet'!$B$14,Paramètres!$A$1:$I$89,3,0)*0.475*44/12</f>
        <v>4.9583912291248513</v>
      </c>
      <c r="ED118" s="22">
        <f t="shared" si="72"/>
        <v>35.949113163240398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68.095428770790562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68.095428770790562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68.095428770790562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68.095428770790562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45">
      <c r="A119" s="10">
        <f t="shared" si="85"/>
        <v>116</v>
      </c>
      <c r="B119" s="73">
        <f>'Scénario référence'!$B$16*5+'Scénario référence'!$B$17*0+'Scénario référence'!$B$18*5</f>
        <v>2.8499999999999996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10.449999999999998</v>
      </c>
      <c r="H119" s="67">
        <f t="shared" si="56"/>
        <v>214.86666666666667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68.128468823633966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10.725999999999999</v>
      </c>
      <c r="N119" s="13">
        <f>IF('Données projet'!$A$36&gt;35,N118+M119-V118,IF(A119&lt;'Données projet'!$A$36,$K$205^A119,IF(A119='Données projet'!$A$36,'Données projet'!$B$36,N118+M119-V118)))</f>
        <v>522.09600000000012</v>
      </c>
      <c r="O119" s="13">
        <f>N119*VLOOKUP('Données projet'!$B$9,Paramètres!$A$1:$I$89,3,0)*VLOOKUP('Données projet'!$B$9,Paramètres!$A$1:$I$89,5,0)</f>
        <v>472.39246080000009</v>
      </c>
      <c r="P119" s="13">
        <f t="shared" si="87"/>
        <v>106.30805156897928</v>
      </c>
      <c r="Q119" s="20">
        <f t="shared" si="107"/>
        <v>1007.9033923759724</v>
      </c>
      <c r="R119" s="59">
        <f t="shared" si="55"/>
        <v>1294.374444729297</v>
      </c>
      <c r="S119" s="59">
        <f ca="1">AVERAGE(OFFSET($R$3,0,0,'Données projet'!$E$9+1,1))-AVERAGE(OFFSET($H$3,0,0,'Données projet'!$E$9+1,1))</f>
        <v>719.20816951277925</v>
      </c>
      <c r="T119" s="59">
        <f t="shared" si="88"/>
        <v>237.1127421841087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51.552375335072455</v>
      </c>
      <c r="AA119" s="21">
        <f>EXP(-LN(2)/25)*AA118+(1-EXP(-LN(2)/25))/(LN(2)/25)*Calculateur!V119*Calculateur!X119*VLOOKUP('Données projet'!$B$9,Paramètres!$A$1:$I$89,3,0)*0.475*44/12</f>
        <v>27.75317547882295</v>
      </c>
      <c r="AB119" s="21">
        <f>EXP(-LN(2)/2)*AB118+(1-EXP(-LN(2)/2))/(LN(2)/2)*V119*Y119*VLOOKUP('Données projet'!$B$9,Paramètres!$A$1:$I$89,3,0)*0.475*44/12</f>
        <v>7.5540713231818921E-4</v>
      </c>
      <c r="AC119" s="22">
        <f t="shared" si="57"/>
        <v>79.306306221027725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68.128468823633966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5.6843418860808015E-14</v>
      </c>
      <c r="AJ119" s="13">
        <f>AI119*VLOOKUP('Données projet'!$B$10,Paramètres!$A$1:$I$89,3,0)*VLOOKUP('Données projet'!$B$10,Paramètres!$A$1:$I$89,5,0)</f>
        <v>4.7884896048344674E-14</v>
      </c>
      <c r="AK119" s="13">
        <f t="shared" si="89"/>
        <v>7.8374629847779921E-13</v>
      </c>
      <c r="AL119" s="20">
        <f t="shared" si="58"/>
        <v>1.4484243304663672E-12</v>
      </c>
      <c r="AM119" s="59">
        <f t="shared" si="59"/>
        <v>286.47105235332594</v>
      </c>
      <c r="AN119" s="59">
        <f ca="1">AVERAGE(OFFSET($AM$3,0,0,'Données projet'!$E$10+1,1))-AVERAGE(OFFSET($H$3,0,0,'Données projet'!$E$10+1,1))</f>
        <v>442.79037205372367</v>
      </c>
      <c r="AO119" s="59">
        <f t="shared" si="90"/>
        <v>288.23553637727969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100.36110643304234</v>
      </c>
      <c r="AV119" s="21">
        <f>EXP(-LN(2)/25)*AV118+(1-EXP(-LN(2)/25))/(LN(2)/25)*Calculateur!AQ119*Calculateur!AS119*VLOOKUP('Données projet'!$B$10,Paramètres!$A$1:$I$89,3,0)*0.475*44/12</f>
        <v>21.204737794970484</v>
      </c>
      <c r="AW119" s="21">
        <f>EXP(-LN(2)/2)*AW118+(1-EXP(-LN(2)/2))/(LN(2)/2)*AQ119*AT119*VLOOKUP('Données projet'!$B$10,Paramètres!$A$1:$I$89,3,0)*0.475*44/12</f>
        <v>0.23196948515504018</v>
      </c>
      <c r="AX119" s="21">
        <f t="shared" si="60"/>
        <v>121.79781371316786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68.128468823633966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7.0011111111111104</v>
      </c>
      <c r="BD119" s="12">
        <f>IF('Données projet'!$A$88&gt;35,BD118+BC119-BL118,IF(A119&lt;'Données projet'!$A$88,$BA$205^A119,IF(A119='Données projet'!$A$88,'Données projet'!$B$88,BD118+BC119-BL118)))</f>
        <v>273.26333333333326</v>
      </c>
      <c r="BE119" s="13">
        <f>BD119*VLOOKUP('Données projet'!$B$11,Paramètres!$A$1:$I$89,3,0)*VLOOKUP('Données projet'!$B$11,Paramètres!$A$1:$I$89,5,0)</f>
        <v>277.08901999999995</v>
      </c>
      <c r="BF119" s="13">
        <f t="shared" si="91"/>
        <v>66.351461456355509</v>
      </c>
      <c r="BG119" s="20">
        <f t="shared" si="61"/>
        <v>598.15883853648563</v>
      </c>
      <c r="BH119" s="59">
        <f t="shared" si="62"/>
        <v>884.62989088981021</v>
      </c>
      <c r="BI119" s="59">
        <f ca="1">AVERAGE(OFFSET($BH$3,0,0,'Données projet'!$E$11+1,1))-AVERAGE(OFFSET($H$3,0,0,'Données projet'!$E$11+1,1))</f>
        <v>559.91818701710872</v>
      </c>
      <c r="BJ119" s="59">
        <f t="shared" si="92"/>
        <v>273.47272623465915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20.05359010526513</v>
      </c>
      <c r="BQ119" s="21">
        <f>EXP(-LN(2)/25)*BQ118+(1-EXP(-LN(2)/25))/(LN(2)/25)*Calculateur!BL119*Calculateur!BN119*VLOOKUP('Données projet'!$B$11,Paramètres!$A$1:$I$89,3,0)*0.475*44/12</f>
        <v>24.977354582921862</v>
      </c>
      <c r="BR119" s="21">
        <f>EXP(-LN(2)/2)*BR118+(1-EXP(-LN(2)/2))/(LN(2)/2)*BL119*BO119*VLOOKUP('Données projet'!$B$11,Paramètres!$A$1:$I$89,3,0)*0.475*44/12</f>
        <v>1.4703098054109691</v>
      </c>
      <c r="BS119" s="22">
        <f t="shared" si="63"/>
        <v>46.501254493597962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68.128468823633966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-1.1368683772161603E-13</v>
      </c>
      <c r="BZ119" s="13">
        <f>BY119*VLOOKUP('Données projet'!$B$12,Paramètres!$A$1:$I$89,3,0)*VLOOKUP('Données projet'!$B$12,Paramètres!$A$1:$I$89,5,0)</f>
        <v>-8.8675733422860506E-14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208.92677786250815</v>
      </c>
      <c r="CE119" s="59">
        <f t="shared" si="94"/>
        <v>207.54290142772214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10.866488791664432</v>
      </c>
      <c r="CL119" s="21">
        <f>EXP(-LN(2)/25)*CL118+(1-EXP(-LN(2)/25))/(LN(2)/25)*Calculateur!CG119*Calculateur!CI119*VLOOKUP('Données projet'!$B$12,Paramètres!$A$1:$I$89,3,0)*0.475*44/12</f>
        <v>7.372935593575578</v>
      </c>
      <c r="CM119" s="21">
        <f>EXP(-LN(2)/2)*CM118+(1-EXP(-LN(2)/2))/(LN(2)/2)*CG119*CJ119*VLOOKUP('Données projet'!$B$12,Paramètres!$A$1:$I$89,3,0)*0.475*44/12</f>
        <v>3.2829164624942739E-6</v>
      </c>
      <c r="CN119" s="22">
        <f t="shared" si="66"/>
        <v>18.239427668156473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68.128468823633966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8.7019999999999982</v>
      </c>
      <c r="CT119" s="12">
        <f>IF('Données projet'!$A$140&gt;35,CT118+CS119-DB118,IF(A119&lt;'Données projet'!$A$140,$CQ$205^A119,IF(A119='Données projet'!$A$140,'Données projet'!$B$140,CT118+CS119-DB118)))</f>
        <v>348.61600000000027</v>
      </c>
      <c r="CU119" s="17">
        <f>CT119*VLOOKUP('Données projet'!$B$13,Paramètres!$A$1:$I$89,3,0)*VLOOKUP('Données projet'!$B$13,Paramètres!$A$1:$I$89,5,0)</f>
        <v>331.74298560000028</v>
      </c>
      <c r="CV119" s="13">
        <f t="shared" si="95"/>
        <v>77.791561690435074</v>
      </c>
      <c r="CW119" s="20">
        <f t="shared" si="67"/>
        <v>713.27266986417487</v>
      </c>
      <c r="CX119" s="59">
        <f t="shared" si="68"/>
        <v>999.74372221749945</v>
      </c>
      <c r="CY119" s="59">
        <f ca="1">AVERAGE(OFFSET($CX$3,0,0,'Données projet'!$E$13+1,1))-AVERAGE(OFFSET($H$3,0,0,'Données projet'!$E$13+1,1))</f>
        <v>470.42022791389275</v>
      </c>
      <c r="CZ119" s="59">
        <f t="shared" si="96"/>
        <v>300.26117330627346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27.970154808195083</v>
      </c>
      <c r="DG119" s="21">
        <f>EXP(-LN(2)/25)*DG118+(1-EXP(-LN(2)/25))/(LN(2)/25)*Calculateur!DB119*Calculateur!DD119*VLOOKUP('Données projet'!$B$13,Paramètres!$A$1:$I$89,3,0)*0.475*44/12</f>
        <v>24.917078938990066</v>
      </c>
      <c r="DH119" s="21">
        <f>EXP(-LN(2)/2)*DH118+(1-EXP(-LN(2)/2))/(LN(2)/2)*DB119*DE119*VLOOKUP('Données projet'!$B$13,Paramètres!$A$1:$I$89,3,0)*0.475*44/12</f>
        <v>5.623079176656522</v>
      </c>
      <c r="DI119" s="22">
        <f t="shared" si="69"/>
        <v>58.510312923841674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68.128468823633966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7.0011111111111104</v>
      </c>
      <c r="DO119" s="12">
        <f>IF('Données projet'!$A$166&gt;35,DO118+DN119-DW118,IF(A119&lt;'Données projet'!$A$166,$DL$205^A119,IF(A119='Données projet'!$A$166,'Données projet'!$B$166,DO118+DN119-DW118)))</f>
        <v>273.26333333333326</v>
      </c>
      <c r="DP119" s="17">
        <f>DO119*VLOOKUP('Données projet'!$B$14,Paramètres!$A$1:$I$89,3,0)*VLOOKUP('Données projet'!$B$14,Paramètres!$A$1:$I$89,5,0)</f>
        <v>264.30029599999995</v>
      </c>
      <c r="DQ119" s="13">
        <f t="shared" si="97"/>
        <v>63.638150297391014</v>
      </c>
      <c r="DR119" s="20">
        <f t="shared" si="70"/>
        <v>571.15946063462252</v>
      </c>
      <c r="DS119" s="59">
        <f t="shared" si="71"/>
        <v>857.63051298794699</v>
      </c>
      <c r="DT119" s="59">
        <f ca="1">AVERAGE(OFFSET($DS$3,0,0,'Données projet'!$E$14+1,1))-AVERAGE(OFFSET($H$3,0,0,'Données projet'!$E$14+1,1))</f>
        <v>537.37164071064103</v>
      </c>
      <c r="DU119" s="59">
        <f t="shared" si="98"/>
        <v>263.29777321132235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13.662885566224595</v>
      </c>
      <c r="EB119" s="21">
        <f>EXP(-LN(2)/25)*EB118+(1-EXP(-LN(2)/25))/(LN(2)/25)*Calculateur!DW119*Calculateur!DY119*VLOOKUP('Données projet'!$B$14,Paramètres!$A$1:$I$89,3,0)*0.475*44/12</f>
        <v>16.588198918303263</v>
      </c>
      <c r="EC119" s="21">
        <f>EXP(-LN(2)/2)*EC118+(1-EXP(-LN(2)/2))/(LN(2)/2)*DW119*DZ119*VLOOKUP('Données projet'!$B$14,Paramètres!$A$1:$I$89,3,0)*0.475*44/12</f>
        <v>3.5061120618900827</v>
      </c>
      <c r="ED119" s="22">
        <f t="shared" si="72"/>
        <v>33.757196546417944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68.128468823633966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68.128468823633966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68.128468823633966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68.128468823633966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45">
      <c r="A120" s="10">
        <f t="shared" si="85"/>
        <v>117</v>
      </c>
      <c r="B120" s="73">
        <f>'Scénario référence'!$B$16*5+'Scénario référence'!$B$17*0+'Scénario référence'!$B$18*5</f>
        <v>2.8499999999999996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10.449999999999998</v>
      </c>
      <c r="H120" s="67">
        <f t="shared" si="56"/>
        <v>214.86666666666667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68.160935705427036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10.725999999999999</v>
      </c>
      <c r="N120" s="13">
        <f>IF('Données projet'!$A$36&gt;35,N119+M120-V119,IF(A120&lt;'Données projet'!$A$36,$K$205^A120,IF(A120='Données projet'!$A$36,'Données projet'!$B$36,N119+M120-V119)))</f>
        <v>532.82200000000012</v>
      </c>
      <c r="O120" s="13">
        <f>N120*VLOOKUP('Données projet'!$B$9,Paramètres!$A$1:$I$89,3,0)*VLOOKUP('Données projet'!$B$9,Paramètres!$A$1:$I$89,5,0)</f>
        <v>482.09734560000015</v>
      </c>
      <c r="P120" s="13">
        <f t="shared" si="87"/>
        <v>108.23554826302497</v>
      </c>
      <c r="Q120" s="20">
        <f t="shared" si="107"/>
        <v>1028.1631234781019</v>
      </c>
      <c r="R120" s="59">
        <f t="shared" si="55"/>
        <v>1314.7532210646677</v>
      </c>
      <c r="S120" s="59">
        <f ca="1">AVERAGE(OFFSET($R$3,0,0,'Données projet'!$E$9+1,1))-AVERAGE(OFFSET($H$3,0,0,'Données projet'!$E$9+1,1))</f>
        <v>719.20816951277925</v>
      </c>
      <c r="T120" s="59">
        <f t="shared" si="88"/>
        <v>237.1127421841087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50.541464698595817</v>
      </c>
      <c r="AA120" s="21">
        <f>EXP(-LN(2)/25)*AA119+(1-EXP(-LN(2)/25))/(LN(2)/25)*Calculateur!V120*Calculateur!X120*VLOOKUP('Données projet'!$B$9,Paramètres!$A$1:$I$89,3,0)*0.475*44/12</f>
        <v>26.994263435878469</v>
      </c>
      <c r="AB120" s="21">
        <f>EXP(-LN(2)/2)*AB119+(1-EXP(-LN(2)/2))/(LN(2)/2)*V120*Y120*VLOOKUP('Données projet'!$B$9,Paramètres!$A$1:$I$89,3,0)*0.475*44/12</f>
        <v>5.3415350581887517E-4</v>
      </c>
      <c r="AC120" s="22">
        <f t="shared" si="57"/>
        <v>77.536262287980108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68.160935705427036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5.6843418860808015E-14</v>
      </c>
      <c r="AJ120" s="13">
        <f>AI120*VLOOKUP('Données projet'!$B$10,Paramètres!$A$1:$I$89,3,0)*VLOOKUP('Données projet'!$B$10,Paramètres!$A$1:$I$89,5,0)</f>
        <v>4.7884896048344674E-14</v>
      </c>
      <c r="AK120" s="13">
        <f t="shared" si="89"/>
        <v>7.8374629847779921E-13</v>
      </c>
      <c r="AL120" s="20">
        <f t="shared" si="58"/>
        <v>1.4484243304663672E-12</v>
      </c>
      <c r="AM120" s="59">
        <f t="shared" si="59"/>
        <v>286.59009758656725</v>
      </c>
      <c r="AN120" s="59">
        <f ca="1">AVERAGE(OFFSET($AM$3,0,0,'Données projet'!$E$10+1,1))-AVERAGE(OFFSET($H$3,0,0,'Données projet'!$E$10+1,1))</f>
        <v>442.79037205372367</v>
      </c>
      <c r="AO120" s="59">
        <f t="shared" si="90"/>
        <v>288.23553637727969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98.393086350120896</v>
      </c>
      <c r="AV120" s="21">
        <f>EXP(-LN(2)/25)*AV119+(1-EXP(-LN(2)/25))/(LN(2)/25)*Calculateur!AQ120*Calculateur!AS120*VLOOKUP('Données projet'!$B$10,Paramètres!$A$1:$I$89,3,0)*0.475*44/12</f>
        <v>20.624893124858321</v>
      </c>
      <c r="AW120" s="21">
        <f>EXP(-LN(2)/2)*AW119+(1-EXP(-LN(2)/2))/(LN(2)/2)*AQ120*AT120*VLOOKUP('Données projet'!$B$10,Paramètres!$A$1:$I$89,3,0)*0.475*44/12</f>
        <v>0.16402719598148108</v>
      </c>
      <c r="AX120" s="21">
        <f t="shared" si="60"/>
        <v>119.18200667096069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68.160935705427036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7.0011111111111104</v>
      </c>
      <c r="BD120" s="12">
        <f>IF('Données projet'!$A$88&gt;35,BD119+BC120-BL119,IF(A120&lt;'Données projet'!$A$88,$BA$205^A120,IF(A120='Données projet'!$A$88,'Données projet'!$B$88,BD119+BC120-BL119)))</f>
        <v>280.26444444444439</v>
      </c>
      <c r="BE120" s="13">
        <f>BD120*VLOOKUP('Données projet'!$B$11,Paramètres!$A$1:$I$89,3,0)*VLOOKUP('Données projet'!$B$11,Paramètres!$A$1:$I$89,5,0)</f>
        <v>284.18814666666663</v>
      </c>
      <c r="BF120" s="13">
        <f t="shared" si="91"/>
        <v>67.851318431342392</v>
      </c>
      <c r="BG120" s="20">
        <f t="shared" si="61"/>
        <v>613.13540171236571</v>
      </c>
      <c r="BH120" s="59">
        <f t="shared" si="62"/>
        <v>899.72549929893148</v>
      </c>
      <c r="BI120" s="59">
        <f ca="1">AVERAGE(OFFSET($BH$3,0,0,'Données projet'!$E$11+1,1))-AVERAGE(OFFSET($H$3,0,0,'Données projet'!$E$11+1,1))</f>
        <v>559.91818701710872</v>
      </c>
      <c r="BJ120" s="59">
        <f t="shared" si="92"/>
        <v>273.47272623465915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19.660351434783085</v>
      </c>
      <c r="BQ120" s="21">
        <f>EXP(-LN(2)/25)*BQ119+(1-EXP(-LN(2)/25))/(LN(2)/25)*Calculateur!BL120*Calculateur!BN120*VLOOKUP('Données projet'!$B$11,Paramètres!$A$1:$I$89,3,0)*0.475*44/12</f>
        <v>24.294347508349873</v>
      </c>
      <c r="BR120" s="21">
        <f>EXP(-LN(2)/2)*BR119+(1-EXP(-LN(2)/2))/(LN(2)/2)*BL120*BO120*VLOOKUP('Données projet'!$B$11,Paramètres!$A$1:$I$89,3,0)*0.475*44/12</f>
        <v>1.0396660338511694</v>
      </c>
      <c r="BS120" s="22">
        <f t="shared" si="63"/>
        <v>44.994364976984123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68.160935705427036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-1.1368683772161603E-13</v>
      </c>
      <c r="BZ120" s="13">
        <f>BY120*VLOOKUP('Données projet'!$B$12,Paramètres!$A$1:$I$89,3,0)*VLOOKUP('Données projet'!$B$12,Paramètres!$A$1:$I$89,5,0)</f>
        <v>-8.8675733422860506E-14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208.92677786250815</v>
      </c>
      <c r="CE120" s="59">
        <f t="shared" si="94"/>
        <v>207.54290142772214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10.653403574363605</v>
      </c>
      <c r="CL120" s="21">
        <f>EXP(-LN(2)/25)*CL119+(1-EXP(-LN(2)/25))/(LN(2)/25)*Calculateur!CG120*Calculateur!CI120*VLOOKUP('Données projet'!$B$12,Paramètres!$A$1:$I$89,3,0)*0.475*44/12</f>
        <v>7.1713222820434224</v>
      </c>
      <c r="CM120" s="21">
        <f>EXP(-LN(2)/2)*CM119+(1-EXP(-LN(2)/2))/(LN(2)/2)*CG120*CJ120*VLOOKUP('Données projet'!$B$12,Paramètres!$A$1:$I$89,3,0)*0.475*44/12</f>
        <v>2.3213724926986532E-6</v>
      </c>
      <c r="CN120" s="22">
        <f t="shared" si="66"/>
        <v>17.824728177779519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68.160935705427036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8.7019999999999982</v>
      </c>
      <c r="CT120" s="12">
        <f>IF('Données projet'!$A$140&gt;35,CT119+CS120-DB119,IF(A120&lt;'Données projet'!$A$140,$CQ$205^A120,IF(A120='Données projet'!$A$140,'Données projet'!$B$140,CT119+CS120-DB119)))</f>
        <v>357.31800000000027</v>
      </c>
      <c r="CU120" s="17">
        <f>CT120*VLOOKUP('Données projet'!$B$13,Paramètres!$A$1:$I$89,3,0)*VLOOKUP('Données projet'!$B$13,Paramètres!$A$1:$I$89,5,0)</f>
        <v>340.02380880000027</v>
      </c>
      <c r="CV120" s="13">
        <f t="shared" si="95"/>
        <v>79.504865450570179</v>
      </c>
      <c r="CW120" s="20">
        <f t="shared" si="67"/>
        <v>730.67910765307681</v>
      </c>
      <c r="CX120" s="59">
        <f t="shared" si="68"/>
        <v>1017.2692052396426</v>
      </c>
      <c r="CY120" s="59">
        <f ca="1">AVERAGE(OFFSET($CX$3,0,0,'Données projet'!$E$13+1,1))-AVERAGE(OFFSET($H$3,0,0,'Données projet'!$E$13+1,1))</f>
        <v>470.42022791389275</v>
      </c>
      <c r="CZ120" s="59">
        <f t="shared" si="96"/>
        <v>300.26117330627346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27.421677132516265</v>
      </c>
      <c r="DG120" s="21">
        <f>EXP(-LN(2)/25)*DG119+(1-EXP(-LN(2)/25))/(LN(2)/25)*Calculateur!DB120*Calculateur!DD120*VLOOKUP('Données projet'!$B$13,Paramètres!$A$1:$I$89,3,0)*0.475*44/12</f>
        <v>24.235720105071149</v>
      </c>
      <c r="DH120" s="21">
        <f>EXP(-LN(2)/2)*DH119+(1-EXP(-LN(2)/2))/(LN(2)/2)*DB120*DE120*VLOOKUP('Données projet'!$B$13,Paramètres!$A$1:$I$89,3,0)*0.475*44/12</f>
        <v>3.9761174169626954</v>
      </c>
      <c r="DI120" s="22">
        <f t="shared" si="69"/>
        <v>55.633514654550112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68.160935705427036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7.0011111111111104</v>
      </c>
      <c r="DO120" s="12">
        <f>IF('Données projet'!$A$166&gt;35,DO119+DN120-DW119,IF(A120&lt;'Données projet'!$A$166,$DL$205^A120,IF(A120='Données projet'!$A$166,'Données projet'!$B$166,DO119+DN120-DW119)))</f>
        <v>280.26444444444439</v>
      </c>
      <c r="DP120" s="17">
        <f>DO120*VLOOKUP('Données projet'!$B$14,Paramètres!$A$1:$I$89,3,0)*VLOOKUP('Données projet'!$B$14,Paramètres!$A$1:$I$89,5,0)</f>
        <v>271.07177066666662</v>
      </c>
      <c r="DQ120" s="13">
        <f t="shared" si="97"/>
        <v>65.076673601984467</v>
      </c>
      <c r="DR120" s="20">
        <f t="shared" si="70"/>
        <v>585.45854043456723</v>
      </c>
      <c r="DS120" s="59">
        <f t="shared" si="71"/>
        <v>872.048638021133</v>
      </c>
      <c r="DT120" s="59">
        <f ca="1">AVERAGE(OFFSET($DS$3,0,0,'Données projet'!$E$14+1,1))-AVERAGE(OFFSET($H$3,0,0,'Données projet'!$E$14+1,1))</f>
        <v>537.37164071064103</v>
      </c>
      <c r="DU120" s="59">
        <f t="shared" si="98"/>
        <v>263.29777321132235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13.394964713808259</v>
      </c>
      <c r="EB120" s="21">
        <f>EXP(-LN(2)/25)*EB119+(1-EXP(-LN(2)/25))/(LN(2)/25)*Calculateur!DW120*Calculateur!DY120*VLOOKUP('Données projet'!$B$14,Paramètres!$A$1:$I$89,3,0)*0.475*44/12</f>
        <v>16.134593746546791</v>
      </c>
      <c r="EC120" s="21">
        <f>EXP(-LN(2)/2)*EC119+(1-EXP(-LN(2)/2))/(LN(2)/2)*DW120*DZ120*VLOOKUP('Données projet'!$B$14,Paramètres!$A$1:$I$89,3,0)*0.475*44/12</f>
        <v>2.4791956145624257</v>
      </c>
      <c r="ED120" s="22">
        <f t="shared" si="72"/>
        <v>32.008754074917476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68.160935705427036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68.160935705427036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68.160935705427036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68.160935705427036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45">
      <c r="A121" s="10">
        <f t="shared" si="85"/>
        <v>118</v>
      </c>
      <c r="B121" s="73">
        <f>'Scénario référence'!$B$16*5+'Scénario référence'!$B$17*0+'Scénario référence'!$B$18*5</f>
        <v>2.8499999999999996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10.449999999999998</v>
      </c>
      <c r="H121" s="67">
        <f t="shared" si="56"/>
        <v>214.86666666666667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68.192839359406065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10.725999999999999</v>
      </c>
      <c r="N121" s="13">
        <f>IF('Données projet'!$A$36&gt;35,N120+M121-V120,IF(A121&lt;'Données projet'!$A$36,$K$205^A121,IF(A121='Données projet'!$A$36,'Données projet'!$B$36,N120+M121-V120)))</f>
        <v>543.54800000000012</v>
      </c>
      <c r="O121" s="13">
        <f>N121*VLOOKUP('Données projet'!$B$9,Paramètres!$A$1:$I$89,3,0)*VLOOKUP('Données projet'!$B$9,Paramètres!$A$1:$I$89,5,0)</f>
        <v>491.8022304000001</v>
      </c>
      <c r="P121" s="13">
        <f t="shared" si="87"/>
        <v>110.1585334197499</v>
      </c>
      <c r="Q121" s="20">
        <f t="shared" si="107"/>
        <v>1048.4149969860646</v>
      </c>
      <c r="R121" s="59">
        <f t="shared" si="55"/>
        <v>1335.1220746372201</v>
      </c>
      <c r="S121" s="59">
        <f ca="1">AVERAGE(OFFSET($R$3,0,0,'Données projet'!$E$9+1,1))-AVERAGE(OFFSET($H$3,0,0,'Données projet'!$E$9+1,1))</f>
        <v>719.20816951277925</v>
      </c>
      <c r="T121" s="59">
        <f t="shared" si="88"/>
        <v>237.1127421841087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49.550377403105884</v>
      </c>
      <c r="AA121" s="21">
        <f>EXP(-LN(2)/25)*AA120+(1-EXP(-LN(2)/25))/(LN(2)/25)*Calculateur!V121*Calculateur!X121*VLOOKUP('Données projet'!$B$9,Paramètres!$A$1:$I$89,3,0)*0.475*44/12</f>
        <v>26.256103882657754</v>
      </c>
      <c r="AB121" s="21">
        <f>EXP(-LN(2)/2)*AB120+(1-EXP(-LN(2)/2))/(LN(2)/2)*V121*Y121*VLOOKUP('Données projet'!$B$9,Paramètres!$A$1:$I$89,3,0)*0.475*44/12</f>
        <v>3.7770356615909461E-4</v>
      </c>
      <c r="AC121" s="22">
        <f t="shared" si="57"/>
        <v>75.806858989329797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68.192839359406065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5.6843418860808015E-14</v>
      </c>
      <c r="AJ121" s="13">
        <f>AI121*VLOOKUP('Données projet'!$B$10,Paramètres!$A$1:$I$89,3,0)*VLOOKUP('Données projet'!$B$10,Paramètres!$A$1:$I$89,5,0)</f>
        <v>4.7884896048344674E-14</v>
      </c>
      <c r="AK121" s="13">
        <f t="shared" si="89"/>
        <v>7.8374629847779921E-13</v>
      </c>
      <c r="AL121" s="20">
        <f t="shared" si="58"/>
        <v>1.4484243304663672E-12</v>
      </c>
      <c r="AM121" s="59">
        <f t="shared" si="59"/>
        <v>286.70707765115696</v>
      </c>
      <c r="AN121" s="59">
        <f ca="1">AVERAGE(OFFSET($AM$3,0,0,'Données projet'!$E$10+1,1))-AVERAGE(OFFSET($H$3,0,0,'Données projet'!$E$10+1,1))</f>
        <v>442.79037205372367</v>
      </c>
      <c r="AO121" s="59">
        <f t="shared" si="90"/>
        <v>288.23553637727969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96.463657940651828</v>
      </c>
      <c r="AV121" s="21">
        <f>EXP(-LN(2)/25)*AV120+(1-EXP(-LN(2)/25))/(LN(2)/25)*Calculateur!AQ121*Calculateur!AS121*VLOOKUP('Données projet'!$B$10,Paramètres!$A$1:$I$89,3,0)*0.475*44/12</f>
        <v>20.060904337743079</v>
      </c>
      <c r="AW121" s="21">
        <f>EXP(-LN(2)/2)*AW120+(1-EXP(-LN(2)/2))/(LN(2)/2)*AQ121*AT121*VLOOKUP('Données projet'!$B$10,Paramètres!$A$1:$I$89,3,0)*0.475*44/12</f>
        <v>0.11598474257752009</v>
      </c>
      <c r="AX121" s="21">
        <f t="shared" si="60"/>
        <v>116.64054702097243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68.192839359406065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7.0011111111111104</v>
      </c>
      <c r="BD121" s="12">
        <f>IF('Données projet'!$A$88&gt;35,BD120+BC121-BL120,IF(A121&lt;'Données projet'!$A$88,$BA$205^A121,IF(A121='Données projet'!$A$88,'Données projet'!$B$88,BD120+BC121-BL120)))</f>
        <v>287.26555555555552</v>
      </c>
      <c r="BE121" s="13">
        <f>BD121*VLOOKUP('Données projet'!$B$11,Paramètres!$A$1:$I$89,3,0)*VLOOKUP('Données projet'!$B$11,Paramètres!$A$1:$I$89,5,0)</f>
        <v>291.2872733333333</v>
      </c>
      <c r="BF121" s="13">
        <f t="shared" si="91"/>
        <v>69.346820104270833</v>
      </c>
      <c r="BG121" s="20">
        <f t="shared" si="61"/>
        <v>628.10437940382712</v>
      </c>
      <c r="BH121" s="59">
        <f t="shared" si="62"/>
        <v>914.81145705498261</v>
      </c>
      <c r="BI121" s="59">
        <f ca="1">AVERAGE(OFFSET($BH$3,0,0,'Données projet'!$E$11+1,1))-AVERAGE(OFFSET($H$3,0,0,'Données projet'!$E$11+1,1))</f>
        <v>559.91818701710872</v>
      </c>
      <c r="BJ121" s="59">
        <f t="shared" si="92"/>
        <v>273.47272623465915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19.274823934777288</v>
      </c>
      <c r="BQ121" s="21">
        <f>EXP(-LN(2)/25)*BQ120+(1-EXP(-LN(2)/25))/(LN(2)/25)*Calculateur!BL121*Calculateur!BN121*VLOOKUP('Données projet'!$B$11,Paramètres!$A$1:$I$89,3,0)*0.475*44/12</f>
        <v>23.630017298149834</v>
      </c>
      <c r="BR121" s="21">
        <f>EXP(-LN(2)/2)*BR120+(1-EXP(-LN(2)/2))/(LN(2)/2)*BL121*BO121*VLOOKUP('Données projet'!$B$11,Paramètres!$A$1:$I$89,3,0)*0.475*44/12</f>
        <v>0.73515490270548456</v>
      </c>
      <c r="BS121" s="22">
        <f t="shared" si="63"/>
        <v>43.639996135632607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68.192839359406065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-1.1368683772161603E-13</v>
      </c>
      <c r="BZ121" s="13">
        <f>BY121*VLOOKUP('Données projet'!$B$12,Paramètres!$A$1:$I$89,3,0)*VLOOKUP('Données projet'!$B$12,Paramètres!$A$1:$I$89,5,0)</f>
        <v>-8.8675733422860506E-14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208.92677786250815</v>
      </c>
      <c r="CE121" s="59">
        <f t="shared" si="94"/>
        <v>207.54290142772214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10.444496828204898</v>
      </c>
      <c r="CL121" s="21">
        <f>EXP(-LN(2)/25)*CL120+(1-EXP(-LN(2)/25))/(LN(2)/25)*Calculateur!CG121*Calculateur!CI121*VLOOKUP('Données projet'!$B$12,Paramètres!$A$1:$I$89,3,0)*0.475*44/12</f>
        <v>6.9752220971174967</v>
      </c>
      <c r="CM121" s="21">
        <f>EXP(-LN(2)/2)*CM120+(1-EXP(-LN(2)/2))/(LN(2)/2)*CG121*CJ121*VLOOKUP('Données projet'!$B$12,Paramètres!$A$1:$I$89,3,0)*0.475*44/12</f>
        <v>1.641458231247137E-6</v>
      </c>
      <c r="CN121" s="22">
        <f t="shared" si="66"/>
        <v>17.419720566780622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68.192839359406065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8.7019999999999982</v>
      </c>
      <c r="CT121" s="12">
        <f>IF('Données projet'!$A$140&gt;35,CT120+CS121-DB120,IF(A121&lt;'Données projet'!$A$140,$CQ$205^A121,IF(A121='Données projet'!$A$140,'Données projet'!$B$140,CT120+CS121-DB120)))</f>
        <v>366.02000000000027</v>
      </c>
      <c r="CU121" s="17">
        <f>CT121*VLOOKUP('Données projet'!$B$13,Paramètres!$A$1:$I$89,3,0)*VLOOKUP('Données projet'!$B$13,Paramètres!$A$1:$I$89,5,0)</f>
        <v>348.30463200000025</v>
      </c>
      <c r="CV121" s="13">
        <f t="shared" si="95"/>
        <v>81.213318766761901</v>
      </c>
      <c r="CW121" s="20">
        <f t="shared" si="67"/>
        <v>748.07709758544399</v>
      </c>
      <c r="CX121" s="59">
        <f t="shared" si="68"/>
        <v>1034.7841752365996</v>
      </c>
      <c r="CY121" s="59">
        <f ca="1">AVERAGE(OFFSET($CX$3,0,0,'Données projet'!$E$13+1,1))-AVERAGE(OFFSET($H$3,0,0,'Données projet'!$E$13+1,1))</f>
        <v>470.42022791389275</v>
      </c>
      <c r="CZ121" s="59">
        <f t="shared" si="96"/>
        <v>300.26117330627346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26.883954769519161</v>
      </c>
      <c r="DG121" s="21">
        <f>EXP(-LN(2)/25)*DG120+(1-EXP(-LN(2)/25))/(LN(2)/25)*Calculateur!DB121*Calculateur!DD121*VLOOKUP('Données projet'!$B$13,Paramètres!$A$1:$I$89,3,0)*0.475*44/12</f>
        <v>23.572993064296849</v>
      </c>
      <c r="DH121" s="21">
        <f>EXP(-LN(2)/2)*DH120+(1-EXP(-LN(2)/2))/(LN(2)/2)*DB121*DE121*VLOOKUP('Données projet'!$B$13,Paramètres!$A$1:$I$89,3,0)*0.475*44/12</f>
        <v>2.8115395883282615</v>
      </c>
      <c r="DI121" s="22">
        <f t="shared" si="69"/>
        <v>53.268487422144268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68.192839359406065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7.0011111111111104</v>
      </c>
      <c r="DO121" s="12">
        <f>IF('Données projet'!$A$166&gt;35,DO120+DN121-DW120,IF(A121&lt;'Données projet'!$A$166,$DL$205^A121,IF(A121='Données projet'!$A$166,'Données projet'!$B$166,DO120+DN121-DW120)))</f>
        <v>287.26555555555552</v>
      </c>
      <c r="DP121" s="17">
        <f>DO121*VLOOKUP('Données projet'!$B$14,Paramètres!$A$1:$I$89,3,0)*VLOOKUP('Données projet'!$B$14,Paramètres!$A$1:$I$89,5,0)</f>
        <v>277.8432453333333</v>
      </c>
      <c r="DQ121" s="13">
        <f t="shared" si="97"/>
        <v>66.511019705942104</v>
      </c>
      <c r="DR121" s="20">
        <f t="shared" si="70"/>
        <v>599.75034494340457</v>
      </c>
      <c r="DS121" s="59">
        <f t="shared" si="71"/>
        <v>886.45742259456006</v>
      </c>
      <c r="DT121" s="59">
        <f ca="1">AVERAGE(OFFSET($DS$3,0,0,'Données projet'!$E$14+1,1))-AVERAGE(OFFSET($H$3,0,0,'Données projet'!$E$14+1,1))</f>
        <v>537.37164071064103</v>
      </c>
      <c r="DU121" s="59">
        <f t="shared" si="98"/>
        <v>263.29777321132235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13.132297625892221</v>
      </c>
      <c r="EB121" s="21">
        <f>EXP(-LN(2)/25)*EB120+(1-EXP(-LN(2)/25))/(LN(2)/25)*Calculateur!DW121*Calculateur!DY121*VLOOKUP('Données projet'!$B$14,Paramètres!$A$1:$I$89,3,0)*0.475*44/12</f>
        <v>15.69339243206606</v>
      </c>
      <c r="EC121" s="21">
        <f>EXP(-LN(2)/2)*EC120+(1-EXP(-LN(2)/2))/(LN(2)/2)*DW121*DZ121*VLOOKUP('Données projet'!$B$14,Paramètres!$A$1:$I$89,3,0)*0.475*44/12</f>
        <v>1.7530560309450414</v>
      </c>
      <c r="ED121" s="22">
        <f t="shared" si="72"/>
        <v>30.578746088903326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68.192839359406065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68.192839359406065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68.192839359406065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68.192839359406065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45">
      <c r="A122" s="10">
        <f t="shared" si="85"/>
        <v>119</v>
      </c>
      <c r="B122" s="73">
        <f>'Scénario référence'!$B$16*5+'Scénario référence'!$B$17*0+'Scénario référence'!$B$18*5</f>
        <v>2.8499999999999996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10.449999999999998</v>
      </c>
      <c r="H122" s="67">
        <f t="shared" si="56"/>
        <v>214.86666666666667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68.224189556314442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10.725999999999999</v>
      </c>
      <c r="N122" s="13">
        <f>IF('Données projet'!$A$36&gt;35,N121+M122-V121,IF(A122&lt;'Données projet'!$A$36,$K$205^A122,IF(A122='Données projet'!$A$36,'Données projet'!$B$36,N121+M122-V121)))</f>
        <v>554.27400000000011</v>
      </c>
      <c r="O122" s="13">
        <f>N122*VLOOKUP('Données projet'!$B$9,Paramètres!$A$1:$I$89,3,0)*VLOOKUP('Données projet'!$B$9,Paramètres!$A$1:$I$89,5,0)</f>
        <v>501.50711520000004</v>
      </c>
      <c r="P122" s="13">
        <f t="shared" si="87"/>
        <v>112.07710632845966</v>
      </c>
      <c r="Q122" s="20">
        <f t="shared" si="107"/>
        <v>1068.6591858287338</v>
      </c>
      <c r="R122" s="59">
        <f t="shared" si="55"/>
        <v>1355.4812142018868</v>
      </c>
      <c r="S122" s="59">
        <f ca="1">AVERAGE(OFFSET($R$3,0,0,'Données projet'!$E$9+1,1))-AVERAGE(OFFSET($H$3,0,0,'Données projet'!$E$9+1,1))</f>
        <v>719.20816951277925</v>
      </c>
      <c r="T122" s="59">
        <f t="shared" si="88"/>
        <v>237.1127421841087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48.578724724976944</v>
      </c>
      <c r="AA122" s="21">
        <f>EXP(-LN(2)/25)*AA121+(1-EXP(-LN(2)/25))/(LN(2)/25)*Calculateur!V122*Calculateur!X122*VLOOKUP('Données projet'!$B$9,Paramètres!$A$1:$I$89,3,0)*0.475*44/12</f>
        <v>25.538129341237983</v>
      </c>
      <c r="AB122" s="21">
        <f>EXP(-LN(2)/2)*AB121+(1-EXP(-LN(2)/2))/(LN(2)/2)*V122*Y122*VLOOKUP('Données projet'!$B$9,Paramètres!$A$1:$I$89,3,0)*0.475*44/12</f>
        <v>2.6707675290943758E-4</v>
      </c>
      <c r="AC122" s="22">
        <f t="shared" si="57"/>
        <v>74.117121142967832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68.224189556314442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5.6843418860808015E-14</v>
      </c>
      <c r="AJ122" s="13">
        <f>AI122*VLOOKUP('Données projet'!$B$10,Paramètres!$A$1:$I$89,3,0)*VLOOKUP('Données projet'!$B$10,Paramètres!$A$1:$I$89,5,0)</f>
        <v>4.7884896048344674E-14</v>
      </c>
      <c r="AK122" s="13">
        <f t="shared" si="89"/>
        <v>7.8374629847779921E-13</v>
      </c>
      <c r="AL122" s="20">
        <f t="shared" si="58"/>
        <v>1.4484243304663672E-12</v>
      </c>
      <c r="AM122" s="59">
        <f t="shared" si="59"/>
        <v>286.82202837315435</v>
      </c>
      <c r="AN122" s="59">
        <f ca="1">AVERAGE(OFFSET($AM$3,0,0,'Données projet'!$E$10+1,1))-AVERAGE(OFFSET($H$3,0,0,'Données projet'!$E$10+1,1))</f>
        <v>442.79037205372367</v>
      </c>
      <c r="AO122" s="59">
        <f t="shared" si="90"/>
        <v>288.23553637727969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94.572064445457315</v>
      </c>
      <c r="AV122" s="21">
        <f>EXP(-LN(2)/25)*AV121+(1-EXP(-LN(2)/25))/(LN(2)/25)*Calculateur!AQ122*Calculateur!AS122*VLOOKUP('Données projet'!$B$10,Paramètres!$A$1:$I$89,3,0)*0.475*44/12</f>
        <v>19.512337853670385</v>
      </c>
      <c r="AW122" s="21">
        <f>EXP(-LN(2)/2)*AW121+(1-EXP(-LN(2)/2))/(LN(2)/2)*AQ122*AT122*VLOOKUP('Données projet'!$B$10,Paramètres!$A$1:$I$89,3,0)*0.475*44/12</f>
        <v>8.2013597990740539E-2</v>
      </c>
      <c r="AX122" s="21">
        <f t="shared" si="60"/>
        <v>114.16641589711844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68.224189556314442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7.0011111111111104</v>
      </c>
      <c r="BD122" s="12">
        <f>IF('Données projet'!$A$88&gt;35,BD121+BC122-BL121,IF(A122&lt;'Données projet'!$A$88,$BA$205^A122,IF(A122='Données projet'!$A$88,'Données projet'!$B$88,BD121+BC122-BL121)))</f>
        <v>294.26666666666665</v>
      </c>
      <c r="BE122" s="13">
        <f>BD122*VLOOKUP('Données projet'!$B$11,Paramètres!$A$1:$I$89,3,0)*VLOOKUP('Données projet'!$B$11,Paramètres!$A$1:$I$89,5,0)</f>
        <v>298.38640000000004</v>
      </c>
      <c r="BF122" s="13">
        <f t="shared" si="91"/>
        <v>70.838084831776925</v>
      </c>
      <c r="BG122" s="20">
        <f t="shared" si="61"/>
        <v>643.06597774867816</v>
      </c>
      <c r="BH122" s="59">
        <f t="shared" si="62"/>
        <v>929.88800612183104</v>
      </c>
      <c r="BI122" s="59">
        <f ca="1">AVERAGE(OFFSET($BH$3,0,0,'Données projet'!$E$11+1,1))-AVERAGE(OFFSET($H$3,0,0,'Données projet'!$E$11+1,1))</f>
        <v>559.91818701710872</v>
      </c>
      <c r="BJ122" s="59">
        <f t="shared" si="92"/>
        <v>273.47272623465915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18.896856393898048</v>
      </c>
      <c r="BQ122" s="21">
        <f>EXP(-LN(2)/25)*BQ121+(1-EXP(-LN(2)/25))/(LN(2)/25)*Calculateur!BL122*Calculateur!BN122*VLOOKUP('Données projet'!$B$11,Paramètres!$A$1:$I$89,3,0)*0.475*44/12</f>
        <v>22.983853232483323</v>
      </c>
      <c r="BR122" s="21">
        <f>EXP(-LN(2)/2)*BR121+(1-EXP(-LN(2)/2))/(LN(2)/2)*BL122*BO122*VLOOKUP('Données projet'!$B$11,Paramètres!$A$1:$I$89,3,0)*0.475*44/12</f>
        <v>0.5198330169255847</v>
      </c>
      <c r="BS122" s="22">
        <f t="shared" si="63"/>
        <v>42.400542643306963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68.224189556314442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-1.1368683772161603E-13</v>
      </c>
      <c r="BZ122" s="13">
        <f>BY122*VLOOKUP('Données projet'!$B$12,Paramètres!$A$1:$I$89,3,0)*VLOOKUP('Données projet'!$B$12,Paramètres!$A$1:$I$89,5,0)</f>
        <v>-8.8675733422860506E-14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208.92677786250815</v>
      </c>
      <c r="CE122" s="59">
        <f t="shared" si="94"/>
        <v>207.54290142772214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10.239686615917829</v>
      </c>
      <c r="CL122" s="21">
        <f>EXP(-LN(2)/25)*CL121+(1-EXP(-LN(2)/25))/(LN(2)/25)*Calculateur!CG122*Calculateur!CI122*VLOOKUP('Données projet'!$B$12,Paramètres!$A$1:$I$89,3,0)*0.475*44/12</f>
        <v>6.7844842820608307</v>
      </c>
      <c r="CM122" s="21">
        <f>EXP(-LN(2)/2)*CM121+(1-EXP(-LN(2)/2))/(LN(2)/2)*CG122*CJ122*VLOOKUP('Données projet'!$B$12,Paramètres!$A$1:$I$89,3,0)*0.475*44/12</f>
        <v>1.1606862463493266E-6</v>
      </c>
      <c r="CN122" s="22">
        <f t="shared" si="66"/>
        <v>17.024172058664906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68.224189556314442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8.7019999999999982</v>
      </c>
      <c r="CT122" s="12">
        <f>IF('Données projet'!$A$140&gt;35,CT121+CS122-DB121,IF(A122&lt;'Données projet'!$A$140,$CQ$205^A122,IF(A122='Données projet'!$A$140,'Données projet'!$B$140,CT121+CS122-DB121)))</f>
        <v>374.72200000000026</v>
      </c>
      <c r="CU122" s="17">
        <f>CT122*VLOOKUP('Données projet'!$B$13,Paramètres!$A$1:$I$89,3,0)*VLOOKUP('Données projet'!$B$13,Paramètres!$A$1:$I$89,5,0)</f>
        <v>356.58545520000024</v>
      </c>
      <c r="CV122" s="13">
        <f t="shared" si="95"/>
        <v>82.917050226144909</v>
      </c>
      <c r="CW122" s="20">
        <f t="shared" si="67"/>
        <v>765.46686361720276</v>
      </c>
      <c r="CX122" s="59">
        <f t="shared" si="68"/>
        <v>1052.2888919903558</v>
      </c>
      <c r="CY122" s="59">
        <f ca="1">AVERAGE(OFFSET($CX$3,0,0,'Données projet'!$E$13+1,1))-AVERAGE(OFFSET($H$3,0,0,'Données projet'!$E$13+1,1))</f>
        <v>470.42022791389275</v>
      </c>
      <c r="CZ122" s="59">
        <f t="shared" si="96"/>
        <v>300.26117330627346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26.356776814082171</v>
      </c>
      <c r="DG122" s="21">
        <f>EXP(-LN(2)/25)*DG121+(1-EXP(-LN(2)/25))/(LN(2)/25)*Calculateur!DB122*Calculateur!DD122*VLOOKUP('Données projet'!$B$13,Paramètres!$A$1:$I$89,3,0)*0.475*44/12</f>
        <v>22.928388329303822</v>
      </c>
      <c r="DH122" s="21">
        <f>EXP(-LN(2)/2)*DH121+(1-EXP(-LN(2)/2))/(LN(2)/2)*DB122*DE122*VLOOKUP('Données projet'!$B$13,Paramètres!$A$1:$I$89,3,0)*0.475*44/12</f>
        <v>1.9880587084813479</v>
      </c>
      <c r="DI122" s="22">
        <f t="shared" si="69"/>
        <v>51.273223851867343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68.224189556314442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7.0011111111111104</v>
      </c>
      <c r="DO122" s="12">
        <f>IF('Données projet'!$A$166&gt;35,DO121+DN122-DW121,IF(A122&lt;'Données projet'!$A$166,$DL$205^A122,IF(A122='Données projet'!$A$166,'Données projet'!$B$166,DO121+DN122-DW121)))</f>
        <v>294.26666666666665</v>
      </c>
      <c r="DP122" s="17">
        <f>DO122*VLOOKUP('Données projet'!$B$14,Paramètres!$A$1:$I$89,3,0)*VLOOKUP('Données projet'!$B$14,Paramètres!$A$1:$I$89,5,0)</f>
        <v>284.61471999999998</v>
      </c>
      <c r="DQ122" s="13">
        <f t="shared" si="97"/>
        <v>67.941302125940567</v>
      </c>
      <c r="DR122" s="20">
        <f t="shared" si="70"/>
        <v>614.03507186934644</v>
      </c>
      <c r="DS122" s="59">
        <f t="shared" si="71"/>
        <v>900.85710024249943</v>
      </c>
      <c r="DT122" s="59">
        <f ca="1">AVERAGE(OFFSET($DS$3,0,0,'Données projet'!$E$14+1,1))-AVERAGE(OFFSET($H$3,0,0,'Données projet'!$E$14+1,1))</f>
        <v>537.37164071064103</v>
      </c>
      <c r="DU122" s="59">
        <f t="shared" si="98"/>
        <v>263.29777321132235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12.874781279359114</v>
      </c>
      <c r="EB122" s="21">
        <f>EXP(-LN(2)/25)*EB121+(1-EXP(-LN(2)/25))/(LN(2)/25)*Calculateur!DW122*Calculateur!DY122*VLOOKUP('Données projet'!$B$14,Paramètres!$A$1:$I$89,3,0)*0.475*44/12</f>
        <v>15.264255790731573</v>
      </c>
      <c r="EC122" s="21">
        <f>EXP(-LN(2)/2)*EC121+(1-EXP(-LN(2)/2))/(LN(2)/2)*DW122*DZ122*VLOOKUP('Données projet'!$B$14,Paramètres!$A$1:$I$89,3,0)*0.475*44/12</f>
        <v>1.2395978072812128</v>
      </c>
      <c r="ED122" s="22">
        <f t="shared" si="72"/>
        <v>29.378634877371901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68.224189556314442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68.224189556314442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68.224189556314442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68.224189556314442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45">
      <c r="A123" s="10">
        <f t="shared" si="85"/>
        <v>120</v>
      </c>
      <c r="B123" s="73">
        <f>'Scénario référence'!$B$16*5+'Scénario référence'!$B$17*0+'Scénario référence'!$B$18*5</f>
        <v>2.8499999999999996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10.449999999999998</v>
      </c>
      <c r="H123" s="67">
        <f t="shared" si="56"/>
        <v>214.86666666666667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68.254995897395005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>
        <f>VLOOKUP(A123,'Données projet'!$A$35:$I$55,2,0)</f>
        <v>565</v>
      </c>
      <c r="L123" s="12">
        <f>VLOOKUP(A123,'Données projet'!$A$35:$I$55,9,0)</f>
        <v>10.725999999999999</v>
      </c>
      <c r="M123" s="12">
        <f t="array" ref="M123">INDEX(L:L,MIN(IF(ISNUMBER(L123:L319),ROW(L123:L319),"")))</f>
        <v>10.725999999999999</v>
      </c>
      <c r="N123" s="13">
        <f>IF('Données projet'!$A$36&gt;35,N122+M123-V122,IF(A123&lt;'Données projet'!$A$36,$K$205^A123,IF(A123='Données projet'!$A$36,'Données projet'!$B$36,N122+M123-V122)))</f>
        <v>565.00000000000011</v>
      </c>
      <c r="O123" s="13">
        <f>N123*VLOOKUP('Données projet'!$B$9,Paramètres!$A$1:$I$89,3,0)*VLOOKUP('Données projet'!$B$9,Paramètres!$A$1:$I$89,5,0)</f>
        <v>511.2120000000001</v>
      </c>
      <c r="P123" s="13">
        <f t="shared" si="87"/>
        <v>113.9913622158443</v>
      </c>
      <c r="Q123" s="20">
        <f t="shared" si="107"/>
        <v>1088.8958558592624</v>
      </c>
      <c r="R123" s="59">
        <f t="shared" si="55"/>
        <v>1375.8308408163775</v>
      </c>
      <c r="S123" s="59">
        <f ca="1">AVERAGE(OFFSET($R$3,0,0,'Données projet'!$E$9+1,1))-AVERAGE(OFFSET($H$3,0,0,'Données projet'!$E$9+1,1))</f>
        <v>719.20816951277925</v>
      </c>
      <c r="T123" s="59">
        <f t="shared" si="88"/>
        <v>237.1127421841087</v>
      </c>
      <c r="U123" s="15">
        <f>IF(ISNA(VLOOKUP(A123,'Données projet'!$A$35:$I$55,3,0)),0,VLOOKUP(A123,'Données projet'!$A$35:$I$55,3,0))</f>
        <v>11</v>
      </c>
      <c r="V123" s="15">
        <f>IF(ISNA(VLOOKUP(A123,'Données projet'!$A$35:$I$55,4,0)),0,VLOOKUP(A123,'Données projet'!$A$35:$I$55,4,0))</f>
        <v>66.050000000000011</v>
      </c>
      <c r="W123" s="16">
        <f>IF(ISNA(VLOOKUP(A123,'Données projet'!$A$35:$I$55,5,0)),0%,VLOOKUP(A123,'Données projet'!$A$35:$I$55,5,0)*VLOOKUP('Données projet'!$B$9,Paramètres!$A$1:$I$89,7,0))</f>
        <v>0.215</v>
      </c>
      <c r="X123" s="16">
        <f>IF(ISNA(VLOOKUP(A123,'Données projet'!$A$35:$I$55,6,0)),0%,VLOOKUP(A123,'Données projet'!$A$35:$I$55,6,0)*VLOOKUP('Données projet'!$B$9,Paramètres!$A$1:$I$89,7,0))</f>
        <v>8.6000000000000007E-2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61.830136046916117</v>
      </c>
      <c r="AA123" s="21">
        <f>EXP(-LN(2)/25)*AA122+(1-EXP(-LN(2)/25))/(LN(2)/25)*Calculateur!V123*Calculateur!X123*VLOOKUP('Données projet'!$B$9,Paramètres!$A$1:$I$89,3,0)*0.475*44/12</f>
        <v>30.499021404319176</v>
      </c>
      <c r="AB123" s="21">
        <f>EXP(-LN(2)/2)*AB122+(1-EXP(-LN(2)/2))/(LN(2)/2)*V123*Y123*VLOOKUP('Données projet'!$B$9,Paramètres!$A$1:$I$89,3,0)*0.475*44/12</f>
        <v>1.888517830795473E-4</v>
      </c>
      <c r="AC123" s="22">
        <f t="shared" si="57"/>
        <v>92.329346303018369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68.254995897395005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5.6843418860808015E-14</v>
      </c>
      <c r="AJ123" s="13">
        <f>AI123*VLOOKUP('Données projet'!$B$10,Paramètres!$A$1:$I$89,3,0)*VLOOKUP('Données projet'!$B$10,Paramètres!$A$1:$I$89,5,0)</f>
        <v>4.7884896048344674E-14</v>
      </c>
      <c r="AK123" s="13">
        <f t="shared" si="89"/>
        <v>7.8374629847779921E-13</v>
      </c>
      <c r="AL123" s="20">
        <f t="shared" si="58"/>
        <v>1.4484243304663672E-12</v>
      </c>
      <c r="AM123" s="59">
        <f t="shared" si="59"/>
        <v>286.93498495711646</v>
      </c>
      <c r="AN123" s="59">
        <f ca="1">AVERAGE(OFFSET($AM$3,0,0,'Données projet'!$E$10+1,1))-AVERAGE(OFFSET($H$3,0,0,'Données projet'!$E$10+1,1))</f>
        <v>442.79037205372367</v>
      </c>
      <c r="AO123" s="59">
        <f t="shared" si="90"/>
        <v>288.23553637727969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92.717563944945454</v>
      </c>
      <c r="AV123" s="21">
        <f>EXP(-LN(2)/25)*AV122+(1-EXP(-LN(2)/25))/(LN(2)/25)*Calculateur!AQ123*Calculateur!AS123*VLOOKUP('Données projet'!$B$10,Paramètres!$A$1:$I$89,3,0)*0.475*44/12</f>
        <v>18.978771948952517</v>
      </c>
      <c r="AW123" s="21">
        <f>EXP(-LN(2)/2)*AW122+(1-EXP(-LN(2)/2))/(LN(2)/2)*AQ123*AT123*VLOOKUP('Données projet'!$B$10,Paramètres!$A$1:$I$89,3,0)*0.475*44/12</f>
        <v>5.7992371288760045E-2</v>
      </c>
      <c r="AX123" s="21">
        <f t="shared" si="60"/>
        <v>111.75432826518673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68.254995897395005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7.0011111111111104</v>
      </c>
      <c r="BD123" s="12">
        <f>IF('Données projet'!$A$88&gt;35,BD122+BC123-BL122,IF(A123&lt;'Données projet'!$A$88,$BA$205^A123,IF(A123='Données projet'!$A$88,'Données projet'!$B$88,BD122+BC123-BL122)))</f>
        <v>301.26777777777778</v>
      </c>
      <c r="BE123" s="13">
        <f>BD123*VLOOKUP('Données projet'!$B$11,Paramètres!$A$1:$I$89,3,0)*VLOOKUP('Données projet'!$B$11,Paramètres!$A$1:$I$89,5,0)</f>
        <v>305.48552666666666</v>
      </c>
      <c r="BF123" s="13">
        <f t="shared" si="91"/>
        <v>72.325225017462003</v>
      </c>
      <c r="BG123" s="20">
        <f t="shared" si="61"/>
        <v>658.020392516524</v>
      </c>
      <c r="BH123" s="59">
        <f t="shared" si="62"/>
        <v>944.95537747363903</v>
      </c>
      <c r="BI123" s="59">
        <f ca="1">AVERAGE(OFFSET($BH$3,0,0,'Données projet'!$E$11+1,1))-AVERAGE(OFFSET($H$3,0,0,'Données projet'!$E$11+1,1))</f>
        <v>559.91818701710872</v>
      </c>
      <c r="BJ123" s="59">
        <f t="shared" si="92"/>
        <v>273.47272623465915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18.526300565958014</v>
      </c>
      <c r="BQ123" s="21">
        <f>EXP(-LN(2)/25)*BQ122+(1-EXP(-LN(2)/25))/(LN(2)/25)*Calculateur!BL123*Calculateur!BN123*VLOOKUP('Données projet'!$B$11,Paramètres!$A$1:$I$89,3,0)*0.475*44/12</f>
        <v>22.355358557172757</v>
      </c>
      <c r="BR123" s="21">
        <f>EXP(-LN(2)/2)*BR122+(1-EXP(-LN(2)/2))/(LN(2)/2)*BL123*BO123*VLOOKUP('Données projet'!$B$11,Paramètres!$A$1:$I$89,3,0)*0.475*44/12</f>
        <v>0.36757745135274228</v>
      </c>
      <c r="BS123" s="22">
        <f t="shared" si="63"/>
        <v>41.249236574483518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68.254995897395005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-1.1368683772161603E-13</v>
      </c>
      <c r="BZ123" s="13">
        <f>BY123*VLOOKUP('Données projet'!$B$12,Paramètres!$A$1:$I$89,3,0)*VLOOKUP('Données projet'!$B$12,Paramètres!$A$1:$I$89,5,0)</f>
        <v>-8.8675733422860506E-14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208.92677786250815</v>
      </c>
      <c r="CE123" s="59">
        <f t="shared" si="94"/>
        <v>207.54290142772214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10.038892606971816</v>
      </c>
      <c r="CL123" s="21">
        <f>EXP(-LN(2)/25)*CL122+(1-EXP(-LN(2)/25))/(LN(2)/25)*Calculateur!CG123*Calculateur!CI123*VLOOKUP('Données projet'!$B$12,Paramètres!$A$1:$I$89,3,0)*0.475*44/12</f>
        <v>6.5989622025873551</v>
      </c>
      <c r="CM123" s="21">
        <f>EXP(-LN(2)/2)*CM122+(1-EXP(-LN(2)/2))/(LN(2)/2)*CG123*CJ123*VLOOKUP('Données projet'!$B$12,Paramètres!$A$1:$I$89,3,0)*0.475*44/12</f>
        <v>8.2072911562356849E-7</v>
      </c>
      <c r="CN123" s="22">
        <f t="shared" si="66"/>
        <v>16.637855630288289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68.254995897395005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8.7019999999999982</v>
      </c>
      <c r="CT123" s="12">
        <f>IF('Données projet'!$A$140&gt;35,CT122+CS123-DB122,IF(A123&lt;'Données projet'!$A$140,$CQ$205^A123,IF(A123='Données projet'!$A$140,'Données projet'!$B$140,CT122+CS123-DB122)))</f>
        <v>383.42400000000026</v>
      </c>
      <c r="CU123" s="17">
        <f>CT123*VLOOKUP('Données projet'!$B$13,Paramètres!$A$1:$I$89,3,0)*VLOOKUP('Données projet'!$B$13,Paramètres!$A$1:$I$89,5,0)</f>
        <v>364.86627840000023</v>
      </c>
      <c r="CV123" s="13">
        <f t="shared" si="95"/>
        <v>84.61618210285377</v>
      </c>
      <c r="CW123" s="20">
        <f t="shared" si="67"/>
        <v>782.84861870913744</v>
      </c>
      <c r="CX123" s="59">
        <f t="shared" si="68"/>
        <v>1069.7836036662525</v>
      </c>
      <c r="CY123" s="59">
        <f ca="1">AVERAGE(OFFSET($CX$3,0,0,'Données projet'!$E$13+1,1))-AVERAGE(OFFSET($H$3,0,0,'Données projet'!$E$13+1,1))</f>
        <v>470.42022791389275</v>
      </c>
      <c r="CZ123" s="59">
        <f t="shared" si="96"/>
        <v>300.26117330627346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25.839936496804498</v>
      </c>
      <c r="DG123" s="21">
        <f>EXP(-LN(2)/25)*DG122+(1-EXP(-LN(2)/25))/(LN(2)/25)*Calculateur!DB123*Calculateur!DD123*VLOOKUP('Données projet'!$B$13,Paramètres!$A$1:$I$89,3,0)*0.475*44/12</f>
        <v>22.301410344687469</v>
      </c>
      <c r="DH123" s="21">
        <f>EXP(-LN(2)/2)*DH122+(1-EXP(-LN(2)/2))/(LN(2)/2)*DB123*DE123*VLOOKUP('Données projet'!$B$13,Paramètres!$A$1:$I$89,3,0)*0.475*44/12</f>
        <v>1.4057697941641309</v>
      </c>
      <c r="DI123" s="22">
        <f t="shared" si="69"/>
        <v>49.547116635656096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68.254995897395005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7.0011111111111104</v>
      </c>
      <c r="DO123" s="12">
        <f>IF('Données projet'!$A$166&gt;35,DO122+DN123-DW122,IF(A123&lt;'Données projet'!$A$166,$DL$205^A123,IF(A123='Données projet'!$A$166,'Données projet'!$B$166,DO122+DN123-DW122)))</f>
        <v>301.26777777777778</v>
      </c>
      <c r="DP123" s="17">
        <f>DO123*VLOOKUP('Données projet'!$B$14,Paramètres!$A$1:$I$89,3,0)*VLOOKUP('Données projet'!$B$14,Paramètres!$A$1:$I$89,5,0)</f>
        <v>291.38619466666665</v>
      </c>
      <c r="DQ123" s="13">
        <f t="shared" si="97"/>
        <v>69.367628669059272</v>
      </c>
      <c r="DR123" s="20">
        <f t="shared" si="70"/>
        <v>628.31290897638928</v>
      </c>
      <c r="DS123" s="59">
        <f t="shared" si="71"/>
        <v>915.24789393350432</v>
      </c>
      <c r="DT123" s="59">
        <f ca="1">AVERAGE(OFFSET($DS$3,0,0,'Données projet'!$E$14+1,1))-AVERAGE(OFFSET($H$3,0,0,'Données projet'!$E$14+1,1))</f>
        <v>537.37164071064103</v>
      </c>
      <c r="DU123" s="59">
        <f t="shared" si="98"/>
        <v>263.29777321132235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12.622314671312058</v>
      </c>
      <c r="EB123" s="21">
        <f>EXP(-LN(2)/25)*EB122+(1-EXP(-LN(2)/25))/(LN(2)/25)*Calculateur!DW123*Calculateur!DY123*VLOOKUP('Données projet'!$B$14,Paramètres!$A$1:$I$89,3,0)*0.475*44/12</f>
        <v>14.846853913421693</v>
      </c>
      <c r="EC123" s="21">
        <f>EXP(-LN(2)/2)*EC122+(1-EXP(-LN(2)/2))/(LN(2)/2)*DW123*DZ123*VLOOKUP('Données projet'!$B$14,Paramètres!$A$1:$I$89,3,0)*0.475*44/12</f>
        <v>0.87652801547252068</v>
      </c>
      <c r="ED123" s="22">
        <f t="shared" si="72"/>
        <v>28.345696600206271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68.254995897395005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68.254995897395005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68.254995897395005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68.254995897395005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45">
      <c r="A124" s="10">
        <f t="shared" si="85"/>
        <v>121</v>
      </c>
      <c r="B124" s="73">
        <f>'Scénario référence'!$B$16*5+'Scénario référence'!$B$17*0+'Scénario référence'!$B$18*5</f>
        <v>2.8499999999999996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10.449999999999998</v>
      </c>
      <c r="H124" s="67">
        <f t="shared" si="56"/>
        <v>214.86666666666667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68.285267817330478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10.745999999999999</v>
      </c>
      <c r="N124" s="13">
        <f>IF('Données projet'!$A$36&gt;35,N123+M124-V123,IF(A124&lt;'Données projet'!$A$36,$K$205^A124,IF(A124='Données projet'!$A$36,'Données projet'!$B$36,N123+M124-V123)))</f>
        <v>509.69600000000008</v>
      </c>
      <c r="O124" s="13">
        <f>N124*VLOOKUP('Données projet'!$B$9,Paramètres!$A$1:$I$89,3,0)*VLOOKUP('Données projet'!$B$9,Paramètres!$A$1:$I$89,5,0)</f>
        <v>461.17294080000005</v>
      </c>
      <c r="P124" s="13">
        <f t="shared" si="87"/>
        <v>104.07397295861892</v>
      </c>
      <c r="Q124" s="20">
        <f t="shared" si="107"/>
        <v>984.47170812959484</v>
      </c>
      <c r="R124" s="59">
        <f t="shared" si="55"/>
        <v>1271.5176901264733</v>
      </c>
      <c r="S124" s="59">
        <f ca="1">AVERAGE(OFFSET($R$3,0,0,'Données projet'!$E$9+1,1))-AVERAGE(OFFSET($H$3,0,0,'Données projet'!$E$9+1,1))</f>
        <v>719.20816951277925</v>
      </c>
      <c r="T124" s="59">
        <f t="shared" si="88"/>
        <v>237.1127421841087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60.617684791695261</v>
      </c>
      <c r="AA124" s="21">
        <f>EXP(-LN(2)/25)*AA123+(1-EXP(-LN(2)/25))/(LN(2)/25)*Calculateur!V124*Calculateur!X124*VLOOKUP('Données projet'!$B$9,Paramètres!$A$1:$I$89,3,0)*0.475*44/12</f>
        <v>29.665024060144241</v>
      </c>
      <c r="AB124" s="21">
        <f>EXP(-LN(2)/2)*AB123+(1-EXP(-LN(2)/2))/(LN(2)/2)*V124*Y124*VLOOKUP('Données projet'!$B$9,Paramètres!$A$1:$I$89,3,0)*0.475*44/12</f>
        <v>1.3353837645471879E-4</v>
      </c>
      <c r="AC124" s="22">
        <f t="shared" si="57"/>
        <v>90.282842390215961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68.285267817330478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5.6843418860808015E-14</v>
      </c>
      <c r="AJ124" s="13">
        <f>AI124*VLOOKUP('Données projet'!$B$10,Paramètres!$A$1:$I$89,3,0)*VLOOKUP('Données projet'!$B$10,Paramètres!$A$1:$I$89,5,0)</f>
        <v>4.7884896048344674E-14</v>
      </c>
      <c r="AK124" s="13">
        <f t="shared" si="89"/>
        <v>7.8374629847779921E-13</v>
      </c>
      <c r="AL124" s="20">
        <f t="shared" si="58"/>
        <v>1.4484243304663672E-12</v>
      </c>
      <c r="AM124" s="59">
        <f t="shared" si="59"/>
        <v>287.04598199687985</v>
      </c>
      <c r="AN124" s="59">
        <f ca="1">AVERAGE(OFFSET($AM$3,0,0,'Données projet'!$E$10+1,1))-AVERAGE(OFFSET($H$3,0,0,'Données projet'!$E$10+1,1))</f>
        <v>442.79037205372367</v>
      </c>
      <c r="AO124" s="59">
        <f t="shared" si="90"/>
        <v>288.23553637727969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90.899429068115026</v>
      </c>
      <c r="AV124" s="21">
        <f>EXP(-LN(2)/25)*AV123+(1-EXP(-LN(2)/25))/(LN(2)/25)*Calculateur!AQ124*Calculateur!AS124*VLOOKUP('Données projet'!$B$10,Paramètres!$A$1:$I$89,3,0)*0.475*44/12</f>
        <v>18.459796431958171</v>
      </c>
      <c r="AW124" s="21">
        <f>EXP(-LN(2)/2)*AW123+(1-EXP(-LN(2)/2))/(LN(2)/2)*AQ124*AT124*VLOOKUP('Données projet'!$B$10,Paramètres!$A$1:$I$89,3,0)*0.475*44/12</f>
        <v>4.1006798995370269E-2</v>
      </c>
      <c r="AX124" s="21">
        <f t="shared" si="60"/>
        <v>109.40023229906856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68.285267817330478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7.0011111111111104</v>
      </c>
      <c r="BD124" s="12">
        <f>IF('Données projet'!$A$88&gt;35,BD123+BC124-BL123,IF(A124&lt;'Données projet'!$A$88,$BA$205^A124,IF(A124='Données projet'!$A$88,'Données projet'!$B$88,BD123+BC124-BL123)))</f>
        <v>308.26888888888891</v>
      </c>
      <c r="BE124" s="13">
        <f>BD124*VLOOKUP('Données projet'!$B$11,Paramètres!$A$1:$I$89,3,0)*VLOOKUP('Données projet'!$B$11,Paramètres!$A$1:$I$89,5,0)</f>
        <v>312.58465333333339</v>
      </c>
      <c r="BF124" s="13">
        <f t="shared" si="91"/>
        <v>73.808347542593367</v>
      </c>
      <c r="BG124" s="20">
        <f t="shared" si="61"/>
        <v>672.96780985890575</v>
      </c>
      <c r="BH124" s="59">
        <f t="shared" si="62"/>
        <v>960.01379185578412</v>
      </c>
      <c r="BI124" s="59">
        <f ca="1">AVERAGE(OFFSET($BH$3,0,0,'Données projet'!$E$11+1,1))-AVERAGE(OFFSET($H$3,0,0,'Données projet'!$E$11+1,1))</f>
        <v>559.91818701710872</v>
      </c>
      <c r="BJ124" s="59">
        <f t="shared" si="92"/>
        <v>273.47272623465915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18.163011111787146</v>
      </c>
      <c r="BQ124" s="21">
        <f>EXP(-LN(2)/25)*BQ123+(1-EXP(-LN(2)/25))/(LN(2)/25)*Calculateur!BL124*Calculateur!BN124*VLOOKUP('Données projet'!$B$11,Paramètres!$A$1:$I$89,3,0)*0.475*44/12</f>
        <v>21.744050101809655</v>
      </c>
      <c r="BR124" s="21">
        <f>EXP(-LN(2)/2)*BR123+(1-EXP(-LN(2)/2))/(LN(2)/2)*BL124*BO124*VLOOKUP('Données projet'!$B$11,Paramètres!$A$1:$I$89,3,0)*0.475*44/12</f>
        <v>0.25991650846279235</v>
      </c>
      <c r="BS124" s="22">
        <f t="shared" si="63"/>
        <v>40.166977722059599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68.285267817330478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-1.1368683772161603E-13</v>
      </c>
      <c r="BZ124" s="13">
        <f>BY124*VLOOKUP('Données projet'!$B$12,Paramètres!$A$1:$I$89,3,0)*VLOOKUP('Données projet'!$B$12,Paramètres!$A$1:$I$89,5,0)</f>
        <v>-8.8675733422860506E-14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208.92677786250815</v>
      </c>
      <c r="CE124" s="59">
        <f t="shared" si="94"/>
        <v>207.54290142772214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9.84203604606898</v>
      </c>
      <c r="CL124" s="21">
        <f>EXP(-LN(2)/25)*CL123+(1-EXP(-LN(2)/25))/(LN(2)/25)*Calculateur!CG124*Calculateur!CI124*VLOOKUP('Données projet'!$B$12,Paramètres!$A$1:$I$89,3,0)*0.475*44/12</f>
        <v>6.4185132341332638</v>
      </c>
      <c r="CM124" s="21">
        <f>EXP(-LN(2)/2)*CM123+(1-EXP(-LN(2)/2))/(LN(2)/2)*CG124*CJ124*VLOOKUP('Données projet'!$B$12,Paramètres!$A$1:$I$89,3,0)*0.475*44/12</f>
        <v>5.803431231746633E-7</v>
      </c>
      <c r="CN124" s="22">
        <f t="shared" si="66"/>
        <v>16.260549860545368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68.285267817330478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8.7019999999999982</v>
      </c>
      <c r="CT124" s="12">
        <f>IF('Données projet'!$A$140&gt;35,CT123+CS124-DB123,IF(A124&lt;'Données projet'!$A$140,$CQ$205^A124,IF(A124='Données projet'!$A$140,'Données projet'!$B$140,CT123+CS124-DB123)))</f>
        <v>392.12600000000026</v>
      </c>
      <c r="CU124" s="17">
        <f>CT124*VLOOKUP('Données projet'!$B$13,Paramètres!$A$1:$I$89,3,0)*VLOOKUP('Données projet'!$B$13,Paramètres!$A$1:$I$89,5,0)</f>
        <v>373.14710160000027</v>
      </c>
      <c r="CV124" s="13">
        <f t="shared" si="95"/>
        <v>86.310830804095133</v>
      </c>
      <c r="CW124" s="20">
        <f t="shared" si="67"/>
        <v>800.22256560379947</v>
      </c>
      <c r="CX124" s="59">
        <f t="shared" si="68"/>
        <v>1087.2685476006779</v>
      </c>
      <c r="CY124" s="59">
        <f ca="1">AVERAGE(OFFSET($CX$3,0,0,'Données projet'!$E$13+1,1))-AVERAGE(OFFSET($H$3,0,0,'Données projet'!$E$13+1,1))</f>
        <v>470.42022791389275</v>
      </c>
      <c r="CZ124" s="59">
        <f t="shared" si="96"/>
        <v>300.26117330627346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25.333231102907174</v>
      </c>
      <c r="DG124" s="21">
        <f>EXP(-LN(2)/25)*DG123+(1-EXP(-LN(2)/25))/(LN(2)/25)*Calculateur!DB124*Calculateur!DD124*VLOOKUP('Données projet'!$B$13,Paramètres!$A$1:$I$89,3,0)*0.475*44/12</f>
        <v>21.69157710603179</v>
      </c>
      <c r="DH124" s="21">
        <f>EXP(-LN(2)/2)*DH123+(1-EXP(-LN(2)/2))/(LN(2)/2)*DB124*DE124*VLOOKUP('Données projet'!$B$13,Paramètres!$A$1:$I$89,3,0)*0.475*44/12</f>
        <v>0.99402935424067418</v>
      </c>
      <c r="DI124" s="22">
        <f t="shared" si="69"/>
        <v>48.018837563179638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68.285267817330478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7.0011111111111104</v>
      </c>
      <c r="DO124" s="12">
        <f>IF('Données projet'!$A$166&gt;35,DO123+DN124-DW123,IF(A124&lt;'Données projet'!$A$166,$DL$205^A124,IF(A124='Données projet'!$A$166,'Données projet'!$B$166,DO123+DN124-DW123)))</f>
        <v>308.26888888888891</v>
      </c>
      <c r="DP124" s="17">
        <f>DO124*VLOOKUP('Données projet'!$B$14,Paramètres!$A$1:$I$89,3,0)*VLOOKUP('Données projet'!$B$14,Paramètres!$A$1:$I$89,5,0)</f>
        <v>298.15766933333333</v>
      </c>
      <c r="DQ124" s="13">
        <f t="shared" si="97"/>
        <v>70.790101845868477</v>
      </c>
      <c r="DR124" s="20">
        <f t="shared" si="70"/>
        <v>642.58403480377649</v>
      </c>
      <c r="DS124" s="59">
        <f t="shared" si="71"/>
        <v>929.63001680065486</v>
      </c>
      <c r="DT124" s="59">
        <f ca="1">AVERAGE(OFFSET($DS$3,0,0,'Données projet'!$E$14+1,1))-AVERAGE(OFFSET($H$3,0,0,'Données projet'!$E$14+1,1))</f>
        <v>537.37164071064103</v>
      </c>
      <c r="DU124" s="59">
        <f t="shared" si="98"/>
        <v>263.29777321132235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12.374798779459379</v>
      </c>
      <c r="EB124" s="21">
        <f>EXP(-LN(2)/25)*EB123+(1-EXP(-LN(2)/25))/(LN(2)/25)*Calculateur!DW124*Calculateur!DY124*VLOOKUP('Données projet'!$B$14,Paramètres!$A$1:$I$89,3,0)*0.475*44/12</f>
        <v>14.440865912397063</v>
      </c>
      <c r="EC124" s="21">
        <f>EXP(-LN(2)/2)*EC123+(1-EXP(-LN(2)/2))/(LN(2)/2)*DW124*DZ124*VLOOKUP('Données projet'!$B$14,Paramètres!$A$1:$I$89,3,0)*0.475*44/12</f>
        <v>0.61979890364060641</v>
      </c>
      <c r="ED124" s="22">
        <f t="shared" si="72"/>
        <v>27.435463595497048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68.285267817330478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68.285267817330478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68.285267817330478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68.285267817330478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45">
      <c r="A125" s="10">
        <f t="shared" si="85"/>
        <v>122</v>
      </c>
      <c r="B125" s="73">
        <f>'Scénario référence'!$B$16*5+'Scénario référence'!$B$17*0+'Scénario référence'!$B$18*5</f>
        <v>2.8499999999999996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10.449999999999998</v>
      </c>
      <c r="H125" s="67">
        <f t="shared" si="56"/>
        <v>214.86666666666667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68.315014587132936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10.745999999999999</v>
      </c>
      <c r="N125" s="13">
        <f>IF('Données projet'!$A$36&gt;35,N124+M125-V124,IF(A125&lt;'Données projet'!$A$36,$K$205^A125,IF(A125='Données projet'!$A$36,'Données projet'!$B$36,N124+M125-V124)))</f>
        <v>520.44200000000012</v>
      </c>
      <c r="O125" s="13">
        <f>N125*VLOOKUP('Données projet'!$B$9,Paramètres!$A$1:$I$89,3,0)*VLOOKUP('Données projet'!$B$9,Paramètres!$A$1:$I$89,5,0)</f>
        <v>470.89592160000012</v>
      </c>
      <c r="P125" s="13">
        <f t="shared" si="87"/>
        <v>106.0104143991686</v>
      </c>
      <c r="Q125" s="20">
        <f t="shared" si="107"/>
        <v>1004.7785351985522</v>
      </c>
      <c r="R125" s="59">
        <f t="shared" si="55"/>
        <v>1291.9335886847061</v>
      </c>
      <c r="S125" s="59">
        <f ca="1">AVERAGE(OFFSET($R$3,0,0,'Données projet'!$E$9+1,1))-AVERAGE(OFFSET($H$3,0,0,'Données projet'!$E$9+1,1))</f>
        <v>719.20816951277925</v>
      </c>
      <c r="T125" s="59">
        <f t="shared" si="88"/>
        <v>237.1127421841087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59.429008966067045</v>
      </c>
      <c r="AA125" s="21">
        <f>EXP(-LN(2)/25)*AA124+(1-EXP(-LN(2)/25))/(LN(2)/25)*Calculateur!V125*Calculateur!X125*VLOOKUP('Données projet'!$B$9,Paramètres!$A$1:$I$89,3,0)*0.475*44/12</f>
        <v>28.85383241720378</v>
      </c>
      <c r="AB125" s="21">
        <f>EXP(-LN(2)/2)*AB124+(1-EXP(-LN(2)/2))/(LN(2)/2)*V125*Y125*VLOOKUP('Données projet'!$B$9,Paramètres!$A$1:$I$89,3,0)*0.475*44/12</f>
        <v>9.4425891539773652E-5</v>
      </c>
      <c r="AC125" s="22">
        <f t="shared" si="57"/>
        <v>88.282935809162367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68.315014587132936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5.6843418860808015E-14</v>
      </c>
      <c r="AJ125" s="13">
        <f>AI125*VLOOKUP('Données projet'!$B$10,Paramètres!$A$1:$I$89,3,0)*VLOOKUP('Données projet'!$B$10,Paramètres!$A$1:$I$89,5,0)</f>
        <v>4.7884896048344674E-14</v>
      </c>
      <c r="AK125" s="13">
        <f t="shared" si="89"/>
        <v>7.8374629847779921E-13</v>
      </c>
      <c r="AL125" s="20">
        <f t="shared" si="58"/>
        <v>1.4484243304663672E-12</v>
      </c>
      <c r="AM125" s="59">
        <f t="shared" si="59"/>
        <v>287.15505348615551</v>
      </c>
      <c r="AN125" s="59">
        <f ca="1">AVERAGE(OFFSET($AM$3,0,0,'Données projet'!$E$10+1,1))-AVERAGE(OFFSET($H$3,0,0,'Données projet'!$E$10+1,1))</f>
        <v>442.79037205372367</v>
      </c>
      <c r="AO125" s="59">
        <f t="shared" si="90"/>
        <v>288.23553637727969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89.116946707266465</v>
      </c>
      <c r="AV125" s="21">
        <f>EXP(-LN(2)/25)*AV124+(1-EXP(-LN(2)/25))/(LN(2)/25)*Calculateur!AQ125*Calculateur!AS125*VLOOKUP('Données projet'!$B$10,Paramètres!$A$1:$I$89,3,0)*0.475*44/12</f>
        <v>17.955012327767772</v>
      </c>
      <c r="AW125" s="21">
        <f>EXP(-LN(2)/2)*AW124+(1-EXP(-LN(2)/2))/(LN(2)/2)*AQ125*AT125*VLOOKUP('Données projet'!$B$10,Paramètres!$A$1:$I$89,3,0)*0.475*44/12</f>
        <v>2.8996185644380022E-2</v>
      </c>
      <c r="AX125" s="21">
        <f t="shared" si="60"/>
        <v>107.10095522067861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68.315014587132936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>
        <f>VLOOKUP(A125,'Données projet'!$A$87:$I$107,2,0)</f>
        <v>315.27</v>
      </c>
      <c r="BB125" s="12">
        <f>VLOOKUP(A125,'Données projet'!$A$87:$I$107,9,0)</f>
        <v>7.0011111111111104</v>
      </c>
      <c r="BC125" s="12">
        <f t="array" ref="BC125">INDEX(BB:BB,MIN(IF(ISNUMBER(BB125:BB321),ROW(BB125:BB321),"")))</f>
        <v>7.0011111111111104</v>
      </c>
      <c r="BD125" s="12">
        <f>IF('Données projet'!$A$88&gt;35,BD124+BC125-BL124,IF(A125&lt;'Données projet'!$A$88,$BA$205^A125,IF(A125='Données projet'!$A$88,'Données projet'!$B$88,BD124+BC125-BL124)))</f>
        <v>315.27000000000004</v>
      </c>
      <c r="BE125" s="13">
        <f>BD125*VLOOKUP('Données projet'!$B$11,Paramètres!$A$1:$I$89,3,0)*VLOOKUP('Données projet'!$B$11,Paramètres!$A$1:$I$89,5,0)</f>
        <v>319.68378000000007</v>
      </c>
      <c r="BF125" s="13">
        <f t="shared" si="91"/>
        <v>75.287554156575837</v>
      </c>
      <c r="BG125" s="20">
        <f t="shared" si="61"/>
        <v>687.90840698936972</v>
      </c>
      <c r="BH125" s="59">
        <f t="shared" si="62"/>
        <v>975.06346047552381</v>
      </c>
      <c r="BI125" s="59">
        <f ca="1">AVERAGE(OFFSET($BH$3,0,0,'Données projet'!$E$11+1,1))-AVERAGE(OFFSET($H$3,0,0,'Données projet'!$E$11+1,1))</f>
        <v>559.91818701710872</v>
      </c>
      <c r="BJ125" s="59">
        <f t="shared" si="92"/>
        <v>273.47272623465915</v>
      </c>
      <c r="BK125" s="15">
        <f>IF(ISNA(VLOOKUP(A125,'Données projet'!$A$87:$I$107,3,0)),0,VLOOKUP(A125,'Données projet'!$A$87:$I$107,3,0))</f>
        <v>8</v>
      </c>
      <c r="BL125" s="15">
        <f>IF(ISNA(VLOOKUP(A125,'Données projet'!$A$87:$I$107,4,0)),0,VLOOKUP(A125,'Données projet'!$A$87:$I$107,4,0))</f>
        <v>45.829999999999984</v>
      </c>
      <c r="BM125" s="16">
        <f>IF(ISNA(VLOOKUP(A125,'Données projet'!$A$87:$I$107,5,0)),0%,VLOOKUP(A125,'Données projet'!$A$87:$I$107,5,0)*VLOOKUP('Données projet'!$B$11,Paramètres!$A$1:$I$89,7,0))</f>
        <v>0.15049999999999999</v>
      </c>
      <c r="BN125" s="16">
        <f>IF(ISNA(VLOOKUP(A125,'Données projet'!$A$87:$I$107,6,0)),0%,VLOOKUP(A125,'Données projet'!$A$87:$I$107,6,0)*VLOOKUP('Données projet'!$B$11,Paramètres!$A$1:$I$89,7,0))</f>
        <v>8.6000000000000007E-2</v>
      </c>
      <c r="BO125" s="16">
        <f>IF(ISNA(VLOOKUP(A125,'Données projet'!$A$87:$I$107,7,0)),0%,VLOOKUP(A125,'Données projet'!$A$87:$I$107,7,0))</f>
        <v>0.1</v>
      </c>
      <c r="BP125" s="21">
        <f>EXP(-LN(2)/35)*BP124+(1-EXP(-LN(2)/35))/(LN(2)/35)*BL125*BM125*VLOOKUP('Données projet'!$B$11,Paramètres!$A$1:$I$89,3,0)*0.475*44/12</f>
        <v>25.538481951763991</v>
      </c>
      <c r="BQ125" s="21">
        <f>EXP(-LN(2)/25)*BQ124+(1-EXP(-LN(2)/25))/(LN(2)/25)*Calculateur!BL125*Calculateur!BN125*VLOOKUP('Données projet'!$B$11,Paramètres!$A$1:$I$89,3,0)*0.475*44/12</f>
        <v>25.550140200309961</v>
      </c>
      <c r="BR125" s="21">
        <f>EXP(-LN(2)/2)*BR124+(1-EXP(-LN(2)/2))/(LN(2)/2)*BL125*BO125*VLOOKUP('Données projet'!$B$11,Paramètres!$A$1:$I$89,3,0)*0.475*44/12</f>
        <v>4.568511149207775</v>
      </c>
      <c r="BS125" s="22">
        <f t="shared" si="63"/>
        <v>55.657133301281725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68.315014587132936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-1.1368683772161603E-13</v>
      </c>
      <c r="BZ125" s="13">
        <f>BY125*VLOOKUP('Données projet'!$B$12,Paramètres!$A$1:$I$89,3,0)*VLOOKUP('Données projet'!$B$12,Paramètres!$A$1:$I$89,5,0)</f>
        <v>-8.8675733422860506E-14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208.92677786250815</v>
      </c>
      <c r="CE125" s="59">
        <f t="shared" si="94"/>
        <v>207.54290142772214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9.6490397222548037</v>
      </c>
      <c r="CL125" s="21">
        <f>EXP(-LN(2)/25)*CL124+(1-EXP(-LN(2)/25))/(LN(2)/25)*Calculateur!CG125*Calculateur!CI125*VLOOKUP('Données projet'!$B$12,Paramètres!$A$1:$I$89,3,0)*0.475*44/12</f>
        <v>6.2429986522109484</v>
      </c>
      <c r="CM125" s="21">
        <f>EXP(-LN(2)/2)*CM124+(1-EXP(-LN(2)/2))/(LN(2)/2)*CG125*CJ125*VLOOKUP('Données projet'!$B$12,Paramètres!$A$1:$I$89,3,0)*0.475*44/12</f>
        <v>4.1036455781178424E-7</v>
      </c>
      <c r="CN125" s="22">
        <f t="shared" si="66"/>
        <v>15.89203878483031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68.315014587132936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8.7019999999999982</v>
      </c>
      <c r="CT125" s="12">
        <f>IF('Données projet'!$A$140&gt;35,CT124+CS125-DB124,IF(A125&lt;'Données projet'!$A$140,$CQ$205^A125,IF(A125='Données projet'!$A$140,'Données projet'!$B$140,CT124+CS125-DB124)))</f>
        <v>400.82800000000026</v>
      </c>
      <c r="CU125" s="17">
        <f>CT125*VLOOKUP('Données projet'!$B$13,Paramètres!$A$1:$I$89,3,0)*VLOOKUP('Données projet'!$B$13,Paramètres!$A$1:$I$89,5,0)</f>
        <v>381.42792480000026</v>
      </c>
      <c r="CV125" s="13">
        <f t="shared" si="95"/>
        <v>88.001107275506357</v>
      </c>
      <c r="CW125" s="20">
        <f t="shared" si="67"/>
        <v>817.58889753150731</v>
      </c>
      <c r="CX125" s="59">
        <f t="shared" si="68"/>
        <v>1104.7439510176614</v>
      </c>
      <c r="CY125" s="59">
        <f ca="1">AVERAGE(OFFSET($CX$3,0,0,'Données projet'!$E$13+1,1))-AVERAGE(OFFSET($H$3,0,0,'Données projet'!$E$13+1,1))</f>
        <v>470.42022791389275</v>
      </c>
      <c r="CZ125" s="59">
        <f t="shared" si="96"/>
        <v>300.26117330627346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24.836461892724405</v>
      </c>
      <c r="DG125" s="21">
        <f>EXP(-LN(2)/25)*DG124+(1-EXP(-LN(2)/25))/(LN(2)/25)*Calculateur!DB125*Calculateur!DD125*VLOOKUP('Données projet'!$B$13,Paramètres!$A$1:$I$89,3,0)*0.475*44/12</f>
        <v>21.098419789356889</v>
      </c>
      <c r="DH125" s="21">
        <f>EXP(-LN(2)/2)*DH124+(1-EXP(-LN(2)/2))/(LN(2)/2)*DB125*DE125*VLOOKUP('Données projet'!$B$13,Paramètres!$A$1:$I$89,3,0)*0.475*44/12</f>
        <v>0.70288489708206559</v>
      </c>
      <c r="DI125" s="22">
        <f t="shared" si="69"/>
        <v>46.637766579163362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68.315014587132936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>
        <f>VLOOKUP(A125,'Données projet'!$A$165:$I$185,2,0)</f>
        <v>315.27</v>
      </c>
      <c r="DM125" s="12">
        <f>VLOOKUP(A125,'Données projet'!$A$165:$I$185,9,0)</f>
        <v>7.0011111111111104</v>
      </c>
      <c r="DN125" s="12">
        <f t="array" ref="DN125">INDEX(DM:DM,MIN(IF(ISNUMBER(DM125:DM321),ROW(DM125:DM321),"")))</f>
        <v>7.0011111111111104</v>
      </c>
      <c r="DO125" s="12">
        <f>IF('Données projet'!$A$166&gt;35,DO124+DN125-DW124,IF(A125&lt;'Données projet'!$A$166,$DL$205^A125,IF(A125='Données projet'!$A$166,'Données projet'!$B$166,DO124+DN125-DW124)))</f>
        <v>315.27000000000004</v>
      </c>
      <c r="DP125" s="17">
        <f>DO125*VLOOKUP('Données projet'!$B$14,Paramètres!$A$1:$I$89,3,0)*VLOOKUP('Données projet'!$B$14,Paramètres!$A$1:$I$89,5,0)</f>
        <v>304.92914400000006</v>
      </c>
      <c r="DQ125" s="13">
        <f t="shared" si="97"/>
        <v>72.20881924493338</v>
      </c>
      <c r="DR125" s="20">
        <f t="shared" si="70"/>
        <v>656.84861931825901</v>
      </c>
      <c r="DS125" s="59">
        <f t="shared" si="71"/>
        <v>944.0036728044131</v>
      </c>
      <c r="DT125" s="59">
        <f ca="1">AVERAGE(OFFSET($DS$3,0,0,'Données projet'!$E$14+1,1))-AVERAGE(OFFSET($H$3,0,0,'Données projet'!$E$14+1,1))</f>
        <v>537.37164071064103</v>
      </c>
      <c r="DU125" s="59">
        <f t="shared" si="98"/>
        <v>263.29777321132235</v>
      </c>
      <c r="DV125" s="15">
        <f>IF(ISNA(VLOOKUP(A125,'Données projet'!$A$165:$I$185,3,0)),0,VLOOKUP(A125,'Données projet'!$A$165:$I$185,3,0))</f>
        <v>8</v>
      </c>
      <c r="DW125" s="15">
        <f>IF(ISNA(VLOOKUP(A125,'Données projet'!$A$165:$I$185,4,0)),0,VLOOKUP(A125,'Données projet'!$A$165:$I$185,4,0))</f>
        <v>45.829999999999984</v>
      </c>
      <c r="DX125" s="16">
        <f>IF(ISNA(VLOOKUP(A125,'Données projet'!$A$165:$I$185,5,0)),0%,VLOOKUP(A125,'Données projet'!$A$165:$I$185,5,0)*VLOOKUP('Données projet'!$B$14,Paramètres!$A$1:$I$89,7,0))</f>
        <v>0.1075</v>
      </c>
      <c r="DY125" s="16">
        <f>IF(ISNA(VLOOKUP(A125,'Données projet'!$A$165:$I$185,6,0)),0%,VLOOKUP(A125,'Données projet'!$A$165:$I$185,6,0)*VLOOKUP('Données projet'!$B$14,Paramètres!$A$1:$I$89,7,0))</f>
        <v>0.1075</v>
      </c>
      <c r="DZ125" s="16">
        <f>IF(ISNA(VLOOKUP(A125,'Données projet'!$A$165:$I$185,7,0)),0%,VLOOKUP(A125,'Données projet'!$A$165:$I$185,7,0))</f>
        <v>0.25</v>
      </c>
      <c r="EA125" s="21">
        <f>EXP(-LN(2)/35)*EA124+(1-EXP(-LN(2)/35))/(LN(2)/35)*DW125*DX125*VLOOKUP('Données projet'!$B$14,Paramètres!$A$1:$I$89,3,0)*0.475*44/12</f>
        <v>17.399844846256791</v>
      </c>
      <c r="EB125" s="21">
        <f>EXP(-LN(2)/25)*EB124+(1-EXP(-LN(2)/25))/(LN(2)/25)*Calculateur!DW125*Calculateur!DY125*VLOOKUP('Données projet'!$B$14,Paramètres!$A$1:$I$89,3,0)*0.475*44/12</f>
        <v>19.292947022769273</v>
      </c>
      <c r="EC125" s="21">
        <f>EXP(-LN(2)/2)*EC124+(1-EXP(-LN(2)/2))/(LN(2)/2)*DW125*DZ125*VLOOKUP('Données projet'!$B$14,Paramètres!$A$1:$I$89,3,0)*0.475*44/12</f>
        <v>10.894140556157298</v>
      </c>
      <c r="ED125" s="22">
        <f t="shared" si="72"/>
        <v>47.586932425183363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68.315014587132936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68.315014587132936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68.315014587132936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68.315014587132936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45">
      <c r="A126" s="10">
        <f t="shared" si="85"/>
        <v>123</v>
      </c>
      <c r="B126" s="73">
        <f>'Scénario référence'!$B$16*5+'Scénario référence'!$B$17*0+'Scénario référence'!$B$18*5</f>
        <v>2.8499999999999996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10.449999999999998</v>
      </c>
      <c r="H126" s="67">
        <f t="shared" si="56"/>
        <v>214.86666666666667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68.344245316983148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10.745999999999999</v>
      </c>
      <c r="N126" s="13">
        <f>IF('Données projet'!$A$36&gt;35,N125+M126-V125,IF(A126&lt;'Données projet'!$A$36,$K$205^A126,IF(A126='Données projet'!$A$36,'Données projet'!$B$36,N125+M126-V125)))</f>
        <v>531.1880000000001</v>
      </c>
      <c r="O126" s="13">
        <f>N126*VLOOKUP('Données projet'!$B$9,Paramètres!$A$1:$I$89,3,0)*VLOOKUP('Données projet'!$B$9,Paramètres!$A$1:$I$89,5,0)</f>
        <v>480.61890240000002</v>
      </c>
      <c r="P126" s="13">
        <f t="shared" si="87"/>
        <v>107.9422070202726</v>
      </c>
      <c r="Q126" s="20">
        <f t="shared" si="107"/>
        <v>1025.0772655736414</v>
      </c>
      <c r="R126" s="59">
        <f t="shared" si="55"/>
        <v>1312.3394984025797</v>
      </c>
      <c r="S126" s="59">
        <f ca="1">AVERAGE(OFFSET($R$3,0,0,'Données projet'!$E$9+1,1))-AVERAGE(OFFSET($H$3,0,0,'Données projet'!$E$9+1,1))</f>
        <v>719.20816951277925</v>
      </c>
      <c r="T126" s="59">
        <f t="shared" si="88"/>
        <v>237.1127421841087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58.263642348358736</v>
      </c>
      <c r="AA126" s="21">
        <f>EXP(-LN(2)/25)*AA125+(1-EXP(-LN(2)/25))/(LN(2)/25)*Calculateur!V126*Calculateur!X126*VLOOKUP('Données projet'!$B$9,Paramètres!$A$1:$I$89,3,0)*0.475*44/12</f>
        <v>28.06482285239824</v>
      </c>
      <c r="AB126" s="21">
        <f>EXP(-LN(2)/2)*AB125+(1-EXP(-LN(2)/2))/(LN(2)/2)*V126*Y126*VLOOKUP('Données projet'!$B$9,Paramètres!$A$1:$I$89,3,0)*0.475*44/12</f>
        <v>6.6769188227359396E-5</v>
      </c>
      <c r="AC126" s="22">
        <f t="shared" si="57"/>
        <v>86.328531969945203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68.344245316983148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5.6843418860808015E-14</v>
      </c>
      <c r="AJ126" s="13">
        <f>AI126*VLOOKUP('Données projet'!$B$10,Paramètres!$A$1:$I$89,3,0)*VLOOKUP('Données projet'!$B$10,Paramètres!$A$1:$I$89,5,0)</f>
        <v>4.7884896048344674E-14</v>
      </c>
      <c r="AK126" s="13">
        <f t="shared" si="89"/>
        <v>7.8374629847779921E-13</v>
      </c>
      <c r="AL126" s="20">
        <f t="shared" si="58"/>
        <v>1.4484243304663672E-12</v>
      </c>
      <c r="AM126" s="59">
        <f t="shared" si="59"/>
        <v>287.26223282893966</v>
      </c>
      <c r="AN126" s="59">
        <f ca="1">AVERAGE(OFFSET($AM$3,0,0,'Données projet'!$E$10+1,1))-AVERAGE(OFFSET($H$3,0,0,'Données projet'!$E$10+1,1))</f>
        <v>442.79037205372367</v>
      </c>
      <c r="AO126" s="59">
        <f t="shared" si="90"/>
        <v>288.23553637727969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87.369417738307249</v>
      </c>
      <c r="AV126" s="21">
        <f>EXP(-LN(2)/25)*AV125+(1-EXP(-LN(2)/25))/(LN(2)/25)*Calculateur!AQ126*Calculateur!AS126*VLOOKUP('Données projet'!$B$10,Paramètres!$A$1:$I$89,3,0)*0.475*44/12</f>
        <v>17.464031571451901</v>
      </c>
      <c r="AW126" s="21">
        <f>EXP(-LN(2)/2)*AW125+(1-EXP(-LN(2)/2))/(LN(2)/2)*AQ126*AT126*VLOOKUP('Données projet'!$B$10,Paramètres!$A$1:$I$89,3,0)*0.475*44/12</f>
        <v>2.0503399497685135E-2</v>
      </c>
      <c r="AX126" s="21">
        <f t="shared" si="60"/>
        <v>104.85395270925683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68.344245316983148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7.1129999999999995</v>
      </c>
      <c r="BD126" s="12">
        <f>IF('Données projet'!$A$88&gt;35,BD125+BC126-BL125,IF(A126&lt;'Données projet'!$A$88,$BA$205^A126,IF(A126='Données projet'!$A$88,'Données projet'!$B$88,BD125+BC126-BL125)))</f>
        <v>276.55300000000005</v>
      </c>
      <c r="BE126" s="13">
        <f>BD126*VLOOKUP('Données projet'!$B$11,Paramètres!$A$1:$I$89,3,0)*VLOOKUP('Données projet'!$B$11,Paramètres!$A$1:$I$89,5,0)</f>
        <v>280.42474200000009</v>
      </c>
      <c r="BF126" s="13">
        <f t="shared" si="91"/>
        <v>67.056761155527383</v>
      </c>
      <c r="BG126" s="20">
        <f t="shared" si="61"/>
        <v>605.19695132921026</v>
      </c>
      <c r="BH126" s="59">
        <f t="shared" si="62"/>
        <v>892.45918415814845</v>
      </c>
      <c r="BI126" s="59">
        <f ca="1">AVERAGE(OFFSET($BH$3,0,0,'Données projet'!$E$11+1,1))-AVERAGE(OFFSET($H$3,0,0,'Données projet'!$E$11+1,1))</f>
        <v>559.91818701710872</v>
      </c>
      <c r="BJ126" s="59">
        <f t="shared" si="92"/>
        <v>273.47272623465915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25.037687897625794</v>
      </c>
      <c r="BQ126" s="21">
        <f>EXP(-LN(2)/25)*BQ125+(1-EXP(-LN(2)/25))/(LN(2)/25)*Calculateur!BL126*Calculateur!BN126*VLOOKUP('Données projet'!$B$11,Paramètres!$A$1:$I$89,3,0)*0.475*44/12</f>
        <v>24.851470272909008</v>
      </c>
      <c r="BR126" s="21">
        <f>EXP(-LN(2)/2)*BR125+(1-EXP(-LN(2)/2))/(LN(2)/2)*BL126*BO126*VLOOKUP('Données projet'!$B$11,Paramètres!$A$1:$I$89,3,0)*0.475*44/12</f>
        <v>3.2304252135311651</v>
      </c>
      <c r="BS126" s="22">
        <f t="shared" si="63"/>
        <v>53.119583384065962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68.344245316983148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-1.1368683772161603E-13</v>
      </c>
      <c r="BZ126" s="13">
        <f>BY126*VLOOKUP('Données projet'!$B$12,Paramètres!$A$1:$I$89,3,0)*VLOOKUP('Données projet'!$B$12,Paramètres!$A$1:$I$89,5,0)</f>
        <v>-8.8675733422860506E-14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208.92677786250815</v>
      </c>
      <c r="CE126" s="59">
        <f t="shared" si="94"/>
        <v>207.54290142772214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9.4598279386344899</v>
      </c>
      <c r="CL126" s="21">
        <f>EXP(-LN(2)/25)*CL125+(1-EXP(-LN(2)/25))/(LN(2)/25)*Calculateur!CG126*Calculateur!CI126*VLOOKUP('Données projet'!$B$12,Paramètres!$A$1:$I$89,3,0)*0.475*44/12</f>
        <v>6.0722835257612093</v>
      </c>
      <c r="CM126" s="21">
        <f>EXP(-LN(2)/2)*CM125+(1-EXP(-LN(2)/2))/(LN(2)/2)*CG126*CJ126*VLOOKUP('Données projet'!$B$12,Paramètres!$A$1:$I$89,3,0)*0.475*44/12</f>
        <v>2.9017156158733165E-7</v>
      </c>
      <c r="CN126" s="22">
        <f t="shared" si="66"/>
        <v>15.532111754567261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68.344245316983148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>
        <f>VLOOKUP(A126,'Données projet'!$A$139:$I$159,2,0)</f>
        <v>409.53</v>
      </c>
      <c r="CR126" s="12">
        <f>VLOOKUP(A126,'Données projet'!$A$139:$I$159,9,0)</f>
        <v>8.7019999999999982</v>
      </c>
      <c r="CS126" s="12">
        <f t="array" ref="CS126">INDEX(CR:CR,MIN(IF(ISNUMBER(CR126:CR322),ROW(CR126:CR322),"")))</f>
        <v>8.7019999999999982</v>
      </c>
      <c r="CT126" s="12">
        <f>IF('Données projet'!$A$140&gt;35,CT125+CS126-DB125,IF(A126&lt;'Données projet'!$A$140,$CQ$205^A126,IF(A126='Données projet'!$A$140,'Données projet'!$B$140,CT125+CS126-DB125)))</f>
        <v>409.53000000000026</v>
      </c>
      <c r="CU126" s="17">
        <f>CT126*VLOOKUP('Données projet'!$B$13,Paramètres!$A$1:$I$89,3,0)*VLOOKUP('Données projet'!$B$13,Paramètres!$A$1:$I$89,5,0)</f>
        <v>389.70874800000024</v>
      </c>
      <c r="CV126" s="13">
        <f t="shared" si="95"/>
        <v>89.687117370320195</v>
      </c>
      <c r="CW126" s="20">
        <f t="shared" si="67"/>
        <v>834.94779885330809</v>
      </c>
      <c r="CX126" s="59">
        <f t="shared" si="68"/>
        <v>1122.2100316822464</v>
      </c>
      <c r="CY126" s="59">
        <f ca="1">AVERAGE(OFFSET($CX$3,0,0,'Données projet'!$E$13+1,1))-AVERAGE(OFFSET($H$3,0,0,'Données projet'!$E$13+1,1))</f>
        <v>470.42022791389275</v>
      </c>
      <c r="CZ126" s="59">
        <f t="shared" si="96"/>
        <v>300.26117330627346</v>
      </c>
      <c r="DA126" s="15">
        <f>IF(ISNA(VLOOKUP(A126,'Données projet'!$A$139:$I$159,3,0)),0,VLOOKUP(A126,'Données projet'!$A$139:$I$159,3,0))</f>
        <v>11</v>
      </c>
      <c r="DB126" s="15">
        <f>IF(ISNA(VLOOKUP(A126,'Données projet'!$A$139:$I$159,4,0)),0,VLOOKUP(A126,'Données projet'!$A$139:$I$159,4,0))</f>
        <v>203.78999999999996</v>
      </c>
      <c r="DC126" s="16">
        <f>IF(ISNA(VLOOKUP(A126,'Données projet'!$A$139:$I$159,5,0)),0%,VLOOKUP(A126,'Données projet'!$A$139:$I$159,5,0)*VLOOKUP('Données projet'!$B$13,Paramètres!$A$1:$I$89,7,0))</f>
        <v>0.1075</v>
      </c>
      <c r="DD126" s="16">
        <f>IF(ISNA(VLOOKUP(A126,'Données projet'!$A$139:$I$159,6,0)),0%,VLOOKUP(A126,'Données projet'!$A$139:$I$159,6,0)*VLOOKUP('Données projet'!$B$13,Paramètres!$A$1:$I$89,7,0))</f>
        <v>0.1075</v>
      </c>
      <c r="DE126" s="16">
        <f>IF(ISNA(VLOOKUP(A126,'Données projet'!$A$139:$I$159,7,0)),0%,VLOOKUP(A126,'Données projet'!$A$139:$I$159,7,0))</f>
        <v>0.25</v>
      </c>
      <c r="DF126" s="21">
        <f>EXP(-LN(2)/35)*DF125+(1-EXP(-LN(2)/35))/(LN(2)/35)*DB126*DC126*VLOOKUP('Données projet'!$B$13,Paramètres!$A$1:$I$89,3,0)*0.475*44/12</f>
        <v>47.395291796713614</v>
      </c>
      <c r="DG126" s="21">
        <f>EXP(-LN(2)/25)*DG125+(1-EXP(-LN(2)/25))/(LN(2)/25)*Calculateur!DB126*Calculateur!DD126*VLOOKUP('Données projet'!$B$13,Paramètres!$A$1:$I$89,3,0)*0.475*44/12</f>
        <v>43.476599840446454</v>
      </c>
      <c r="DH126" s="21">
        <f>EXP(-LN(2)/2)*DH125+(1-EXP(-LN(2)/2))/(LN(2)/2)*DB126*DE126*VLOOKUP('Données projet'!$B$13,Paramètres!$A$1:$I$89,3,0)*0.475*44/12</f>
        <v>46.240747824856413</v>
      </c>
      <c r="DI126" s="22">
        <f t="shared" si="69"/>
        <v>137.11263946201649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68.344245316983148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7.1129999999999995</v>
      </c>
      <c r="DO126" s="12">
        <f>IF('Données projet'!$A$166&gt;35,DO125+DN126-DW125,IF(A126&lt;'Données projet'!$A$166,$DL$205^A126,IF(A126='Données projet'!$A$166,'Données projet'!$B$166,DO125+DN126-DW125)))</f>
        <v>276.55300000000005</v>
      </c>
      <c r="DP126" s="17">
        <f>DO126*VLOOKUP('Données projet'!$B$14,Paramètres!$A$1:$I$89,3,0)*VLOOKUP('Données projet'!$B$14,Paramètres!$A$1:$I$89,5,0)</f>
        <v>267.48206160000007</v>
      </c>
      <c r="DQ126" s="13">
        <f t="shared" si="97"/>
        <v>64.314608166975702</v>
      </c>
      <c r="DR126" s="20">
        <f t="shared" si="70"/>
        <v>577.87919984414941</v>
      </c>
      <c r="DS126" s="59">
        <f t="shared" si="71"/>
        <v>865.14143267308759</v>
      </c>
      <c r="DT126" s="59">
        <f ca="1">AVERAGE(OFFSET($DS$3,0,0,'Données projet'!$E$14+1,1))-AVERAGE(OFFSET($H$3,0,0,'Données projet'!$E$14+1,1))</f>
        <v>537.37164071064103</v>
      </c>
      <c r="DU126" s="59">
        <f t="shared" si="98"/>
        <v>263.29777321132235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17.058644501679119</v>
      </c>
      <c r="EB126" s="21">
        <f>EXP(-LN(2)/25)*EB125+(1-EXP(-LN(2)/25))/(LN(2)/25)*Calculateur!DW126*Calculateur!DY126*VLOOKUP('Données projet'!$B$14,Paramètres!$A$1:$I$89,3,0)*0.475*44/12</f>
        <v>18.765380371859656</v>
      </c>
      <c r="EC126" s="21">
        <f>EXP(-LN(2)/2)*EC125+(1-EXP(-LN(2)/2))/(LN(2)/2)*DW126*DZ126*VLOOKUP('Données projet'!$B$14,Paramètres!$A$1:$I$89,3,0)*0.475*44/12</f>
        <v>7.7033206624582125</v>
      </c>
      <c r="ED126" s="22">
        <f t="shared" si="72"/>
        <v>43.527345535996986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68.344245316983148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68.344245316983148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68.344245316983148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68.344245316983148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45">
      <c r="A127" s="10">
        <f t="shared" si="85"/>
        <v>124</v>
      </c>
      <c r="B127" s="73">
        <f>'Scénario référence'!$B$16*5+'Scénario référence'!$B$17*0+'Scénario référence'!$B$18*5</f>
        <v>2.8499999999999996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10.449999999999998</v>
      </c>
      <c r="H127" s="67">
        <f t="shared" si="56"/>
        <v>214.86666666666667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68.372968959020582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10.745999999999999</v>
      </c>
      <c r="N127" s="13">
        <f>IF('Données projet'!$A$36&gt;35,N126+M127-V126,IF(A127&lt;'Données projet'!$A$36,$K$205^A127,IF(A127='Données projet'!$A$36,'Données projet'!$B$36,N126+M127-V126)))</f>
        <v>541.93400000000008</v>
      </c>
      <c r="O127" s="13">
        <f>N127*VLOOKUP('Données projet'!$B$9,Paramètres!$A$1:$I$89,3,0)*VLOOKUP('Données projet'!$B$9,Paramètres!$A$1:$I$89,5,0)</f>
        <v>490.34188320000004</v>
      </c>
      <c r="P127" s="13">
        <f t="shared" si="87"/>
        <v>109.86945570602957</v>
      </c>
      <c r="Q127" s="20">
        <f t="shared" si="107"/>
        <v>1045.3680819280014</v>
      </c>
      <c r="R127" s="59">
        <f t="shared" si="55"/>
        <v>1332.7356347777436</v>
      </c>
      <c r="S127" s="59">
        <f ca="1">AVERAGE(OFFSET($R$3,0,0,'Données projet'!$E$9+1,1))-AVERAGE(OFFSET($H$3,0,0,'Données projet'!$E$9+1,1))</f>
        <v>719.20816951277925</v>
      </c>
      <c r="T127" s="59">
        <f t="shared" si="88"/>
        <v>237.1127421841087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57.121127859220238</v>
      </c>
      <c r="AA127" s="21">
        <f>EXP(-LN(2)/25)*AA126+(1-EXP(-LN(2)/25))/(LN(2)/25)*Calculateur!V127*Calculateur!X127*VLOOKUP('Données projet'!$B$9,Paramètres!$A$1:$I$89,3,0)*0.475*44/12</f>
        <v>27.297388795634518</v>
      </c>
      <c r="AB127" s="21">
        <f>EXP(-LN(2)/2)*AB126+(1-EXP(-LN(2)/2))/(LN(2)/2)*V127*Y127*VLOOKUP('Données projet'!$B$9,Paramètres!$A$1:$I$89,3,0)*0.475*44/12</f>
        <v>4.7212945769886826E-5</v>
      </c>
      <c r="AC127" s="22">
        <f t="shared" si="57"/>
        <v>84.418563867800529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68.372968959020582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5.6843418860808015E-14</v>
      </c>
      <c r="AJ127" s="13">
        <f>AI127*VLOOKUP('Données projet'!$B$10,Paramètres!$A$1:$I$89,3,0)*VLOOKUP('Données projet'!$B$10,Paramètres!$A$1:$I$89,5,0)</f>
        <v>4.7884896048344674E-14</v>
      </c>
      <c r="AK127" s="13">
        <f t="shared" si="89"/>
        <v>7.8374629847779921E-13</v>
      </c>
      <c r="AL127" s="20">
        <f t="shared" si="58"/>
        <v>1.4484243304663672E-12</v>
      </c>
      <c r="AM127" s="59">
        <f t="shared" si="59"/>
        <v>287.36755284974356</v>
      </c>
      <c r="AN127" s="59">
        <f ca="1">AVERAGE(OFFSET($AM$3,0,0,'Données projet'!$E$10+1,1))-AVERAGE(OFFSET($H$3,0,0,'Données projet'!$E$10+1,1))</f>
        <v>442.79037205372367</v>
      </c>
      <c r="AO127" s="59">
        <f t="shared" si="90"/>
        <v>288.23553637727969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85.65615674654191</v>
      </c>
      <c r="AV127" s="21">
        <f>EXP(-LN(2)/25)*AV126+(1-EXP(-LN(2)/25))/(LN(2)/25)*Calculateur!AQ127*Calculateur!AS127*VLOOKUP('Données projet'!$B$10,Paramètres!$A$1:$I$89,3,0)*0.475*44/12</f>
        <v>16.986476709737044</v>
      </c>
      <c r="AW127" s="21">
        <f>EXP(-LN(2)/2)*AW126+(1-EXP(-LN(2)/2))/(LN(2)/2)*AQ127*AT127*VLOOKUP('Données projet'!$B$10,Paramètres!$A$1:$I$89,3,0)*0.475*44/12</f>
        <v>1.4498092822190011E-2</v>
      </c>
      <c r="AX127" s="21">
        <f t="shared" si="60"/>
        <v>102.65713154910115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68.372968959020582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7.1129999999999995</v>
      </c>
      <c r="BD127" s="12">
        <f>IF('Données projet'!$A$88&gt;35,BD126+BC127-BL126,IF(A127&lt;'Données projet'!$A$88,$BA$205^A127,IF(A127='Données projet'!$A$88,'Données projet'!$B$88,BD126+BC127-BL126)))</f>
        <v>283.66600000000005</v>
      </c>
      <c r="BE127" s="13">
        <f>BD127*VLOOKUP('Données projet'!$B$11,Paramètres!$A$1:$I$89,3,0)*VLOOKUP('Données projet'!$B$11,Paramètres!$A$1:$I$89,5,0)</f>
        <v>287.63732400000009</v>
      </c>
      <c r="BF127" s="13">
        <f t="shared" si="91"/>
        <v>68.578458468860646</v>
      </c>
      <c r="BG127" s="20">
        <f t="shared" si="61"/>
        <v>620.40915446659915</v>
      </c>
      <c r="BH127" s="59">
        <f t="shared" si="62"/>
        <v>907.77670731634134</v>
      </c>
      <c r="BI127" s="59">
        <f ca="1">AVERAGE(OFFSET($BH$3,0,0,'Données projet'!$E$11+1,1))-AVERAGE(OFFSET($H$3,0,0,'Données projet'!$E$11+1,1))</f>
        <v>559.91818701710872</v>
      </c>
      <c r="BJ127" s="59">
        <f t="shared" si="92"/>
        <v>273.47272623465915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24.546714109435037</v>
      </c>
      <c r="BQ127" s="21">
        <f>EXP(-LN(2)/25)*BQ126+(1-EXP(-LN(2)/25))/(LN(2)/25)*Calculateur!BL127*Calculateur!BN127*VLOOKUP('Données projet'!$B$11,Paramètres!$A$1:$I$89,3,0)*0.475*44/12</f>
        <v>24.171905511414288</v>
      </c>
      <c r="BR127" s="21">
        <f>EXP(-LN(2)/2)*BR126+(1-EXP(-LN(2)/2))/(LN(2)/2)*BL127*BO127*VLOOKUP('Données projet'!$B$11,Paramètres!$A$1:$I$89,3,0)*0.475*44/12</f>
        <v>2.284255574603888</v>
      </c>
      <c r="BS127" s="22">
        <f t="shared" si="63"/>
        <v>51.002875195453214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68.372968959020582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-1.1368683772161603E-13</v>
      </c>
      <c r="BZ127" s="13">
        <f>BY127*VLOOKUP('Données projet'!$B$12,Paramètres!$A$1:$I$89,3,0)*VLOOKUP('Données projet'!$B$12,Paramètres!$A$1:$I$89,5,0)</f>
        <v>-8.8675733422860506E-14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208.92677786250815</v>
      </c>
      <c r="CE127" s="59">
        <f t="shared" si="94"/>
        <v>207.54290142772214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9.2743264826831773</v>
      </c>
      <c r="CL127" s="21">
        <f>EXP(-LN(2)/25)*CL126+(1-EXP(-LN(2)/25))/(LN(2)/25)*Calculateur!CG127*Calculateur!CI127*VLOOKUP('Données projet'!$B$12,Paramètres!$A$1:$I$89,3,0)*0.475*44/12</f>
        <v>5.9062366134217568</v>
      </c>
      <c r="CM127" s="21">
        <f>EXP(-LN(2)/2)*CM126+(1-EXP(-LN(2)/2))/(LN(2)/2)*CG127*CJ127*VLOOKUP('Données projet'!$B$12,Paramètres!$A$1:$I$89,3,0)*0.475*44/12</f>
        <v>2.0518227890589212E-7</v>
      </c>
      <c r="CN127" s="22">
        <f t="shared" si="66"/>
        <v>15.180563301287211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68.372968959020582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4.8499999999999943</v>
      </c>
      <c r="CT127" s="12">
        <f>IF('Données projet'!$A$140&gt;35,CT126+CS127-DB126,IF(A127&lt;'Données projet'!$A$140,$CQ$205^A127,IF(A127='Données projet'!$A$140,'Données projet'!$B$140,CT126+CS127-DB126)))</f>
        <v>210.59000000000026</v>
      </c>
      <c r="CU127" s="17">
        <f>CT127*VLOOKUP('Données projet'!$B$13,Paramètres!$A$1:$I$89,3,0)*VLOOKUP('Données projet'!$B$13,Paramètres!$A$1:$I$89,5,0)</f>
        <v>200.39744400000023</v>
      </c>
      <c r="CV127" s="13">
        <f t="shared" si="95"/>
        <v>49.831503792487226</v>
      </c>
      <c r="CW127" s="20">
        <f t="shared" si="67"/>
        <v>435.81541740524904</v>
      </c>
      <c r="CX127" s="59">
        <f t="shared" si="68"/>
        <v>723.18297025499123</v>
      </c>
      <c r="CY127" s="59">
        <f ca="1">AVERAGE(OFFSET($CX$3,0,0,'Données projet'!$E$13+1,1))-AVERAGE(OFFSET($H$3,0,0,'Données projet'!$E$13+1,1))</f>
        <v>470.42022791389275</v>
      </c>
      <c r="CZ127" s="59">
        <f t="shared" si="96"/>
        <v>300.26117330627346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46.465899032853599</v>
      </c>
      <c r="DG127" s="21">
        <f>EXP(-LN(2)/25)*DG126+(1-EXP(-LN(2)/25))/(LN(2)/25)*Calculateur!DB127*Calculateur!DD127*VLOOKUP('Données projet'!$B$13,Paramètres!$A$1:$I$89,3,0)*0.475*44/12</f>
        <v>42.287729931474431</v>
      </c>
      <c r="DH127" s="21">
        <f>EXP(-LN(2)/2)*DH126+(1-EXP(-LN(2)/2))/(LN(2)/2)*DB127*DE127*VLOOKUP('Données projet'!$B$13,Paramètres!$A$1:$I$89,3,0)*0.475*44/12</f>
        <v>32.697146354093071</v>
      </c>
      <c r="DI127" s="22">
        <f t="shared" si="69"/>
        <v>121.45077531842111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68.372968959020582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7.1129999999999995</v>
      </c>
      <c r="DO127" s="12">
        <f>IF('Données projet'!$A$166&gt;35,DO126+DN127-DW126,IF(A127&lt;'Données projet'!$A$166,$DL$205^A127,IF(A127='Données projet'!$A$166,'Données projet'!$B$166,DO126+DN127-DW126)))</f>
        <v>283.66600000000005</v>
      </c>
      <c r="DP127" s="17">
        <f>DO127*VLOOKUP('Données projet'!$B$14,Paramètres!$A$1:$I$89,3,0)*VLOOKUP('Données projet'!$B$14,Paramètres!$A$1:$I$89,5,0)</f>
        <v>274.36175520000006</v>
      </c>
      <c r="DQ127" s="13">
        <f t="shared" si="97"/>
        <v>65.7740786926813</v>
      </c>
      <c r="DR127" s="20">
        <f t="shared" si="70"/>
        <v>592.4032440297533</v>
      </c>
      <c r="DS127" s="59">
        <f t="shared" si="71"/>
        <v>879.77079687949549</v>
      </c>
      <c r="DT127" s="59">
        <f ca="1">AVERAGE(OFFSET($DS$3,0,0,'Données projet'!$E$14+1,1))-AVERAGE(OFFSET($H$3,0,0,'Données projet'!$E$14+1,1))</f>
        <v>537.37164071064103</v>
      </c>
      <c r="DU127" s="59">
        <f t="shared" si="98"/>
        <v>263.29777321132235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16.724134887746953</v>
      </c>
      <c r="EB127" s="21">
        <f>EXP(-LN(2)/25)*EB126+(1-EXP(-LN(2)/25))/(LN(2)/25)*Calculateur!DW127*Calculateur!DY127*VLOOKUP('Données projet'!$B$14,Paramètres!$A$1:$I$89,3,0)*0.475*44/12</f>
        <v>18.252240058762688</v>
      </c>
      <c r="EC127" s="21">
        <f>EXP(-LN(2)/2)*EC126+(1-EXP(-LN(2)/2))/(LN(2)/2)*DW127*DZ127*VLOOKUP('Données projet'!$B$14,Paramètres!$A$1:$I$89,3,0)*0.475*44/12</f>
        <v>5.44707027807865</v>
      </c>
      <c r="ED127" s="22">
        <f t="shared" si="72"/>
        <v>40.423445224588285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68.372968959020582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68.372968959020582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68.372968959020582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68.372968959020582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45">
      <c r="A128" s="10">
        <f t="shared" si="85"/>
        <v>125</v>
      </c>
      <c r="B128" s="73">
        <f>'Scénario référence'!$B$16*5+'Scénario référence'!$B$17*0+'Scénario référence'!$B$18*5</f>
        <v>2.8499999999999996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10.449999999999998</v>
      </c>
      <c r="H128" s="67">
        <f t="shared" si="56"/>
        <v>214.86666666666667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68.401194310085103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10.745999999999999</v>
      </c>
      <c r="N128" s="13">
        <f>IF('Données projet'!$A$36&gt;35,N127+M128-V127,IF(A128&lt;'Données projet'!$A$36,$K$205^A128,IF(A128='Données projet'!$A$36,'Données projet'!$B$36,N127+M128-V127)))</f>
        <v>552.68000000000006</v>
      </c>
      <c r="O128" s="13">
        <f>N128*VLOOKUP('Données projet'!$B$9,Paramètres!$A$1:$I$89,3,0)*VLOOKUP('Données projet'!$B$9,Paramètres!$A$1:$I$89,5,0)</f>
        <v>500.064864</v>
      </c>
      <c r="P128" s="13">
        <f t="shared" si="87"/>
        <v>111.7922609431773</v>
      </c>
      <c r="Q128" s="20">
        <f t="shared" si="107"/>
        <v>1065.6511592760337</v>
      </c>
      <c r="R128" s="59">
        <f t="shared" si="55"/>
        <v>1353.1222050796791</v>
      </c>
      <c r="S128" s="59">
        <f ca="1">AVERAGE(OFFSET($R$3,0,0,'Données projet'!$E$9+1,1))-AVERAGE(OFFSET($H$3,0,0,'Données projet'!$E$9+1,1))</f>
        <v>719.20816951277925</v>
      </c>
      <c r="T128" s="59">
        <f t="shared" si="88"/>
        <v>237.1127421841087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56.001017382348714</v>
      </c>
      <c r="AA128" s="21">
        <f>EXP(-LN(2)/25)*AA127+(1-EXP(-LN(2)/25))/(LN(2)/25)*Calculateur!V128*Calculateur!X128*VLOOKUP('Données projet'!$B$9,Paramètres!$A$1:$I$89,3,0)*0.475*44/12</f>
        <v>26.550940263510604</v>
      </c>
      <c r="AB128" s="21">
        <f>EXP(-LN(2)/2)*AB127+(1-EXP(-LN(2)/2))/(LN(2)/2)*V128*Y128*VLOOKUP('Données projet'!$B$9,Paramètres!$A$1:$I$89,3,0)*0.475*44/12</f>
        <v>3.3384594113679698E-5</v>
      </c>
      <c r="AC128" s="22">
        <f t="shared" si="57"/>
        <v>82.551991030453436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68.401194310085103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5.6843418860808015E-14</v>
      </c>
      <c r="AJ128" s="13">
        <f>AI128*VLOOKUP('Données projet'!$B$10,Paramètres!$A$1:$I$89,3,0)*VLOOKUP('Données projet'!$B$10,Paramètres!$A$1:$I$89,5,0)</f>
        <v>4.7884896048344674E-14</v>
      </c>
      <c r="AK128" s="13">
        <f t="shared" si="89"/>
        <v>7.8374629847779921E-13</v>
      </c>
      <c r="AL128" s="20">
        <f t="shared" si="58"/>
        <v>1.4484243304663672E-12</v>
      </c>
      <c r="AM128" s="59">
        <f t="shared" si="59"/>
        <v>287.4710458036468</v>
      </c>
      <c r="AN128" s="59">
        <f ca="1">AVERAGE(OFFSET($AM$3,0,0,'Données projet'!$E$10+1,1))-AVERAGE(OFFSET($H$3,0,0,'Données projet'!$E$10+1,1))</f>
        <v>442.79037205372367</v>
      </c>
      <c r="AO128" s="59">
        <f t="shared" si="90"/>
        <v>288.23553637727969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83.976491757839071</v>
      </c>
      <c r="AV128" s="21">
        <f>EXP(-LN(2)/25)*AV127+(1-EXP(-LN(2)/25))/(LN(2)/25)*Calculateur!AQ128*Calculateur!AS128*VLOOKUP('Données projet'!$B$10,Paramètres!$A$1:$I$89,3,0)*0.475*44/12</f>
        <v>16.521980610829296</v>
      </c>
      <c r="AW128" s="21">
        <f>EXP(-LN(2)/2)*AW127+(1-EXP(-LN(2)/2))/(LN(2)/2)*AQ128*AT128*VLOOKUP('Données projet'!$B$10,Paramètres!$A$1:$I$89,3,0)*0.475*44/12</f>
        <v>1.0251699748842567E-2</v>
      </c>
      <c r="AX128" s="21">
        <f t="shared" si="60"/>
        <v>100.50872406841721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68.401194310085103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7.1129999999999995</v>
      </c>
      <c r="BD128" s="12">
        <f>IF('Données projet'!$A$88&gt;35,BD127+BC128-BL127,IF(A128&lt;'Données projet'!$A$88,$BA$205^A128,IF(A128='Données projet'!$A$88,'Données projet'!$B$88,BD127+BC128-BL127)))</f>
        <v>290.77900000000005</v>
      </c>
      <c r="BE128" s="13">
        <f>BD128*VLOOKUP('Données projet'!$B$11,Paramètres!$A$1:$I$89,3,0)*VLOOKUP('Données projet'!$B$11,Paramètres!$A$1:$I$89,5,0)</f>
        <v>294.84990600000009</v>
      </c>
      <c r="BF128" s="13">
        <f t="shared" si="91"/>
        <v>70.095720295999868</v>
      </c>
      <c r="BG128" s="20">
        <f t="shared" si="61"/>
        <v>635.61363246553321</v>
      </c>
      <c r="BH128" s="59">
        <f t="shared" si="62"/>
        <v>923.08467826917854</v>
      </c>
      <c r="BI128" s="59">
        <f ca="1">AVERAGE(OFFSET($BH$3,0,0,'Données projet'!$E$11+1,1))-AVERAGE(OFFSET($H$3,0,0,'Données projet'!$E$11+1,1))</f>
        <v>559.91818701710872</v>
      </c>
      <c r="BJ128" s="59">
        <f t="shared" si="92"/>
        <v>273.47272623465915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24.065368017766257</v>
      </c>
      <c r="BQ128" s="21">
        <f>EXP(-LN(2)/25)*BQ127+(1-EXP(-LN(2)/25))/(LN(2)/25)*Calculateur!BL128*Calculateur!BN128*VLOOKUP('Données projet'!$B$11,Paramètres!$A$1:$I$89,3,0)*0.475*44/12</f>
        <v>23.510923484059397</v>
      </c>
      <c r="BR128" s="21">
        <f>EXP(-LN(2)/2)*BR127+(1-EXP(-LN(2)/2))/(LN(2)/2)*BL128*BO128*VLOOKUP('Données projet'!$B$11,Paramètres!$A$1:$I$89,3,0)*0.475*44/12</f>
        <v>1.615212606765583</v>
      </c>
      <c r="BS128" s="22">
        <f t="shared" si="63"/>
        <v>49.191504108591232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68.401194310085103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-1.1368683772161603E-13</v>
      </c>
      <c r="BZ128" s="13">
        <f>BY128*VLOOKUP('Données projet'!$B$12,Paramètres!$A$1:$I$89,3,0)*VLOOKUP('Données projet'!$B$12,Paramètres!$A$1:$I$89,5,0)</f>
        <v>-8.8675733422860506E-14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208.92677786250815</v>
      </c>
      <c r="CE128" s="59">
        <f t="shared" si="94"/>
        <v>207.54290142772214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9.0924625971383541</v>
      </c>
      <c r="CL128" s="21">
        <f>EXP(-LN(2)/25)*CL127+(1-EXP(-LN(2)/25))/(LN(2)/25)*Calculateur!CG128*Calculateur!CI128*VLOOKUP('Données projet'!$B$12,Paramètres!$A$1:$I$89,3,0)*0.475*44/12</f>
        <v>5.7447302626322543</v>
      </c>
      <c r="CM128" s="21">
        <f>EXP(-LN(2)/2)*CM127+(1-EXP(-LN(2)/2))/(LN(2)/2)*CG128*CJ128*VLOOKUP('Données projet'!$B$12,Paramètres!$A$1:$I$89,3,0)*0.475*44/12</f>
        <v>1.4508578079366582E-7</v>
      </c>
      <c r="CN128" s="22">
        <f t="shared" si="66"/>
        <v>14.83719300485639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68.401194310085103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>
        <f>VLOOKUP(A128,'Données projet'!$A$139:$I$159,2,0)</f>
        <v>215.44</v>
      </c>
      <c r="CR128" s="12">
        <f>VLOOKUP(A128,'Données projet'!$A$139:$I$159,9,0)</f>
        <v>4.8499999999999943</v>
      </c>
      <c r="CS128" s="12">
        <f t="array" ref="CS128">INDEX(CR:CR,MIN(IF(ISNUMBER(CR128:CR324),ROW(CR128:CR324),"")))</f>
        <v>4.8499999999999943</v>
      </c>
      <c r="CT128" s="12">
        <f>IF('Données projet'!$A$140&gt;35,CT127+CS128-DB127,IF(A128&lt;'Données projet'!$A$140,$CQ$205^A128,IF(A128='Données projet'!$A$140,'Données projet'!$B$140,CT127+CS128-DB127)))</f>
        <v>215.44000000000025</v>
      </c>
      <c r="CU128" s="17">
        <f>CT128*VLOOKUP('Données projet'!$B$13,Paramètres!$A$1:$I$89,3,0)*VLOOKUP('Données projet'!$B$13,Paramètres!$A$1:$I$89,5,0)</f>
        <v>205.01270400000027</v>
      </c>
      <c r="CV128" s="13">
        <f t="shared" si="95"/>
        <v>50.844216177769056</v>
      </c>
      <c r="CW128" s="20">
        <f t="shared" si="67"/>
        <v>445.61746930961482</v>
      </c>
      <c r="CX128" s="59">
        <f t="shared" si="68"/>
        <v>733.0885151132602</v>
      </c>
      <c r="CY128" s="59">
        <f ca="1">AVERAGE(OFFSET($CX$3,0,0,'Données projet'!$E$13+1,1))-AVERAGE(OFFSET($H$3,0,0,'Données projet'!$E$13+1,1))</f>
        <v>470.42022791389275</v>
      </c>
      <c r="CZ128" s="59">
        <f t="shared" si="96"/>
        <v>300.26117330627346</v>
      </c>
      <c r="DA128" s="15">
        <f>IF(ISNA(VLOOKUP(A128,'Données projet'!$A$139:$I$159,3,0)),0,VLOOKUP(A128,'Données projet'!$A$139:$I$159,3,0))</f>
        <v>12</v>
      </c>
      <c r="DB128" s="15">
        <f>IF(ISNA(VLOOKUP(A128,'Données projet'!$A$139:$I$159,4,0)),0,VLOOKUP(A128,'Données projet'!$A$139:$I$159,4,0))</f>
        <v>70.609999999999985</v>
      </c>
      <c r="DC128" s="16">
        <f>IF(ISNA(VLOOKUP(A128,'Données projet'!$A$139:$I$159,5,0)),0%,VLOOKUP(A128,'Données projet'!$A$139:$I$159,5,0)*VLOOKUP('Données projet'!$B$13,Paramètres!$A$1:$I$89,7,0))</f>
        <v>0.1075</v>
      </c>
      <c r="DD128" s="16">
        <f>IF(ISNA(VLOOKUP(A128,'Données projet'!$A$139:$I$159,6,0)),0%,VLOOKUP(A128,'Données projet'!$A$139:$I$159,6,0)*VLOOKUP('Données projet'!$B$13,Paramètres!$A$1:$I$89,7,0))</f>
        <v>0.1075</v>
      </c>
      <c r="DE128" s="16">
        <f>IF(ISNA(VLOOKUP(A128,'Données projet'!$A$139:$I$159,7,0)),0%,VLOOKUP(A128,'Données projet'!$A$139:$I$159,7,0))</f>
        <v>0.25</v>
      </c>
      <c r="DF128" s="21">
        <f>EXP(-LN(2)/35)*DF127+(1-EXP(-LN(2)/35))/(LN(2)/35)*DB128*DC128*VLOOKUP('Données projet'!$B$13,Paramètres!$A$1:$I$89,3,0)*0.475*44/12</f>
        <v>53.539754978358225</v>
      </c>
      <c r="DG128" s="21">
        <f>EXP(-LN(2)/25)*DG127+(1-EXP(-LN(2)/25))/(LN(2)/25)*Calculateur!DB128*Calculateur!DD128*VLOOKUP('Données projet'!$B$13,Paramètres!$A$1:$I$89,3,0)*0.475*44/12</f>
        <v>49.084953535257661</v>
      </c>
      <c r="DH128" s="21">
        <f>EXP(-LN(2)/2)*DH127+(1-EXP(-LN(2)/2))/(LN(2)/2)*DB128*DE128*VLOOKUP('Données projet'!$B$13,Paramètres!$A$1:$I$89,3,0)*0.475*44/12</f>
        <v>38.969851303672357</v>
      </c>
      <c r="DI128" s="22">
        <f t="shared" si="69"/>
        <v>141.59455981728826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68.401194310085103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7.1129999999999995</v>
      </c>
      <c r="DO128" s="12">
        <f>IF('Données projet'!$A$166&gt;35,DO127+DN128-DW127,IF(A128&lt;'Données projet'!$A$166,$DL$205^A128,IF(A128='Données projet'!$A$166,'Données projet'!$B$166,DO127+DN128-DW127)))</f>
        <v>290.77900000000005</v>
      </c>
      <c r="DP128" s="17">
        <f>DO128*VLOOKUP('Données projet'!$B$14,Paramètres!$A$1:$I$89,3,0)*VLOOKUP('Données projet'!$B$14,Paramètres!$A$1:$I$89,5,0)</f>
        <v>281.24144880000006</v>
      </c>
      <c r="DQ128" s="13">
        <f t="shared" si="97"/>
        <v>67.2292951125862</v>
      </c>
      <c r="DR128" s="20">
        <f t="shared" si="70"/>
        <v>606.91987898108778</v>
      </c>
      <c r="DS128" s="59">
        <f t="shared" si="71"/>
        <v>894.39092478473322</v>
      </c>
      <c r="DT128" s="59">
        <f ca="1">AVERAGE(OFFSET($DS$3,0,0,'Données projet'!$E$14+1,1))-AVERAGE(OFFSET($H$3,0,0,'Données projet'!$E$14+1,1))</f>
        <v>537.37164071064103</v>
      </c>
      <c r="DU128" s="59">
        <f t="shared" si="98"/>
        <v>263.29777321132235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16.396184803313279</v>
      </c>
      <c r="EB128" s="21">
        <f>EXP(-LN(2)/25)*EB127+(1-EXP(-LN(2)/25))/(LN(2)/25)*Calculateur!DW128*Calculateur!DY128*VLOOKUP('Données projet'!$B$14,Paramètres!$A$1:$I$89,3,0)*0.475*44/12</f>
        <v>17.753131594512233</v>
      </c>
      <c r="EC128" s="21">
        <f>EXP(-LN(2)/2)*EC127+(1-EXP(-LN(2)/2))/(LN(2)/2)*DW128*DZ128*VLOOKUP('Données projet'!$B$14,Paramètres!$A$1:$I$89,3,0)*0.475*44/12</f>
        <v>3.8516603312291067</v>
      </c>
      <c r="ED128" s="22">
        <f t="shared" si="72"/>
        <v>38.000976729054621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68.401194310085103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68.401194310085103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68.401194310085103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68.401194310085103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45">
      <c r="A129" s="10">
        <f t="shared" si="85"/>
        <v>126</v>
      </c>
      <c r="B129" s="73">
        <f>'Scénario référence'!$B$16*5+'Scénario référence'!$B$17*0+'Scénario référence'!$B$18*5</f>
        <v>2.8499999999999996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10.449999999999998</v>
      </c>
      <c r="H129" s="67">
        <f t="shared" si="56"/>
        <v>214.86666666666667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68.42893001441108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10.745999999999999</v>
      </c>
      <c r="N129" s="13">
        <f>IF('Données projet'!$A$36&gt;35,N128+M129-V128,IF(A129&lt;'Données projet'!$A$36,$K$205^A129,IF(A129='Données projet'!$A$36,'Données projet'!$B$36,N128+M129-V128)))</f>
        <v>563.42600000000004</v>
      </c>
      <c r="O129" s="13">
        <f>N129*VLOOKUP('Données projet'!$B$9,Paramètres!$A$1:$I$89,3,0)*VLOOKUP('Données projet'!$B$9,Paramètres!$A$1:$I$89,5,0)</f>
        <v>509.78784480000002</v>
      </c>
      <c r="P129" s="13">
        <f t="shared" si="87"/>
        <v>113.71071908731024</v>
      </c>
      <c r="Q129" s="20">
        <f t="shared" si="107"/>
        <v>1085.9266654370654</v>
      </c>
      <c r="R129" s="59">
        <f t="shared" si="55"/>
        <v>1373.4994088232393</v>
      </c>
      <c r="S129" s="59">
        <f ca="1">AVERAGE(OFFSET($R$3,0,0,'Données projet'!$E$9+1,1))-AVERAGE(OFFSET($H$3,0,0,'Données projet'!$E$9+1,1))</f>
        <v>719.20816951277925</v>
      </c>
      <c r="T129" s="59">
        <f t="shared" si="88"/>
        <v>237.1127421841087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54.902871588728708</v>
      </c>
      <c r="AA129" s="21">
        <f>EXP(-LN(2)/25)*AA128+(1-EXP(-LN(2)/25))/(LN(2)/25)*Calculateur!V129*Calculateur!X129*VLOOKUP('Données projet'!$B$9,Paramètres!$A$1:$I$89,3,0)*0.475*44/12</f>
        <v>25.824903405751641</v>
      </c>
      <c r="AB129" s="21">
        <f>EXP(-LN(2)/2)*AB128+(1-EXP(-LN(2)/2))/(LN(2)/2)*V129*Y129*VLOOKUP('Données projet'!$B$9,Paramètres!$A$1:$I$89,3,0)*0.475*44/12</f>
        <v>2.3606472884943413E-5</v>
      </c>
      <c r="AC129" s="22">
        <f t="shared" si="57"/>
        <v>80.727798600953221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68.42893001441108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5.6843418860808015E-14</v>
      </c>
      <c r="AJ129" s="13">
        <f>AI129*VLOOKUP('Données projet'!$B$10,Paramètres!$A$1:$I$89,3,0)*VLOOKUP('Données projet'!$B$10,Paramètres!$A$1:$I$89,5,0)</f>
        <v>4.7884896048344674E-14</v>
      </c>
      <c r="AK129" s="13">
        <f t="shared" si="89"/>
        <v>7.8374629847779921E-13</v>
      </c>
      <c r="AL129" s="20">
        <f t="shared" si="58"/>
        <v>1.4484243304663672E-12</v>
      </c>
      <c r="AM129" s="59">
        <f t="shared" si="59"/>
        <v>287.57274338617538</v>
      </c>
      <c r="AN129" s="59">
        <f ca="1">AVERAGE(OFFSET($AM$3,0,0,'Données projet'!$E$10+1,1))-AVERAGE(OFFSET($H$3,0,0,'Données projet'!$E$10+1,1))</f>
        <v>442.79037205372367</v>
      </c>
      <c r="AO129" s="59">
        <f t="shared" si="90"/>
        <v>288.23553637727969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82.329763975070207</v>
      </c>
      <c r="AV129" s="21">
        <f>EXP(-LN(2)/25)*AV128+(1-EXP(-LN(2)/25))/(LN(2)/25)*Calculateur!AQ129*Calculateur!AS129*VLOOKUP('Données projet'!$B$10,Paramètres!$A$1:$I$89,3,0)*0.475*44/12</f>
        <v>16.070186182172971</v>
      </c>
      <c r="AW129" s="21">
        <f>EXP(-LN(2)/2)*AW128+(1-EXP(-LN(2)/2))/(LN(2)/2)*AQ129*AT129*VLOOKUP('Données projet'!$B$10,Paramètres!$A$1:$I$89,3,0)*0.475*44/12</f>
        <v>7.2490464110950056E-3</v>
      </c>
      <c r="AX129" s="21">
        <f t="shared" si="60"/>
        <v>98.407199203654272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68.42893001441108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7.1129999999999995</v>
      </c>
      <c r="BD129" s="12">
        <f>IF('Données projet'!$A$88&gt;35,BD128+BC129-BL128,IF(A129&lt;'Données projet'!$A$88,$BA$205^A129,IF(A129='Données projet'!$A$88,'Données projet'!$B$88,BD128+BC129-BL128)))</f>
        <v>297.89200000000005</v>
      </c>
      <c r="BE129" s="13">
        <f>BD129*VLOOKUP('Données projet'!$B$11,Paramètres!$A$1:$I$89,3,0)*VLOOKUP('Données projet'!$B$11,Paramètres!$A$1:$I$89,5,0)</f>
        <v>302.06248800000009</v>
      </c>
      <c r="BF129" s="13">
        <f t="shared" si="91"/>
        <v>71.608667618813385</v>
      </c>
      <c r="BG129" s="20">
        <f t="shared" si="61"/>
        <v>650.81059603610004</v>
      </c>
      <c r="BH129" s="59">
        <f t="shared" si="62"/>
        <v>938.38333942227405</v>
      </c>
      <c r="BI129" s="59">
        <f ca="1">AVERAGE(OFFSET($BH$3,0,0,'Données projet'!$E$11+1,1))-AVERAGE(OFFSET($H$3,0,0,'Données projet'!$E$11+1,1))</f>
        <v>559.91818701710872</v>
      </c>
      <c r="BJ129" s="59">
        <f t="shared" si="92"/>
        <v>273.47272623465915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23.593460829362979</v>
      </c>
      <c r="BQ129" s="21">
        <f>EXP(-LN(2)/25)*BQ128+(1-EXP(-LN(2)/25))/(LN(2)/25)*Calculateur!BL129*Calculateur!BN129*VLOOKUP('Données projet'!$B$11,Paramètres!$A$1:$I$89,3,0)*0.475*44/12</f>
        <v>22.868016045002062</v>
      </c>
      <c r="BR129" s="21">
        <f>EXP(-LN(2)/2)*BR128+(1-EXP(-LN(2)/2))/(LN(2)/2)*BL129*BO129*VLOOKUP('Données projet'!$B$11,Paramètres!$A$1:$I$89,3,0)*0.475*44/12</f>
        <v>1.1421277873019442</v>
      </c>
      <c r="BS129" s="22">
        <f t="shared" si="63"/>
        <v>47.603604661666985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68.42893001441108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-1.1368683772161603E-13</v>
      </c>
      <c r="BZ129" s="13">
        <f>BY129*VLOOKUP('Données projet'!$B$12,Paramètres!$A$1:$I$89,3,0)*VLOOKUP('Données projet'!$B$12,Paramètres!$A$1:$I$89,5,0)</f>
        <v>-8.8675733422860506E-14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208.92677786250815</v>
      </c>
      <c r="CE129" s="59">
        <f t="shared" si="94"/>
        <v>207.54290142772214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8.9141649514630483</v>
      </c>
      <c r="CL129" s="21">
        <f>EXP(-LN(2)/25)*CL128+(1-EXP(-LN(2)/25))/(LN(2)/25)*Calculateur!CG129*Calculateur!CI129*VLOOKUP('Données projet'!$B$12,Paramètres!$A$1:$I$89,3,0)*0.475*44/12</f>
        <v>5.5876403114983404</v>
      </c>
      <c r="CM129" s="21">
        <f>EXP(-LN(2)/2)*CM128+(1-EXP(-LN(2)/2))/(LN(2)/2)*CG129*CJ129*VLOOKUP('Données projet'!$B$12,Paramètres!$A$1:$I$89,3,0)*0.475*44/12</f>
        <v>1.0259113945294606E-7</v>
      </c>
      <c r="CN129" s="22">
        <f t="shared" si="66"/>
        <v>14.501805365552528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68.42893001441108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3.3249999999999886</v>
      </c>
      <c r="CT129" s="12">
        <f>IF('Données projet'!$A$140&gt;35,CT128+CS129-DB128,IF(A129&lt;'Données projet'!$A$140,$CQ$205^A129,IF(A129='Données projet'!$A$140,'Données projet'!$B$140,CT128+CS129-DB128)))</f>
        <v>148.15500000000026</v>
      </c>
      <c r="CU129" s="17">
        <f>CT129*VLOOKUP('Données projet'!$B$13,Paramètres!$A$1:$I$89,3,0)*VLOOKUP('Données projet'!$B$13,Paramètres!$A$1:$I$89,5,0)</f>
        <v>140.98429800000025</v>
      </c>
      <c r="CV129" s="13">
        <f t="shared" si="95"/>
        <v>36.522402318303413</v>
      </c>
      <c r="CW129" s="20">
        <f t="shared" si="67"/>
        <v>309.15750305437888</v>
      </c>
      <c r="CX129" s="59">
        <f t="shared" si="68"/>
        <v>596.73024644055283</v>
      </c>
      <c r="CY129" s="59">
        <f ca="1">AVERAGE(OFFSET($CX$3,0,0,'Données projet'!$E$13+1,1))-AVERAGE(OFFSET($H$3,0,0,'Données projet'!$E$13+1,1))</f>
        <v>470.42022791389275</v>
      </c>
      <c r="CZ129" s="59">
        <f t="shared" si="96"/>
        <v>300.26117330627346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52.48987303925864</v>
      </c>
      <c r="DG129" s="21">
        <f>EXP(-LN(2)/25)*DG128+(1-EXP(-LN(2)/25))/(LN(2)/25)*Calculateur!DB129*Calculateur!DD129*VLOOKUP('Données projet'!$B$13,Paramètres!$A$1:$I$89,3,0)*0.475*44/12</f>
        <v>47.742722899570516</v>
      </c>
      <c r="DH129" s="21">
        <f>EXP(-LN(2)/2)*DH128+(1-EXP(-LN(2)/2))/(LN(2)/2)*DB129*DE129*VLOOKUP('Données projet'!$B$13,Paramètres!$A$1:$I$89,3,0)*0.475*44/12</f>
        <v>27.555846118658145</v>
      </c>
      <c r="DI129" s="22">
        <f t="shared" si="69"/>
        <v>127.78844205748729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68.42893001441108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7.1129999999999995</v>
      </c>
      <c r="DO129" s="12">
        <f>IF('Données projet'!$A$166&gt;35,DO128+DN129-DW128,IF(A129&lt;'Données projet'!$A$166,$DL$205^A129,IF(A129='Données projet'!$A$166,'Données projet'!$B$166,DO128+DN129-DW128)))</f>
        <v>297.89200000000005</v>
      </c>
      <c r="DP129" s="17">
        <f>DO129*VLOOKUP('Données projet'!$B$14,Paramètres!$A$1:$I$89,3,0)*VLOOKUP('Données projet'!$B$14,Paramètres!$A$1:$I$89,5,0)</f>
        <v>288.12114240000005</v>
      </c>
      <c r="DQ129" s="13">
        <f t="shared" si="97"/>
        <v>68.680373461245836</v>
      </c>
      <c r="DR129" s="20">
        <f t="shared" si="70"/>
        <v>621.42930679167</v>
      </c>
      <c r="DS129" s="59">
        <f t="shared" si="71"/>
        <v>909.00205017784401</v>
      </c>
      <c r="DT129" s="59">
        <f ca="1">AVERAGE(OFFSET($DS$3,0,0,'Données projet'!$E$14+1,1))-AVERAGE(OFFSET($H$3,0,0,'Données projet'!$E$14+1,1))</f>
        <v>537.37164071064103</v>
      </c>
      <c r="DU129" s="59">
        <f t="shared" si="98"/>
        <v>263.29777321132235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16.07466562000555</v>
      </c>
      <c r="EB129" s="21">
        <f>EXP(-LN(2)/25)*EB128+(1-EXP(-LN(2)/25))/(LN(2)/25)*Calculateur!DW129*Calculateur!DY129*VLOOKUP('Données projet'!$B$14,Paramètres!$A$1:$I$89,3,0)*0.475*44/12</f>
        <v>17.26767127746368</v>
      </c>
      <c r="EC129" s="21">
        <f>EXP(-LN(2)/2)*EC128+(1-EXP(-LN(2)/2))/(LN(2)/2)*DW129*DZ129*VLOOKUP('Données projet'!$B$14,Paramètres!$A$1:$I$89,3,0)*0.475*44/12</f>
        <v>2.7235351390393254</v>
      </c>
      <c r="ED129" s="22">
        <f t="shared" si="72"/>
        <v>36.065872036508559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68.42893001441108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68.42893001441108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68.42893001441108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68.42893001441108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45">
      <c r="A130" s="10">
        <f t="shared" si="85"/>
        <v>127</v>
      </c>
      <c r="B130" s="73">
        <f>'Scénario référence'!$B$16*5+'Scénario référence'!$B$17*0+'Scénario référence'!$B$18*5</f>
        <v>2.8499999999999996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10.449999999999998</v>
      </c>
      <c r="H130" s="67">
        <f t="shared" si="56"/>
        <v>214.86666666666667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68.456184566274757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10.745999999999999</v>
      </c>
      <c r="N130" s="13">
        <f>IF('Données projet'!$A$36&gt;35,N129+M130-V129,IF(A130&lt;'Données projet'!$A$36,$K$205^A130,IF(A130='Données projet'!$A$36,'Données projet'!$B$36,N129+M130-V129)))</f>
        <v>574.17200000000003</v>
      </c>
      <c r="O130" s="13">
        <f>N130*VLOOKUP('Données projet'!$B$9,Paramètres!$A$1:$I$89,3,0)*VLOOKUP('Données projet'!$B$9,Paramètres!$A$1:$I$89,5,0)</f>
        <v>519.51082560000009</v>
      </c>
      <c r="P130" s="13">
        <f t="shared" si="87"/>
        <v>115.62492260821269</v>
      </c>
      <c r="Q130" s="20">
        <f t="shared" si="107"/>
        <v>1106.1947614626372</v>
      </c>
      <c r="R130" s="59">
        <f t="shared" si="55"/>
        <v>1393.8674382056447</v>
      </c>
      <c r="S130" s="59">
        <f ca="1">AVERAGE(OFFSET($R$3,0,0,'Données projet'!$E$9+1,1))-AVERAGE(OFFSET($H$3,0,0,'Données projet'!$E$9+1,1))</f>
        <v>719.20816951277925</v>
      </c>
      <c r="T130" s="59">
        <f t="shared" si="88"/>
        <v>237.1127421841087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53.826259764318799</v>
      </c>
      <c r="AA130" s="21">
        <f>EXP(-LN(2)/25)*AA129+(1-EXP(-LN(2)/25))/(LN(2)/25)*Calculateur!V130*Calculateur!X130*VLOOKUP('Données projet'!$B$9,Paramètres!$A$1:$I$89,3,0)*0.475*44/12</f>
        <v>25.118720064048716</v>
      </c>
      <c r="AB130" s="21">
        <f>EXP(-LN(2)/2)*AB129+(1-EXP(-LN(2)/2))/(LN(2)/2)*V130*Y130*VLOOKUP('Données projet'!$B$9,Paramètres!$A$1:$I$89,3,0)*0.475*44/12</f>
        <v>1.6692297056839849E-5</v>
      </c>
      <c r="AC130" s="22">
        <f t="shared" si="57"/>
        <v>78.94499652066456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68.456184566274757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5.6843418860808015E-14</v>
      </c>
      <c r="AJ130" s="13">
        <f>AI130*VLOOKUP('Données projet'!$B$10,Paramètres!$A$1:$I$89,3,0)*VLOOKUP('Données projet'!$B$10,Paramètres!$A$1:$I$89,5,0)</f>
        <v>4.7884896048344674E-14</v>
      </c>
      <c r="AK130" s="13">
        <f t="shared" si="89"/>
        <v>7.8374629847779921E-13</v>
      </c>
      <c r="AL130" s="20">
        <f t="shared" si="58"/>
        <v>1.4484243304663672E-12</v>
      </c>
      <c r="AM130" s="59">
        <f t="shared" si="59"/>
        <v>287.67267674300888</v>
      </c>
      <c r="AN130" s="59">
        <f ca="1">AVERAGE(OFFSET($AM$3,0,0,'Données projet'!$E$10+1,1))-AVERAGE(OFFSET($H$3,0,0,'Données projet'!$E$10+1,1))</f>
        <v>442.79037205372367</v>
      </c>
      <c r="AO130" s="59">
        <f t="shared" si="90"/>
        <v>288.23553637727969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80.715327519716666</v>
      </c>
      <c r="AV130" s="21">
        <f>EXP(-LN(2)/25)*AV129+(1-EXP(-LN(2)/25))/(LN(2)/25)*Calculateur!AQ130*Calculateur!AS130*VLOOKUP('Données projet'!$B$10,Paramètres!$A$1:$I$89,3,0)*0.475*44/12</f>
        <v>15.630746095927089</v>
      </c>
      <c r="AW130" s="21">
        <f>EXP(-LN(2)/2)*AW129+(1-EXP(-LN(2)/2))/(LN(2)/2)*AQ130*AT130*VLOOKUP('Données projet'!$B$10,Paramètres!$A$1:$I$89,3,0)*0.475*44/12</f>
        <v>5.1258498744212837E-3</v>
      </c>
      <c r="AX130" s="21">
        <f t="shared" si="60"/>
        <v>96.351199465518178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68.456184566274757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7.1129999999999995</v>
      </c>
      <c r="BD130" s="12">
        <f>IF('Données projet'!$A$88&gt;35,BD129+BC130-BL129,IF(A130&lt;'Données projet'!$A$88,$BA$205^A130,IF(A130='Données projet'!$A$88,'Données projet'!$B$88,BD129+BC130-BL129)))</f>
        <v>305.00500000000005</v>
      </c>
      <c r="BE130" s="13">
        <f>BD130*VLOOKUP('Données projet'!$B$11,Paramètres!$A$1:$I$89,3,0)*VLOOKUP('Données projet'!$B$11,Paramètres!$A$1:$I$89,5,0)</f>
        <v>309.27507000000008</v>
      </c>
      <c r="BF130" s="13">
        <f t="shared" si="91"/>
        <v>73.117415312099666</v>
      </c>
      <c r="BG130" s="20">
        <f t="shared" si="61"/>
        <v>666.00024525190713</v>
      </c>
      <c r="BH130" s="59">
        <f t="shared" si="62"/>
        <v>953.67292199491453</v>
      </c>
      <c r="BI130" s="59">
        <f ca="1">AVERAGE(OFFSET($BH$3,0,0,'Données projet'!$E$11+1,1))-AVERAGE(OFFSET($H$3,0,0,'Données projet'!$E$11+1,1))</f>
        <v>559.91818701710872</v>
      </c>
      <c r="BJ130" s="59">
        <f t="shared" si="92"/>
        <v>273.47272623465915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23.130807453089325</v>
      </c>
      <c r="BQ130" s="21">
        <f>EXP(-LN(2)/25)*BQ129+(1-EXP(-LN(2)/25))/(LN(2)/25)*Calculateur!BL130*Calculateur!BN130*VLOOKUP('Données projet'!$B$11,Paramètres!$A$1:$I$89,3,0)*0.475*44/12</f>
        <v>22.242688943674782</v>
      </c>
      <c r="BR130" s="21">
        <f>EXP(-LN(2)/2)*BR129+(1-EXP(-LN(2)/2))/(LN(2)/2)*BL130*BO130*VLOOKUP('Données projet'!$B$11,Paramètres!$A$1:$I$89,3,0)*0.475*44/12</f>
        <v>0.8076063033827916</v>
      </c>
      <c r="BS130" s="22">
        <f t="shared" si="63"/>
        <v>46.181102700146901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68.456184566274757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-1.1368683772161603E-13</v>
      </c>
      <c r="BZ130" s="13">
        <f>BY130*VLOOKUP('Données projet'!$B$12,Paramètres!$A$1:$I$89,3,0)*VLOOKUP('Données projet'!$B$12,Paramètres!$A$1:$I$89,5,0)</f>
        <v>-8.8675733422860506E-14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208.92677786250815</v>
      </c>
      <c r="CE130" s="59">
        <f t="shared" si="94"/>
        <v>207.54290142772214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8.7393636138686084</v>
      </c>
      <c r="CL130" s="21">
        <f>EXP(-LN(2)/25)*CL129+(1-EXP(-LN(2)/25))/(LN(2)/25)*Calculateur!CG130*Calculateur!CI130*VLOOKUP('Données projet'!$B$12,Paramètres!$A$1:$I$89,3,0)*0.475*44/12</f>
        <v>5.4348459933391853</v>
      </c>
      <c r="CM130" s="21">
        <f>EXP(-LN(2)/2)*CM129+(1-EXP(-LN(2)/2))/(LN(2)/2)*CG130*CJ130*VLOOKUP('Données projet'!$B$12,Paramètres!$A$1:$I$89,3,0)*0.475*44/12</f>
        <v>7.2542890396832912E-8</v>
      </c>
      <c r="CN130" s="22">
        <f t="shared" si="66"/>
        <v>14.174209679750684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68.456184566274757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>
        <f>VLOOKUP(A130,'Données projet'!$A$139:$I$159,2,0)</f>
        <v>151.47999999999999</v>
      </c>
      <c r="CR130" s="12">
        <f>VLOOKUP(A130,'Données projet'!$A$139:$I$159,9,0)</f>
        <v>3.3249999999999886</v>
      </c>
      <c r="CS130" s="12">
        <f t="array" ref="CS130">INDEX(CR:CR,MIN(IF(ISNUMBER(CR130:CR326),ROW(CR130:CR326),"")))</f>
        <v>3.3249999999999886</v>
      </c>
      <c r="CT130" s="12">
        <f>IF('Données projet'!$A$140&gt;35,CT129+CS130-DB129,IF(A130&lt;'Données projet'!$A$140,$CQ$205^A130,IF(A130='Données projet'!$A$140,'Données projet'!$B$140,CT129+CS130-DB129)))</f>
        <v>151.48000000000025</v>
      </c>
      <c r="CU130" s="17">
        <f>CT130*VLOOKUP('Données projet'!$B$13,Paramètres!$A$1:$I$89,3,0)*VLOOKUP('Données projet'!$B$13,Paramètres!$A$1:$I$89,5,0)</f>
        <v>144.14836800000023</v>
      </c>
      <c r="CV130" s="13">
        <f t="shared" si="95"/>
        <v>37.245717260811411</v>
      </c>
      <c r="CW130" s="20">
        <f t="shared" si="67"/>
        <v>315.92803182924689</v>
      </c>
      <c r="CX130" s="59">
        <f t="shared" si="68"/>
        <v>603.60070857225435</v>
      </c>
      <c r="CY130" s="59">
        <f ca="1">AVERAGE(OFFSET($CX$3,0,0,'Données projet'!$E$13+1,1))-AVERAGE(OFFSET($H$3,0,0,'Données projet'!$E$13+1,1))</f>
        <v>470.42022791389275</v>
      </c>
      <c r="CZ130" s="59">
        <f t="shared" si="96"/>
        <v>300.26117330627346</v>
      </c>
      <c r="DA130" s="15">
        <f>IF(ISNA(VLOOKUP(A130,'Données projet'!$A$139:$I$159,3,0)),0,VLOOKUP(A130,'Données projet'!$A$139:$I$159,3,0))</f>
        <v>13</v>
      </c>
      <c r="DB130" s="15">
        <f>IF(ISNA(VLOOKUP(A130,'Données projet'!$A$139:$I$159,4,0)),0,VLOOKUP(A130,'Données projet'!$A$139:$I$159,4,0))</f>
        <v>46.039999999999992</v>
      </c>
      <c r="DC130" s="16">
        <f>IF(ISNA(VLOOKUP(A130,'Données projet'!$A$139:$I$159,5,0)),0%,VLOOKUP(A130,'Données projet'!$A$139:$I$159,5,0)*VLOOKUP('Données projet'!$B$13,Paramètres!$A$1:$I$89,7,0))</f>
        <v>0.1075</v>
      </c>
      <c r="DD130" s="16">
        <f>IF(ISNA(VLOOKUP(A130,'Données projet'!$A$139:$I$159,6,0)),0%,VLOOKUP(A130,'Données projet'!$A$139:$I$159,6,0)*VLOOKUP('Données projet'!$B$13,Paramètres!$A$1:$I$89,7,0))</f>
        <v>0.1075</v>
      </c>
      <c r="DE130" s="16">
        <f>IF(ISNA(VLOOKUP(A130,'Données projet'!$A$139:$I$159,7,0)),0%,VLOOKUP(A130,'Données projet'!$A$139:$I$159,7,0))</f>
        <v>0.25</v>
      </c>
      <c r="DF130" s="21">
        <f>EXP(-LN(2)/35)*DF129+(1-EXP(-LN(2)/35))/(LN(2)/35)*DB130*DC130*VLOOKUP('Données projet'!$B$13,Paramètres!$A$1:$I$89,3,0)*0.475*44/12</f>
        <v>56.667072053850433</v>
      </c>
      <c r="DG130" s="21">
        <f>EXP(-LN(2)/25)*DG129+(1-EXP(-LN(2)/25))/(LN(2)/25)*Calculateur!DB130*Calculateur!DD130*VLOOKUP('Données projet'!$B$13,Paramètres!$A$1:$I$89,3,0)*0.475*44/12</f>
        <v>51.623189092049806</v>
      </c>
      <c r="DH130" s="21">
        <f>EXP(-LN(2)/2)*DH129+(1-EXP(-LN(2)/2))/(LN(2)/2)*DB130*DE130*VLOOKUP('Données projet'!$B$13,Paramètres!$A$1:$I$89,3,0)*0.475*44/12</f>
        <v>29.819296691248169</v>
      </c>
      <c r="DI130" s="22">
        <f t="shared" si="69"/>
        <v>138.10955783714843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68.456184566274757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7.1129999999999995</v>
      </c>
      <c r="DO130" s="12">
        <f>IF('Données projet'!$A$166&gt;35,DO129+DN130-DW129,IF(A130&lt;'Données projet'!$A$166,$DL$205^A130,IF(A130='Données projet'!$A$166,'Données projet'!$B$166,DO129+DN130-DW129)))</f>
        <v>305.00500000000005</v>
      </c>
      <c r="DP130" s="17">
        <f>DO130*VLOOKUP('Données projet'!$B$14,Paramètres!$A$1:$I$89,3,0)*VLOOKUP('Données projet'!$B$14,Paramètres!$A$1:$I$89,5,0)</f>
        <v>295.00083600000005</v>
      </c>
      <c r="DQ130" s="13">
        <f t="shared" si="97"/>
        <v>70.127423915882019</v>
      </c>
      <c r="DR130" s="20">
        <f t="shared" si="70"/>
        <v>635.93171935349449</v>
      </c>
      <c r="DS130" s="59">
        <f t="shared" si="71"/>
        <v>923.60439609650189</v>
      </c>
      <c r="DT130" s="59">
        <f ca="1">AVERAGE(OFFSET($DS$3,0,0,'Données projet'!$E$14+1,1))-AVERAGE(OFFSET($H$3,0,0,'Données projet'!$E$14+1,1))</f>
        <v>537.37164071064103</v>
      </c>
      <c r="DU130" s="59">
        <f t="shared" si="98"/>
        <v>263.29777321132235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15.759451231775149</v>
      </c>
      <c r="EB130" s="21">
        <f>EXP(-LN(2)/25)*EB129+(1-EXP(-LN(2)/25))/(LN(2)/25)*Calculateur!DW130*Calculateur!DY130*VLOOKUP('Données projet'!$B$14,Paramètres!$A$1:$I$89,3,0)*0.475*44/12</f>
        <v>16.79548589831407</v>
      </c>
      <c r="EC130" s="21">
        <f>EXP(-LN(2)/2)*EC129+(1-EXP(-LN(2)/2))/(LN(2)/2)*DW130*DZ130*VLOOKUP('Données projet'!$B$14,Paramètres!$A$1:$I$89,3,0)*0.475*44/12</f>
        <v>1.9258301656145538</v>
      </c>
      <c r="ED130" s="22">
        <f t="shared" si="72"/>
        <v>34.480767295703771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68.456184566274757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68.456184566274757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68.456184566274757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68.456184566274757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45">
      <c r="A131" s="10">
        <f t="shared" si="85"/>
        <v>128</v>
      </c>
      <c r="B131" s="73">
        <f>'Scénario référence'!$B$16*5+'Scénario référence'!$B$17*0+'Scénario référence'!$B$18*5</f>
        <v>2.8499999999999996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10.449999999999998</v>
      </c>
      <c r="H131" s="67">
        <f t="shared" si="56"/>
        <v>214.86666666666667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68.482966312595636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10.745999999999999</v>
      </c>
      <c r="N131" s="13">
        <f>IF('Données projet'!$A$36&gt;35,N130+M131-V130,IF(A131&lt;'Données projet'!$A$36,$K$205^A131,IF(A131='Données projet'!$A$36,'Données projet'!$B$36,N130+M131-V130)))</f>
        <v>584.91800000000001</v>
      </c>
      <c r="O131" s="13">
        <f>N131*VLOOKUP('Données projet'!$B$9,Paramètres!$A$1:$I$89,3,0)*VLOOKUP('Données projet'!$B$9,Paramètres!$A$1:$I$89,5,0)</f>
        <v>529.23380639999993</v>
      </c>
      <c r="P131" s="13">
        <f t="shared" si="87"/>
        <v>117.53496031630661</v>
      </c>
      <c r="Q131" s="20">
        <f t="shared" ref="Q131:Q153" si="108">(O131+P131)*0.475*44/12</f>
        <v>1126.4556020309005</v>
      </c>
      <c r="R131" s="59">
        <f t="shared" ref="R131:R194" si="109">Q131+(I131+J131)*44/12</f>
        <v>1414.2264785104178</v>
      </c>
      <c r="S131" s="59">
        <f ca="1">AVERAGE(OFFSET($R$3,0,0,'Données projet'!$E$9+1,1))-AVERAGE(OFFSET($H$3,0,0,'Données projet'!$E$9+1,1))</f>
        <v>719.20816951277925</v>
      </c>
      <c r="T131" s="59">
        <f t="shared" si="88"/>
        <v>237.1127421841087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52.770759641117195</v>
      </c>
      <c r="AA131" s="21">
        <f>EXP(-LN(2)/25)*AA130+(1-EXP(-LN(2)/25))/(LN(2)/25)*Calculateur!V131*Calculateur!X131*VLOOKUP('Données projet'!$B$9,Paramètres!$A$1:$I$89,3,0)*0.475*44/12</f>
        <v>24.431847342961227</v>
      </c>
      <c r="AB131" s="21">
        <f>EXP(-LN(2)/2)*AB130+(1-EXP(-LN(2)/2))/(LN(2)/2)*V131*Y131*VLOOKUP('Données projet'!$B$9,Paramètres!$A$1:$I$89,3,0)*0.475*44/12</f>
        <v>1.1803236442471706E-5</v>
      </c>
      <c r="AC131" s="22">
        <f t="shared" si="57"/>
        <v>77.202618787314861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68.482966312595636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5.6843418860808015E-14</v>
      </c>
      <c r="AJ131" s="13">
        <f>AI131*VLOOKUP('Données projet'!$B$10,Paramètres!$A$1:$I$89,3,0)*VLOOKUP('Données projet'!$B$10,Paramètres!$A$1:$I$89,5,0)</f>
        <v>4.7884896048344674E-14</v>
      </c>
      <c r="AK131" s="13">
        <f t="shared" si="89"/>
        <v>7.8374629847779921E-13</v>
      </c>
      <c r="AL131" s="20">
        <f t="shared" si="58"/>
        <v>1.4484243304663672E-12</v>
      </c>
      <c r="AM131" s="59">
        <f t="shared" si="59"/>
        <v>287.77087647951873</v>
      </c>
      <c r="AN131" s="59">
        <f ca="1">AVERAGE(OFFSET($AM$3,0,0,'Données projet'!$E$10+1,1))-AVERAGE(OFFSET($H$3,0,0,'Données projet'!$E$10+1,1))</f>
        <v>442.79037205372367</v>
      </c>
      <c r="AO131" s="59">
        <f t="shared" si="90"/>
        <v>288.23553637727969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79.132549178543599</v>
      </c>
      <c r="AV131" s="21">
        <f>EXP(-LN(2)/25)*AV130+(1-EXP(-LN(2)/25))/(LN(2)/25)*Calculateur!AQ131*Calculateur!AS131*VLOOKUP('Données projet'!$B$10,Paramètres!$A$1:$I$89,3,0)*0.475*44/12</f>
        <v>15.203322521948749</v>
      </c>
      <c r="AW131" s="21">
        <f>EXP(-LN(2)/2)*AW130+(1-EXP(-LN(2)/2))/(LN(2)/2)*AQ131*AT131*VLOOKUP('Données projet'!$B$10,Paramètres!$A$1:$I$89,3,0)*0.475*44/12</f>
        <v>3.6245232055475028E-3</v>
      </c>
      <c r="AX131" s="21">
        <f t="shared" si="60"/>
        <v>94.339496223697893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68.482966312595636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7.1129999999999995</v>
      </c>
      <c r="BD131" s="12">
        <f>IF('Données projet'!$A$88&gt;35,BD130+BC131-BL130,IF(A131&lt;'Données projet'!$A$88,$BA$205^A131,IF(A131='Données projet'!$A$88,'Données projet'!$B$88,BD130+BC131-BL130)))</f>
        <v>312.11800000000005</v>
      </c>
      <c r="BE131" s="13">
        <f>BD131*VLOOKUP('Données projet'!$B$11,Paramètres!$A$1:$I$89,3,0)*VLOOKUP('Données projet'!$B$11,Paramètres!$A$1:$I$89,5,0)</f>
        <v>316.48765200000008</v>
      </c>
      <c r="BF131" s="13">
        <f t="shared" si="91"/>
        <v>74.622072586992616</v>
      </c>
      <c r="BG131" s="20">
        <f t="shared" si="61"/>
        <v>681.18277032234562</v>
      </c>
      <c r="BH131" s="59">
        <f t="shared" si="62"/>
        <v>968.95364680186299</v>
      </c>
      <c r="BI131" s="59">
        <f ca="1">AVERAGE(OFFSET($BH$3,0,0,'Données projet'!$E$11+1,1))-AVERAGE(OFFSET($H$3,0,0,'Données projet'!$E$11+1,1))</f>
        <v>559.91818701710872</v>
      </c>
      <c r="BJ131" s="59">
        <f t="shared" si="92"/>
        <v>273.47272623465915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22.6772264273337</v>
      </c>
      <c r="BQ131" s="21">
        <f>EXP(-LN(2)/25)*BQ130+(1-EXP(-LN(2)/25))/(LN(2)/25)*Calculateur!BL131*Calculateur!BN131*VLOOKUP('Données projet'!$B$11,Paramètres!$A$1:$I$89,3,0)*0.475*44/12</f>
        <v>21.63446144481782</v>
      </c>
      <c r="BR131" s="21">
        <f>EXP(-LN(2)/2)*BR130+(1-EXP(-LN(2)/2))/(LN(2)/2)*BL131*BO131*VLOOKUP('Données projet'!$B$11,Paramètres!$A$1:$I$89,3,0)*0.475*44/12</f>
        <v>0.57106389365097221</v>
      </c>
      <c r="BS131" s="22">
        <f t="shared" si="63"/>
        <v>44.882751765802496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68.482966312595636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-1.1368683772161603E-13</v>
      </c>
      <c r="BZ131" s="13">
        <f>BY131*VLOOKUP('Données projet'!$B$12,Paramètres!$A$1:$I$89,3,0)*VLOOKUP('Données projet'!$B$12,Paramètres!$A$1:$I$89,5,0)</f>
        <v>-8.8675733422860506E-14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208.92677786250815</v>
      </c>
      <c r="CE131" s="59">
        <f t="shared" si="94"/>
        <v>207.54290142772214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8.5679900238861073</v>
      </c>
      <c r="CL131" s="21">
        <f>EXP(-LN(2)/25)*CL130+(1-EXP(-LN(2)/25))/(LN(2)/25)*Calculateur!CG131*Calculateur!CI131*VLOOKUP('Données projet'!$B$12,Paramètres!$A$1:$I$89,3,0)*0.475*44/12</f>
        <v>5.286229843845196</v>
      </c>
      <c r="CM131" s="21">
        <f>EXP(-LN(2)/2)*CM130+(1-EXP(-LN(2)/2))/(LN(2)/2)*CG131*CJ131*VLOOKUP('Données projet'!$B$12,Paramètres!$A$1:$I$89,3,0)*0.475*44/12</f>
        <v>5.129556972647303E-8</v>
      </c>
      <c r="CN131" s="22">
        <f t="shared" si="66"/>
        <v>13.854219919026873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68.482966312595636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2.4366666666666674</v>
      </c>
      <c r="CT131" s="12">
        <f>IF('Données projet'!$A$140&gt;35,CT130+CS131-DB130,IF(A131&lt;'Données projet'!$A$140,$CQ$205^A131,IF(A131='Données projet'!$A$140,'Données projet'!$B$140,CT130+CS131-DB130)))</f>
        <v>107.87666666666692</v>
      </c>
      <c r="CU131" s="17">
        <f>CT131*VLOOKUP('Données projet'!$B$13,Paramètres!$A$1:$I$89,3,0)*VLOOKUP('Données projet'!$B$13,Paramètres!$A$1:$I$89,5,0)</f>
        <v>102.65543600000025</v>
      </c>
      <c r="CV131" s="13">
        <f t="shared" si="95"/>
        <v>27.593650392739352</v>
      </c>
      <c r="CW131" s="20">
        <f t="shared" si="67"/>
        <v>226.85049213402147</v>
      </c>
      <c r="CX131" s="59">
        <f t="shared" si="68"/>
        <v>514.62136861353883</v>
      </c>
      <c r="CY131" s="59">
        <f ca="1">AVERAGE(OFFSET($CX$3,0,0,'Données projet'!$E$13+1,1))-AVERAGE(OFFSET($H$3,0,0,'Données projet'!$E$13+1,1))</f>
        <v>470.42022791389275</v>
      </c>
      <c r="CZ131" s="59">
        <f t="shared" si="96"/>
        <v>300.26117330627346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55.555865334375518</v>
      </c>
      <c r="DG131" s="21">
        <f>EXP(-LN(2)/25)*DG130+(1-EXP(-LN(2)/25))/(LN(2)/25)*Calculateur!DB131*Calculateur!DD131*VLOOKUP('Données projet'!$B$13,Paramètres!$A$1:$I$89,3,0)*0.475*44/12</f>
        <v>50.211550271582176</v>
      </c>
      <c r="DH131" s="21">
        <f>EXP(-LN(2)/2)*DH130+(1-EXP(-LN(2)/2))/(LN(2)/2)*DB131*DE131*VLOOKUP('Données projet'!$B$13,Paramètres!$A$1:$I$89,3,0)*0.475*44/12</f>
        <v>21.085426900595163</v>
      </c>
      <c r="DI131" s="22">
        <f t="shared" si="69"/>
        <v>126.85284250655286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68.482966312595636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7.1129999999999995</v>
      </c>
      <c r="DO131" s="12">
        <f>IF('Données projet'!$A$166&gt;35,DO130+DN131-DW130,IF(A131&lt;'Données projet'!$A$166,$DL$205^A131,IF(A131='Données projet'!$A$166,'Données projet'!$B$166,DO130+DN131-DW130)))</f>
        <v>312.11800000000005</v>
      </c>
      <c r="DP131" s="17">
        <f>DO131*VLOOKUP('Données projet'!$B$14,Paramètres!$A$1:$I$89,3,0)*VLOOKUP('Données projet'!$B$14,Paramètres!$A$1:$I$89,5,0)</f>
        <v>301.88052960000005</v>
      </c>
      <c r="DQ131" s="13">
        <f t="shared" si="97"/>
        <v>71.570551221656345</v>
      </c>
      <c r="DR131" s="20">
        <f t="shared" si="70"/>
        <v>650.42729909771822</v>
      </c>
      <c r="DS131" s="59">
        <f t="shared" si="71"/>
        <v>938.19817557723559</v>
      </c>
      <c r="DT131" s="59">
        <f ca="1">AVERAGE(OFFSET($DS$3,0,0,'Données projet'!$E$14+1,1))-AVERAGE(OFFSET($H$3,0,0,'Données projet'!$E$14+1,1))</f>
        <v>537.37164071064103</v>
      </c>
      <c r="DU131" s="59">
        <f t="shared" si="98"/>
        <v>263.29777321132235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15.450418005436152</v>
      </c>
      <c r="EB131" s="21">
        <f>EXP(-LN(2)/25)*EB130+(1-EXP(-LN(2)/25))/(LN(2)/25)*Calculateur!DW131*Calculateur!DY131*VLOOKUP('Données projet'!$B$14,Paramètres!$A$1:$I$89,3,0)*0.475*44/12</f>
        <v>16.336212453188455</v>
      </c>
      <c r="EC131" s="21">
        <f>EXP(-LN(2)/2)*EC130+(1-EXP(-LN(2)/2))/(LN(2)/2)*DW131*DZ131*VLOOKUP('Données projet'!$B$14,Paramètres!$A$1:$I$89,3,0)*0.475*44/12</f>
        <v>1.3617675695196629</v>
      </c>
      <c r="ED131" s="22">
        <f t="shared" si="72"/>
        <v>33.148398028144271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68.482966312595636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68.482966312595636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68.482966312595636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68.482966312595636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45">
      <c r="A132" s="10">
        <f t="shared" si="85"/>
        <v>129</v>
      </c>
      <c r="B132" s="73">
        <f>'Scénario référence'!$B$16*5+'Scénario référence'!$B$17*0+'Scénario référence'!$B$18*5</f>
        <v>2.8499999999999996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10.449999999999998</v>
      </c>
      <c r="H132" s="67">
        <f t="shared" ref="H132:H195" si="110">(B132+E132+F132)*44/12+(C132+D132)*0.475*44/12</f>
        <v>214.86666666666667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68.509283455492877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10.745999999999999</v>
      </c>
      <c r="N132" s="13">
        <f>IF('Données projet'!$A$36&gt;35,N131+M132-V131,IF(A132&lt;'Données projet'!$A$36,$K$205^A132,IF(A132='Données projet'!$A$36,'Données projet'!$B$36,N131+M132-V131)))</f>
        <v>595.66399999999999</v>
      </c>
      <c r="O132" s="13">
        <f>N132*VLOOKUP('Données projet'!$B$9,Paramètres!$A$1:$I$89,3,0)*VLOOKUP('Données projet'!$B$9,Paramètres!$A$1:$I$89,5,0)</f>
        <v>538.95678720000001</v>
      </c>
      <c r="P132" s="13">
        <f t="shared" si="87"/>
        <v>119.44091757198787</v>
      </c>
      <c r="Q132" s="20">
        <f t="shared" si="108"/>
        <v>1146.709335811212</v>
      </c>
      <c r="R132" s="59">
        <f t="shared" si="109"/>
        <v>1434.5767084813526</v>
      </c>
      <c r="S132" s="59">
        <f ca="1">AVERAGE(OFFSET($R$3,0,0,'Données projet'!$E$9+1,1))-AVERAGE(OFFSET($H$3,0,0,'Données projet'!$E$9+1,1))</f>
        <v>719.20816951277925</v>
      </c>
      <c r="T132" s="59">
        <f t="shared" si="88"/>
        <v>237.1127421841087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51.73595723154007</v>
      </c>
      <c r="AA132" s="21">
        <f>EXP(-LN(2)/25)*AA131+(1-EXP(-LN(2)/25))/(LN(2)/25)*Calculateur!V132*Calculateur!X132*VLOOKUP('Données projet'!$B$9,Paramètres!$A$1:$I$89,3,0)*0.475*44/12</f>
        <v>23.763757192552941</v>
      </c>
      <c r="AB132" s="21">
        <f>EXP(-LN(2)/2)*AB131+(1-EXP(-LN(2)/2))/(LN(2)/2)*V132*Y132*VLOOKUP('Données projet'!$B$9,Paramètres!$A$1:$I$89,3,0)*0.475*44/12</f>
        <v>8.3461485284199245E-6</v>
      </c>
      <c r="AC132" s="22">
        <f t="shared" ref="AC132:AC153" si="111">SUM(Z132:AB132)</f>
        <v>75.499722770241547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68.509283455492877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5.6843418860808015E-14</v>
      </c>
      <c r="AJ132" s="13">
        <f>AI132*VLOOKUP('Données projet'!$B$10,Paramètres!$A$1:$I$89,3,0)*VLOOKUP('Données projet'!$B$10,Paramètres!$A$1:$I$89,5,0)</f>
        <v>4.7884896048344674E-14</v>
      </c>
      <c r="AK132" s="13">
        <f t="shared" si="89"/>
        <v>7.8374629847779921E-13</v>
      </c>
      <c r="AL132" s="20">
        <f t="shared" ref="AL132:AL153" si="112">(AJ132+AK132)*0.475*44/12</f>
        <v>1.4484243304663672E-12</v>
      </c>
      <c r="AM132" s="59">
        <f t="shared" ref="AM132:AM195" si="113">AL132+(AD132+AE132)*44/12</f>
        <v>287.867372670142</v>
      </c>
      <c r="AN132" s="59">
        <f ca="1">AVERAGE(OFFSET($AM$3,0,0,'Données projet'!$E$10+1,1))-AVERAGE(OFFSET($H$3,0,0,'Données projet'!$E$10+1,1))</f>
        <v>442.79037205372367</v>
      </c>
      <c r="AO132" s="59">
        <f t="shared" si="90"/>
        <v>288.23553637727969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77.580808155241471</v>
      </c>
      <c r="AV132" s="21">
        <f>EXP(-LN(2)/25)*AV131+(1-EXP(-LN(2)/25))/(LN(2)/25)*Calculateur!AQ132*Calculateur!AS132*VLOOKUP('Données projet'!$B$10,Paramètres!$A$1:$I$89,3,0)*0.475*44/12</f>
        <v>14.787586868078076</v>
      </c>
      <c r="AW132" s="21">
        <f>EXP(-LN(2)/2)*AW131+(1-EXP(-LN(2)/2))/(LN(2)/2)*AQ132*AT132*VLOOKUP('Données projet'!$B$10,Paramètres!$A$1:$I$89,3,0)*0.475*44/12</f>
        <v>2.5629249372106418E-3</v>
      </c>
      <c r="AX132" s="21">
        <f t="shared" ref="AX132:AX153" si="114">SUM(AU132:AW132)</f>
        <v>92.370957948256759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68.509283455492877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7.1129999999999995</v>
      </c>
      <c r="BD132" s="12">
        <f>IF('Données projet'!$A$88&gt;35,BD131+BC132-BL131,IF(A132&lt;'Données projet'!$A$88,$BA$205^A132,IF(A132='Données projet'!$A$88,'Données projet'!$B$88,BD131+BC132-BL131)))</f>
        <v>319.23100000000005</v>
      </c>
      <c r="BE132" s="13">
        <f>BD132*VLOOKUP('Données projet'!$B$11,Paramètres!$A$1:$I$89,3,0)*VLOOKUP('Données projet'!$B$11,Paramètres!$A$1:$I$89,5,0)</f>
        <v>323.70023400000008</v>
      </c>
      <c r="BF132" s="13">
        <f t="shared" si="91"/>
        <v>76.122743392807436</v>
      </c>
      <c r="BG132" s="20">
        <f t="shared" ref="BG132:BG153" si="115">(BE132+BF132)*0.475*44/12</f>
        <v>696.35835229247311</v>
      </c>
      <c r="BH132" s="59">
        <f t="shared" ref="BH132:BH195" si="116">BG132+(AY132+AZ132)*44/12</f>
        <v>984.22572496261364</v>
      </c>
      <c r="BI132" s="59">
        <f ca="1">AVERAGE(OFFSET($BH$3,0,0,'Données projet'!$E$11+1,1))-AVERAGE(OFFSET($H$3,0,0,'Données projet'!$E$11+1,1))</f>
        <v>559.91818701710872</v>
      </c>
      <c r="BJ132" s="59">
        <f t="shared" si="92"/>
        <v>273.47272623465915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22.232539848836037</v>
      </c>
      <c r="BQ132" s="21">
        <f>EXP(-LN(2)/25)*BQ131+(1-EXP(-LN(2)/25))/(LN(2)/25)*Calculateur!BL132*Calculateur!BN132*VLOOKUP('Données projet'!$B$11,Paramètres!$A$1:$I$89,3,0)*0.475*44/12</f>
        <v>21.042865958902397</v>
      </c>
      <c r="BR132" s="21">
        <f>EXP(-LN(2)/2)*BR131+(1-EXP(-LN(2)/2))/(LN(2)/2)*BL132*BO132*VLOOKUP('Données projet'!$B$11,Paramètres!$A$1:$I$89,3,0)*0.475*44/12</f>
        <v>0.40380315169139586</v>
      </c>
      <c r="BS132" s="22">
        <f t="shared" ref="BS132:BS153" si="117">SUM(BP132:BR132)</f>
        <v>43.679208959429836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68.509283455492877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-1.1368683772161603E-13</v>
      </c>
      <c r="BZ132" s="13">
        <f>BY132*VLOOKUP('Données projet'!$B$12,Paramètres!$A$1:$I$89,3,0)*VLOOKUP('Données projet'!$B$12,Paramètres!$A$1:$I$89,5,0)</f>
        <v>-8.8675733422860506E-14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208.92677786250815</v>
      </c>
      <c r="CE132" s="59">
        <f t="shared" si="94"/>
        <v>207.54290142772214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8.3999769654755951</v>
      </c>
      <c r="CL132" s="21">
        <f>EXP(-LN(2)/25)*CL131+(1-EXP(-LN(2)/25))/(LN(2)/25)*Calculateur!CG132*Calculateur!CI132*VLOOKUP('Données projet'!$B$12,Paramètres!$A$1:$I$89,3,0)*0.475*44/12</f>
        <v>5.1416776107745035</v>
      </c>
      <c r="CM132" s="21">
        <f>EXP(-LN(2)/2)*CM131+(1-EXP(-LN(2)/2))/(LN(2)/2)*CG132*CJ132*VLOOKUP('Données projet'!$B$12,Paramètres!$A$1:$I$89,3,0)*0.475*44/12</f>
        <v>3.6271445198416456E-8</v>
      </c>
      <c r="CN132" s="22">
        <f t="shared" ref="CN132:CN153" si="120">SUM(CK132:CM132)</f>
        <v>13.541654612521544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68.509283455492877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2.4366666666666674</v>
      </c>
      <c r="CT132" s="12">
        <f>IF('Données projet'!$A$140&gt;35,CT131+CS132-DB131,IF(A132&lt;'Données projet'!$A$140,$CQ$205^A132,IF(A132='Données projet'!$A$140,'Données projet'!$B$140,CT131+CS132-DB131)))</f>
        <v>110.31333333333359</v>
      </c>
      <c r="CU132" s="17">
        <f>CT132*VLOOKUP('Données projet'!$B$13,Paramètres!$A$1:$I$89,3,0)*VLOOKUP('Données projet'!$B$13,Paramètres!$A$1:$I$89,5,0)</f>
        <v>104.97416800000025</v>
      </c>
      <c r="CV132" s="13">
        <f t="shared" si="95"/>
        <v>28.143655751142813</v>
      </c>
      <c r="CW132" s="20">
        <f t="shared" ref="CW132:CW153" si="121">(CU132+CV132)*0.475*44/12</f>
        <v>231.84687636657415</v>
      </c>
      <c r="CX132" s="59">
        <f t="shared" ref="CX132:CX195" si="122">CW132+(CO132+CP132)*44/12</f>
        <v>519.7142490367147</v>
      </c>
      <c r="CY132" s="59">
        <f ca="1">AVERAGE(OFFSET($CX$3,0,0,'Données projet'!$E$13+1,1))-AVERAGE(OFFSET($H$3,0,0,'Données projet'!$E$13+1,1))</f>
        <v>470.42022791389275</v>
      </c>
      <c r="CZ132" s="59">
        <f t="shared" si="96"/>
        <v>300.26117330627346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54.46644870090033</v>
      </c>
      <c r="DG132" s="21">
        <f>EXP(-LN(2)/25)*DG131+(1-EXP(-LN(2)/25))/(LN(2)/25)*Calculateur!DB132*Calculateur!DD132*VLOOKUP('Données projet'!$B$13,Paramètres!$A$1:$I$89,3,0)*0.475*44/12</f>
        <v>48.838512788895095</v>
      </c>
      <c r="DH132" s="21">
        <f>EXP(-LN(2)/2)*DH131+(1-EXP(-LN(2)/2))/(LN(2)/2)*DB132*DE132*VLOOKUP('Données projet'!$B$13,Paramètres!$A$1:$I$89,3,0)*0.475*44/12</f>
        <v>14.909648345624088</v>
      </c>
      <c r="DI132" s="22">
        <f t="shared" ref="DI132:DI153" si="123">SUM(DF132:DH132)</f>
        <v>118.21460983541952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68.509283455492877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7.1129999999999995</v>
      </c>
      <c r="DO132" s="12">
        <f>IF('Données projet'!$A$166&gt;35,DO131+DN132-DW131,IF(A132&lt;'Données projet'!$A$166,$DL$205^A132,IF(A132='Données projet'!$A$166,'Données projet'!$B$166,DO131+DN132-DW131)))</f>
        <v>319.23100000000005</v>
      </c>
      <c r="DP132" s="17">
        <f>DO132*VLOOKUP('Données projet'!$B$14,Paramètres!$A$1:$I$89,3,0)*VLOOKUP('Données projet'!$B$14,Paramètres!$A$1:$I$89,5,0)</f>
        <v>308.7602232000001</v>
      </c>
      <c r="DQ132" s="13">
        <f t="shared" si="97"/>
        <v>73.009855077083458</v>
      </c>
      <c r="DR132" s="20">
        <f t="shared" ref="DR132:DR153" si="124">(DP132+DQ132)*0.475*44/12</f>
        <v>664.91621966592049</v>
      </c>
      <c r="DS132" s="59">
        <f t="shared" ref="DS132:DS195" si="125">DR132+(DJ132+DK132)*44/12</f>
        <v>952.78359233606102</v>
      </c>
      <c r="DT132" s="59">
        <f ca="1">AVERAGE(OFFSET($DS$3,0,0,'Données projet'!$E$14+1,1))-AVERAGE(OFFSET($H$3,0,0,'Données projet'!$E$14+1,1))</f>
        <v>537.37164071064103</v>
      </c>
      <c r="DU132" s="59">
        <f t="shared" si="98"/>
        <v>263.29777321132235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15.147444732174007</v>
      </c>
      <c r="EB132" s="21">
        <f>EXP(-LN(2)/25)*EB131+(1-EXP(-LN(2)/25))/(LN(2)/25)*Calculateur!DW132*Calculateur!DY132*VLOOKUP('Données projet'!$B$14,Paramètres!$A$1:$I$89,3,0)*0.475*44/12</f>
        <v>15.889497864571942</v>
      </c>
      <c r="EC132" s="21">
        <f>EXP(-LN(2)/2)*EC131+(1-EXP(-LN(2)/2))/(LN(2)/2)*DW132*DZ132*VLOOKUP('Données projet'!$B$14,Paramètres!$A$1:$I$89,3,0)*0.475*44/12</f>
        <v>0.962915082807277</v>
      </c>
      <c r="ED132" s="22">
        <f t="shared" ref="ED132:ED153" si="126">SUM(EA132:EC132)</f>
        <v>31.999857679553227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68.509283455492877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68.509283455492877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68.509283455492877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68.509283455492877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45">
      <c r="A133" s="10">
        <f t="shared" ref="A133:A152" si="139">A132+1</f>
        <v>130</v>
      </c>
      <c r="B133" s="73">
        <f>'Scénario référence'!$B$16*5+'Scénario référence'!$B$17*0+'Scénario référence'!$B$18*5</f>
        <v>2.8499999999999996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10.449999999999998</v>
      </c>
      <c r="H133" s="67">
        <f t="shared" si="110"/>
        <v>214.86666666666667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68.535144054797172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>
        <f>VLOOKUP(A133,'Données projet'!$A$35:$I$55,2,0)</f>
        <v>606.41</v>
      </c>
      <c r="L133" s="12">
        <f>VLOOKUP(A133,'Données projet'!$A$35:$I$55,9,0)</f>
        <v>10.745999999999999</v>
      </c>
      <c r="M133" s="12">
        <f t="array" ref="M133">INDEX(L:L,MIN(IF(ISNUMBER(L133:L329),ROW(L133:L329),"")))</f>
        <v>10.745999999999999</v>
      </c>
      <c r="N133" s="13">
        <f>IF('Données projet'!$A$36&gt;35,N132+M133-V132,IF(A133&lt;'Données projet'!$A$36,$K$205^A133,IF(A133='Données projet'!$A$36,'Données projet'!$B$36,N132+M133-V132)))</f>
        <v>606.41</v>
      </c>
      <c r="O133" s="13">
        <f>N133*VLOOKUP('Données projet'!$B$9,Paramètres!$A$1:$I$89,3,0)*VLOOKUP('Données projet'!$B$9,Paramètres!$A$1:$I$89,5,0)</f>
        <v>548.67976799999997</v>
      </c>
      <c r="P133" s="13">
        <f t="shared" ref="P133:P196" si="141">EXP(-1.0587+0.8836*LN(O133)+0.284)</f>
        <v>121.34287647942783</v>
      </c>
      <c r="Q133" s="20">
        <f t="shared" si="108"/>
        <v>1166.95610580167</v>
      </c>
      <c r="R133" s="59">
        <f t="shared" si="109"/>
        <v>1454.9183006692597</v>
      </c>
      <c r="S133" s="59">
        <f ca="1">AVERAGE(OFFSET($R$3,0,0,'Données projet'!$E$9+1,1))-AVERAGE(OFFSET($H$3,0,0,'Données projet'!$E$9+1,1))</f>
        <v>719.20816951277925</v>
      </c>
      <c r="T133" s="59">
        <f t="shared" ref="T133:T196" si="142">$T$3</f>
        <v>237.1127421841087</v>
      </c>
      <c r="U133" s="15">
        <f>IF(ISNA(VLOOKUP(A133,'Données projet'!$A$35:$I$55,3,0)),0,VLOOKUP(A133,'Données projet'!$A$35:$I$55,3,0))</f>
        <v>12</v>
      </c>
      <c r="V133" s="15">
        <f>IF(ISNA(VLOOKUP(A133,'Données projet'!$A$35:$I$55,4,0)),0,VLOOKUP(A133,'Données projet'!$A$35:$I$55,4,0))</f>
        <v>75.799999999999955</v>
      </c>
      <c r="W133" s="16">
        <f>IF(ISNA(VLOOKUP(A133,'Données projet'!$A$35:$I$55,5,0)),0%,VLOOKUP(A133,'Données projet'!$A$35:$I$55,5,0)*VLOOKUP('Données projet'!$B$9,Paramètres!$A$1:$I$89,7,0))</f>
        <v>0.215</v>
      </c>
      <c r="X133" s="16">
        <f>IF(ISNA(VLOOKUP(A133,'Données projet'!$A$35:$I$55,6,0)),0%,VLOOKUP(A133,'Données projet'!$A$35:$I$55,6,0)*VLOOKUP('Données projet'!$B$9,Paramètres!$A$1:$I$89,7,0))</f>
        <v>8.6000000000000007E-2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67.022188447492425</v>
      </c>
      <c r="AA133" s="21">
        <f>EXP(-LN(2)/25)*AA132+(1-EXP(-LN(2)/25))/(LN(2)/25)*Calculateur!V133*Calculateur!X133*VLOOKUP('Données projet'!$B$9,Paramètres!$A$1:$I$89,3,0)*0.475*44/12</f>
        <v>29.608559822433588</v>
      </c>
      <c r="AB133" s="21">
        <f>EXP(-LN(2)/2)*AB132+(1-EXP(-LN(2)/2))/(LN(2)/2)*V133*Y133*VLOOKUP('Données projet'!$B$9,Paramètres!$A$1:$I$89,3,0)*0.475*44/12</f>
        <v>5.9016182212358532E-6</v>
      </c>
      <c r="AC133" s="22">
        <f t="shared" si="111"/>
        <v>96.63075417154424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68.535144054797172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5.6843418860808015E-14</v>
      </c>
      <c r="AJ133" s="13">
        <f>AI133*VLOOKUP('Données projet'!$B$10,Paramètres!$A$1:$I$89,3,0)*VLOOKUP('Données projet'!$B$10,Paramètres!$A$1:$I$89,5,0)</f>
        <v>4.7884896048344674E-14</v>
      </c>
      <c r="AK133" s="13">
        <f t="shared" ref="AK133:AK153" si="143">EXP(-1.0587+0.8836*LN(AJ133)+0.284)</f>
        <v>7.8374629847779921E-13</v>
      </c>
      <c r="AL133" s="20">
        <f t="shared" si="112"/>
        <v>1.4484243304663672E-12</v>
      </c>
      <c r="AM133" s="59">
        <f t="shared" si="113"/>
        <v>287.96219486759105</v>
      </c>
      <c r="AN133" s="59">
        <f ca="1">AVERAGE(OFFSET($AM$3,0,0,'Données projet'!$E$10+1,1))-AVERAGE(OFFSET($H$3,0,0,'Données projet'!$E$10+1,1))</f>
        <v>442.79037205372367</v>
      </c>
      <c r="AO133" s="59">
        <f t="shared" ref="AO133:AO196" si="144">$AO$3</f>
        <v>288.23553637727969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76.059495826937734</v>
      </c>
      <c r="AV133" s="21">
        <f>EXP(-LN(2)/25)*AV132+(1-EXP(-LN(2)/25))/(LN(2)/25)*Calculateur!AQ133*Calculateur!AS133*VLOOKUP('Données projet'!$B$10,Paramètres!$A$1:$I$89,3,0)*0.475*44/12</f>
        <v>14.383219527525085</v>
      </c>
      <c r="AW133" s="21">
        <f>EXP(-LN(2)/2)*AW132+(1-EXP(-LN(2)/2))/(LN(2)/2)*AQ133*AT133*VLOOKUP('Données projet'!$B$10,Paramètres!$A$1:$I$89,3,0)*0.475*44/12</f>
        <v>1.8122616027737514E-3</v>
      </c>
      <c r="AX133" s="21">
        <f t="shared" si="114"/>
        <v>90.444527616065599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68.535144054797172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7.1129999999999995</v>
      </c>
      <c r="BD133" s="12">
        <f>IF('Données projet'!$A$88&gt;35,BD132+BC133-BL132,IF(A133&lt;'Données projet'!$A$88,$BA$205^A133,IF(A133='Données projet'!$A$88,'Données projet'!$B$88,BD132+BC133-BL132)))</f>
        <v>326.34400000000005</v>
      </c>
      <c r="BE133" s="13">
        <f>BD133*VLOOKUP('Données projet'!$B$11,Paramètres!$A$1:$I$89,3,0)*VLOOKUP('Données projet'!$B$11,Paramètres!$A$1:$I$89,5,0)</f>
        <v>330.91281600000008</v>
      </c>
      <c r="BF133" s="13">
        <f t="shared" ref="BF133:BF153" si="145">EXP(-1.0587+0.8836*LN(BE133)+0.284)</f>
        <v>77.619526782062408</v>
      </c>
      <c r="BG133" s="20">
        <f t="shared" si="115"/>
        <v>711.52716367875882</v>
      </c>
      <c r="BH133" s="59">
        <f t="shared" si="116"/>
        <v>999.48935854634851</v>
      </c>
      <c r="BI133" s="59">
        <f ca="1">AVERAGE(OFFSET($BH$3,0,0,'Données projet'!$E$11+1,1))-AVERAGE(OFFSET($H$3,0,0,'Données projet'!$E$11+1,1))</f>
        <v>559.91818701710872</v>
      </c>
      <c r="BJ133" s="59">
        <f t="shared" ref="BJ133:BJ196" si="146">$BJ$3</f>
        <v>273.47272623465915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21.79657330291068</v>
      </c>
      <c r="BQ133" s="21">
        <f>EXP(-LN(2)/25)*BQ132+(1-EXP(-LN(2)/25))/(LN(2)/25)*Calculateur!BL133*Calculateur!BN133*VLOOKUP('Données projet'!$B$11,Paramètres!$A$1:$I$89,3,0)*0.475*44/12</f>
        <v>20.467447682659984</v>
      </c>
      <c r="BR133" s="21">
        <f>EXP(-LN(2)/2)*BR132+(1-EXP(-LN(2)/2))/(LN(2)/2)*BL133*BO133*VLOOKUP('Données projet'!$B$11,Paramètres!$A$1:$I$89,3,0)*0.475*44/12</f>
        <v>0.2855319468254861</v>
      </c>
      <c r="BS133" s="22">
        <f t="shared" si="117"/>
        <v>42.549552932396153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68.535144054797172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-1.1368683772161603E-13</v>
      </c>
      <c r="BZ133" s="13">
        <f>BY133*VLOOKUP('Données projet'!$B$12,Paramètres!$A$1:$I$89,3,0)*VLOOKUP('Données projet'!$B$12,Paramètres!$A$1:$I$89,5,0)</f>
        <v>-8.8675733422860506E-14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208.92677786250815</v>
      </c>
      <c r="CE133" s="59">
        <f t="shared" ref="CE133:CE196" si="148">$CE$3</f>
        <v>207.54290142772214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8.2352585406626666</v>
      </c>
      <c r="CL133" s="21">
        <f>EXP(-LN(2)/25)*CL132+(1-EXP(-LN(2)/25))/(LN(2)/25)*Calculateur!CG133*Calculateur!CI133*VLOOKUP('Données projet'!$B$12,Paramètres!$A$1:$I$89,3,0)*0.475*44/12</f>
        <v>5.0010781661188002</v>
      </c>
      <c r="CM133" s="21">
        <f>EXP(-LN(2)/2)*CM132+(1-EXP(-LN(2)/2))/(LN(2)/2)*CG133*CJ133*VLOOKUP('Données projet'!$B$12,Paramètres!$A$1:$I$89,3,0)*0.475*44/12</f>
        <v>2.5647784863236515E-8</v>
      </c>
      <c r="CN133" s="22">
        <f t="shared" si="120"/>
        <v>13.236336732429251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68.535144054797172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>
        <f>VLOOKUP(A133,'Données projet'!$A$139:$I$159,2,0)</f>
        <v>112.75</v>
      </c>
      <c r="CR133" s="12">
        <f>VLOOKUP(A133,'Données projet'!$A$139:$I$159,9,0)</f>
        <v>2.4366666666666674</v>
      </c>
      <c r="CS133" s="12">
        <f t="array" ref="CS133">INDEX(CR:CR,MIN(IF(ISNUMBER(CR133:CR329),ROW(CR133:CR329),"")))</f>
        <v>2.4366666666666674</v>
      </c>
      <c r="CT133" s="12">
        <f>IF('Données projet'!$A$140&gt;35,CT132+CS133-DB132,IF(A133&lt;'Données projet'!$A$140,$CQ$205^A133,IF(A133='Données projet'!$A$140,'Données projet'!$B$140,CT132+CS133-DB132)))</f>
        <v>112.75000000000026</v>
      </c>
      <c r="CU133" s="17">
        <f>CT133*VLOOKUP('Données projet'!$B$13,Paramètres!$A$1:$I$89,3,0)*VLOOKUP('Données projet'!$B$13,Paramètres!$A$1:$I$89,5,0)</f>
        <v>107.29290000000026</v>
      </c>
      <c r="CV133" s="13">
        <f t="shared" ref="CV133:CV153" si="149">EXP(-1.0587+0.8836*LN(CU133)+0.284)</f>
        <v>28.692248678828363</v>
      </c>
      <c r="CW133" s="20">
        <f t="shared" si="121"/>
        <v>236.84080061562653</v>
      </c>
      <c r="CX133" s="59">
        <f t="shared" si="122"/>
        <v>524.80299548321614</v>
      </c>
      <c r="CY133" s="59">
        <f ca="1">AVERAGE(OFFSET($CX$3,0,0,'Données projet'!$E$13+1,1))-AVERAGE(OFFSET($H$3,0,0,'Données projet'!$E$13+1,1))</f>
        <v>470.42022791389275</v>
      </c>
      <c r="CZ133" s="59">
        <f t="shared" ref="CZ133:CZ196" si="150">$CZ$3</f>
        <v>300.26117330627346</v>
      </c>
      <c r="DA133" s="15">
        <f>IF(ISNA(VLOOKUP(A133,'Données projet'!$A$139:$I$159,3,0)),0,VLOOKUP(A133,'Données projet'!$A$139:$I$159,3,0))</f>
        <v>14</v>
      </c>
      <c r="DB133" s="15">
        <f>IF(ISNA(VLOOKUP(A133,'Données projet'!$A$139:$I$159,4,0)),0,VLOOKUP(A133,'Données projet'!$A$139:$I$159,4,0))</f>
        <v>112.75</v>
      </c>
      <c r="DC133" s="16">
        <f>IF(ISNA(VLOOKUP(A133,'Données projet'!$A$139:$I$159,5,0)),0%,VLOOKUP(A133,'Données projet'!$A$139:$I$159,5,0)*VLOOKUP('Données projet'!$B$13,Paramètres!$A$1:$I$89,7,0))</f>
        <v>0.1075</v>
      </c>
      <c r="DD133" s="16">
        <f>IF(ISNA(VLOOKUP(A133,'Données projet'!$A$139:$I$159,6,0)),0%,VLOOKUP(A133,'Données projet'!$A$139:$I$159,6,0)*VLOOKUP('Données projet'!$B$13,Paramètres!$A$1:$I$89,7,0))</f>
        <v>0.1075</v>
      </c>
      <c r="DE133" s="16">
        <f>IF(ISNA(VLOOKUP(A133,'Données projet'!$A$139:$I$159,7,0)),0%,VLOOKUP(A133,'Données projet'!$A$139:$I$159,7,0))</f>
        <v>0.25</v>
      </c>
      <c r="DF133" s="21">
        <f>EXP(-LN(2)/35)*DF132+(1-EXP(-LN(2)/35))/(LN(2)/35)*DB133*DC133*VLOOKUP('Données projet'!$B$13,Paramètres!$A$1:$I$89,3,0)*0.475*44/12</f>
        <v>66.148875573179566</v>
      </c>
      <c r="DG133" s="21">
        <f>EXP(-LN(2)/25)*DG132+(1-EXP(-LN(2)/25))/(LN(2)/25)*Calculateur!DB133*Calculateur!DD133*VLOOKUP('Données projet'!$B$13,Paramètres!$A$1:$I$89,3,0)*0.475*44/12</f>
        <v>60.203298297558</v>
      </c>
      <c r="DH133" s="21">
        <f>EXP(-LN(2)/2)*DH132+(1-EXP(-LN(2)/2))/(LN(2)/2)*DB133*DE133*VLOOKUP('Données projet'!$B$13,Paramètres!$A$1:$I$89,3,0)*0.475*44/12</f>
        <v>35.851148174313693</v>
      </c>
      <c r="DI133" s="22">
        <f t="shared" si="123"/>
        <v>162.20332204505127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68.535144054797172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7.1129999999999995</v>
      </c>
      <c r="DO133" s="12">
        <f>IF('Données projet'!$A$166&gt;35,DO132+DN133-DW132,IF(A133&lt;'Données projet'!$A$166,$DL$205^A133,IF(A133='Données projet'!$A$166,'Données projet'!$B$166,DO132+DN133-DW132)))</f>
        <v>326.34400000000005</v>
      </c>
      <c r="DP133" s="17">
        <f>DO133*VLOOKUP('Données projet'!$B$14,Paramètres!$A$1:$I$89,3,0)*VLOOKUP('Données projet'!$B$14,Paramètres!$A$1:$I$89,5,0)</f>
        <v>315.63991680000004</v>
      </c>
      <c r="DQ133" s="13">
        <f t="shared" ref="DQ133:DQ153" si="151">EXP(-1.0587+0.8836*LN(DP133)+0.284)</f>
        <v>74.445430484125623</v>
      </c>
      <c r="DR133" s="20">
        <f t="shared" si="124"/>
        <v>679.39864651985215</v>
      </c>
      <c r="DS133" s="59">
        <f t="shared" si="125"/>
        <v>967.36084138744172</v>
      </c>
      <c r="DT133" s="59">
        <f ca="1">AVERAGE(OFFSET($DS$3,0,0,'Données projet'!$E$14+1,1))-AVERAGE(OFFSET($H$3,0,0,'Données projet'!$E$14+1,1))</f>
        <v>537.37164071064103</v>
      </c>
      <c r="DU133" s="59">
        <f t="shared" ref="DU133:DU196" si="152">$DU$3</f>
        <v>263.29777321132235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14.850412580005083</v>
      </c>
      <c r="EB133" s="21">
        <f>EXP(-LN(2)/25)*EB132+(1-EXP(-LN(2)/25))/(LN(2)/25)*Calculateur!DW133*Calculateur!DY133*VLOOKUP('Données projet'!$B$14,Paramètres!$A$1:$I$89,3,0)*0.475*44/12</f>
        <v>15.454998709872845</v>
      </c>
      <c r="EC133" s="21">
        <f>EXP(-LN(2)/2)*EC132+(1-EXP(-LN(2)/2))/(LN(2)/2)*DW133*DZ133*VLOOKUP('Données projet'!$B$14,Paramètres!$A$1:$I$89,3,0)*0.475*44/12</f>
        <v>0.68088378475983158</v>
      </c>
      <c r="ED133" s="22">
        <f t="shared" si="126"/>
        <v>30.986295074637759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68.535144054797172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68.535144054797172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68.535144054797172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68.535144054797172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45">
      <c r="A134" s="10">
        <f t="shared" si="139"/>
        <v>131</v>
      </c>
      <c r="B134" s="73">
        <f>'Scénario référence'!$B$16*5+'Scénario référence'!$B$17*0+'Scénario référence'!$B$18*5</f>
        <v>2.8499999999999996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10.449999999999998</v>
      </c>
      <c r="H134" s="67">
        <f t="shared" si="110"/>
        <v>214.86666666666667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68.560556030519166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10.843999999999994</v>
      </c>
      <c r="N134" s="13">
        <f>IF('Données projet'!$A$36&gt;35,N133+M134-V133,IF(A134&lt;'Données projet'!$A$36,$K$205^A134,IF(A134='Données projet'!$A$36,'Données projet'!$B$36,N133+M134-V133)))</f>
        <v>541.45399999999995</v>
      </c>
      <c r="O134" s="13">
        <f>N134*VLOOKUP('Données projet'!$B$9,Paramètres!$A$1:$I$89,3,0)*VLOOKUP('Données projet'!$B$9,Paramètres!$A$1:$I$89,5,0)</f>
        <v>489.90757919999993</v>
      </c>
      <c r="P134" s="13">
        <f t="shared" si="141"/>
        <v>109.78346531715303</v>
      </c>
      <c r="Q134" s="20">
        <f t="shared" si="108"/>
        <v>1044.4619025340414</v>
      </c>
      <c r="R134" s="59">
        <f t="shared" si="109"/>
        <v>1332.517274645945</v>
      </c>
      <c r="S134" s="59">
        <f ca="1">AVERAGE(OFFSET($R$3,0,0,'Données projet'!$E$9+1,1))-AVERAGE(OFFSET($H$3,0,0,'Données projet'!$E$9+1,1))</f>
        <v>719.20816951277925</v>
      </c>
      <c r="T134" s="59">
        <f t="shared" si="142"/>
        <v>237.1127421841087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65.707924211535541</v>
      </c>
      <c r="AA134" s="21">
        <f>EXP(-LN(2)/25)*AA133+(1-EXP(-LN(2)/25))/(LN(2)/25)*Calculateur!V134*Calculateur!X134*VLOOKUP('Données projet'!$B$9,Paramètres!$A$1:$I$89,3,0)*0.475*44/12</f>
        <v>28.79891219704265</v>
      </c>
      <c r="AB134" s="21">
        <f>EXP(-LN(2)/2)*AB133+(1-EXP(-LN(2)/2))/(LN(2)/2)*V134*Y134*VLOOKUP('Données projet'!$B$9,Paramètres!$A$1:$I$89,3,0)*0.475*44/12</f>
        <v>4.1730742642099622E-6</v>
      </c>
      <c r="AC134" s="22">
        <f t="shared" si="111"/>
        <v>94.506840581652455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68.560556030519166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5.6843418860808015E-14</v>
      </c>
      <c r="AJ134" s="13">
        <f>AI134*VLOOKUP('Données projet'!$B$10,Paramètres!$A$1:$I$89,3,0)*VLOOKUP('Données projet'!$B$10,Paramètres!$A$1:$I$89,5,0)</f>
        <v>4.7884896048344674E-14</v>
      </c>
      <c r="AK134" s="13">
        <f t="shared" si="143"/>
        <v>7.8374629847779921E-13</v>
      </c>
      <c r="AL134" s="20">
        <f t="shared" si="112"/>
        <v>1.4484243304663672E-12</v>
      </c>
      <c r="AM134" s="59">
        <f t="shared" si="113"/>
        <v>288.05537211190506</v>
      </c>
      <c r="AN134" s="59">
        <f ca="1">AVERAGE(OFFSET($AM$3,0,0,'Données projet'!$E$10+1,1))-AVERAGE(OFFSET($H$3,0,0,'Données projet'!$E$10+1,1))</f>
        <v>442.79037205372367</v>
      </c>
      <c r="AO134" s="59">
        <f t="shared" si="144"/>
        <v>288.23553637727969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74.568015505483132</v>
      </c>
      <c r="AV134" s="21">
        <f>EXP(-LN(2)/25)*AV133+(1-EXP(-LN(2)/25))/(LN(2)/25)*Calculateur!AQ134*Calculateur!AS134*VLOOKUP('Données projet'!$B$10,Paramètres!$A$1:$I$89,3,0)*0.475*44/12</f>
        <v>13.98990963316427</v>
      </c>
      <c r="AW134" s="21">
        <f>EXP(-LN(2)/2)*AW133+(1-EXP(-LN(2)/2))/(LN(2)/2)*AQ134*AT134*VLOOKUP('Données projet'!$B$10,Paramètres!$A$1:$I$89,3,0)*0.475*44/12</f>
        <v>1.2814624686053209E-3</v>
      </c>
      <c r="AX134" s="21">
        <f t="shared" si="114"/>
        <v>88.559206601116017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68.560556030519166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7.1129999999999995</v>
      </c>
      <c r="BD134" s="12">
        <f>IF('Données projet'!$A$88&gt;35,BD133+BC134-BL133,IF(A134&lt;'Données projet'!$A$88,$BA$205^A134,IF(A134='Données projet'!$A$88,'Données projet'!$B$88,BD133+BC134-BL133)))</f>
        <v>333.45700000000005</v>
      </c>
      <c r="BE134" s="13">
        <f>BD134*VLOOKUP('Données projet'!$B$11,Paramètres!$A$1:$I$89,3,0)*VLOOKUP('Données projet'!$B$11,Paramètres!$A$1:$I$89,5,0)</f>
        <v>338.12539800000008</v>
      </c>
      <c r="BF134" s="13">
        <f t="shared" si="145"/>
        <v>79.112517242778139</v>
      </c>
      <c r="BG134" s="20">
        <f t="shared" si="115"/>
        <v>726.68936904783868</v>
      </c>
      <c r="BH134" s="59">
        <f t="shared" si="116"/>
        <v>1014.7447411597423</v>
      </c>
      <c r="BI134" s="59">
        <f ca="1">AVERAGE(OFFSET($BH$3,0,0,'Données projet'!$E$11+1,1))-AVERAGE(OFFSET($H$3,0,0,'Données projet'!$E$11+1,1))</f>
        <v>559.91818701710872</v>
      </c>
      <c r="BJ134" s="59">
        <f t="shared" si="146"/>
        <v>273.47272623465915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21.369155795037585</v>
      </c>
      <c r="BQ134" s="21">
        <f>EXP(-LN(2)/25)*BQ133+(1-EXP(-LN(2)/25))/(LN(2)/25)*Calculateur!BL134*Calculateur!BN134*VLOOKUP('Données projet'!$B$11,Paramètres!$A$1:$I$89,3,0)*0.475*44/12</f>
        <v>19.907764249441353</v>
      </c>
      <c r="BR134" s="21">
        <f>EXP(-LN(2)/2)*BR133+(1-EXP(-LN(2)/2))/(LN(2)/2)*BL134*BO134*VLOOKUP('Données projet'!$B$11,Paramètres!$A$1:$I$89,3,0)*0.475*44/12</f>
        <v>0.20190157584569793</v>
      </c>
      <c r="BS134" s="22">
        <f t="shared" si="117"/>
        <v>41.478821620324638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68.560556030519166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-1.1368683772161603E-13</v>
      </c>
      <c r="BZ134" s="13">
        <f>BY134*VLOOKUP('Données projet'!$B$12,Paramètres!$A$1:$I$89,3,0)*VLOOKUP('Données projet'!$B$12,Paramètres!$A$1:$I$89,5,0)</f>
        <v>-8.8675733422860506E-14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208.92677786250815</v>
      </c>
      <c r="CE134" s="59">
        <f t="shared" si="148"/>
        <v>207.54290142772214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8.0737701436920002</v>
      </c>
      <c r="CL134" s="21">
        <f>EXP(-LN(2)/25)*CL133+(1-EXP(-LN(2)/25))/(LN(2)/25)*Calculateur!CG134*Calculateur!CI134*VLOOKUP('Données projet'!$B$12,Paramètres!$A$1:$I$89,3,0)*0.475*44/12</f>
        <v>4.8643234206710106</v>
      </c>
      <c r="CM134" s="21">
        <f>EXP(-LN(2)/2)*CM133+(1-EXP(-LN(2)/2))/(LN(2)/2)*CG134*CJ134*VLOOKUP('Données projet'!$B$12,Paramètres!$A$1:$I$89,3,0)*0.475*44/12</f>
        <v>1.8135722599208228E-8</v>
      </c>
      <c r="CN134" s="22">
        <f t="shared" si="120"/>
        <v>12.938093582498734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68.560556030519166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2.5579538487363607E-13</v>
      </c>
      <c r="CU134" s="17">
        <f>CT134*VLOOKUP('Données projet'!$B$13,Paramètres!$A$1:$I$89,3,0)*VLOOKUP('Données projet'!$B$13,Paramètres!$A$1:$I$89,5,0)</f>
        <v>2.4341488824575211E-13</v>
      </c>
      <c r="CV134" s="13">
        <f t="shared" si="149"/>
        <v>3.2970717324875541E-12</v>
      </c>
      <c r="CW134" s="20">
        <f t="shared" si="121"/>
        <v>6.1663475311105072E-12</v>
      </c>
      <c r="CX134" s="59">
        <f t="shared" si="122"/>
        <v>288.05537211190978</v>
      </c>
      <c r="CY134" s="59">
        <f ca="1">AVERAGE(OFFSET($CX$3,0,0,'Données projet'!$E$13+1,1))-AVERAGE(OFFSET($H$3,0,0,'Données projet'!$E$13+1,1))</f>
        <v>470.42022791389275</v>
      </c>
      <c r="CZ134" s="59">
        <f t="shared" si="150"/>
        <v>300.26117330627346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64.851736470019702</v>
      </c>
      <c r="DG134" s="21">
        <f>EXP(-LN(2)/25)*DG133+(1-EXP(-LN(2)/25))/(LN(2)/25)*Calculateur!DB134*Calculateur!DD134*VLOOKUP('Données projet'!$B$13,Paramètres!$A$1:$I$89,3,0)*0.475*44/12</f>
        <v>58.557035939657418</v>
      </c>
      <c r="DH134" s="21">
        <f>EXP(-LN(2)/2)*DH133+(1-EXP(-LN(2)/2))/(LN(2)/2)*DB134*DE134*VLOOKUP('Données projet'!$B$13,Paramètres!$A$1:$I$89,3,0)*0.475*44/12</f>
        <v>25.350589987380928</v>
      </c>
      <c r="DI134" s="22">
        <f t="shared" si="123"/>
        <v>148.75936239705806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68.560556030519166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7.1129999999999995</v>
      </c>
      <c r="DO134" s="12">
        <f>IF('Données projet'!$A$166&gt;35,DO133+DN134-DW133,IF(A134&lt;'Données projet'!$A$166,$DL$205^A134,IF(A134='Données projet'!$A$166,'Données projet'!$B$166,DO133+DN134-DW133)))</f>
        <v>333.45700000000005</v>
      </c>
      <c r="DP134" s="17">
        <f>DO134*VLOOKUP('Données projet'!$B$14,Paramètres!$A$1:$I$89,3,0)*VLOOKUP('Données projet'!$B$14,Paramètres!$A$1:$I$89,5,0)</f>
        <v>322.51961040000003</v>
      </c>
      <c r="DQ134" s="13">
        <f t="shared" si="151"/>
        <v>75.877368066903443</v>
      </c>
      <c r="DR134" s="20">
        <f t="shared" si="124"/>
        <v>693.87473749652361</v>
      </c>
      <c r="DS134" s="59">
        <f t="shared" si="125"/>
        <v>981.9301096084273</v>
      </c>
      <c r="DT134" s="59">
        <f ca="1">AVERAGE(OFFSET($DS$3,0,0,'Données projet'!$E$14+1,1))-AVERAGE(OFFSET($H$3,0,0,'Données projet'!$E$14+1,1))</f>
        <v>537.37164071064103</v>
      </c>
      <c r="DU134" s="59">
        <f t="shared" si="152"/>
        <v>263.29777321132235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14.559205047168467</v>
      </c>
      <c r="EB134" s="21">
        <f>EXP(-LN(2)/25)*EB133+(1-EXP(-LN(2)/25))/(LN(2)/25)*Calculateur!DW134*Calculateur!DY134*VLOOKUP('Données projet'!$B$14,Paramètres!$A$1:$I$89,3,0)*0.475*44/12</f>
        <v>15.032380957408312</v>
      </c>
      <c r="EC134" s="21">
        <f>EXP(-LN(2)/2)*EC133+(1-EXP(-LN(2)/2))/(LN(2)/2)*DW134*DZ134*VLOOKUP('Données projet'!$B$14,Paramètres!$A$1:$I$89,3,0)*0.475*44/12</f>
        <v>0.48145754140363856</v>
      </c>
      <c r="ED134" s="22">
        <f t="shared" si="126"/>
        <v>30.073043545980418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68.560556030519166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68.560556030519166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68.560556030519166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68.560556030519166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45">
      <c r="A135" s="10">
        <f t="shared" si="139"/>
        <v>132</v>
      </c>
      <c r="B135" s="73">
        <f>'Scénario référence'!$B$16*5+'Scénario référence'!$B$17*0+'Scénario référence'!$B$18*5</f>
        <v>2.8499999999999996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10.449999999999998</v>
      </c>
      <c r="H135" s="67">
        <f t="shared" si="110"/>
        <v>214.86666666666667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68.585527165275053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10.843999999999994</v>
      </c>
      <c r="N135" s="13">
        <f>IF('Données projet'!$A$36&gt;35,N134+M135-V134,IF(A135&lt;'Données projet'!$A$36,$K$205^A135,IF(A135='Données projet'!$A$36,'Données projet'!$B$36,N134+M135-V134)))</f>
        <v>552.298</v>
      </c>
      <c r="O135" s="13">
        <f>N135*VLOOKUP('Données projet'!$B$9,Paramètres!$A$1:$I$89,3,0)*VLOOKUP('Données projet'!$B$9,Paramètres!$A$1:$I$89,5,0)</f>
        <v>499.71923039999996</v>
      </c>
      <c r="P135" s="13">
        <f t="shared" si="141"/>
        <v>111.72398392673504</v>
      </c>
      <c r="Q135" s="20">
        <f t="shared" si="108"/>
        <v>1064.9302649523968</v>
      </c>
      <c r="R135" s="59">
        <f t="shared" si="109"/>
        <v>1353.0771978917387</v>
      </c>
      <c r="S135" s="59">
        <f ca="1">AVERAGE(OFFSET($R$3,0,0,'Données projet'!$E$9+1,1))-AVERAGE(OFFSET($H$3,0,0,'Données projet'!$E$9+1,1))</f>
        <v>719.20816951277925</v>
      </c>
      <c r="T135" s="59">
        <f t="shared" si="142"/>
        <v>237.1127421841087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64.419431895623731</v>
      </c>
      <c r="AA135" s="21">
        <f>EXP(-LN(2)/25)*AA134+(1-EXP(-LN(2)/25))/(LN(2)/25)*Calculateur!V135*Calculateur!X135*VLOOKUP('Données projet'!$B$9,Paramètres!$A$1:$I$89,3,0)*0.475*44/12</f>
        <v>28.011404428545546</v>
      </c>
      <c r="AB135" s="21">
        <f>EXP(-LN(2)/2)*AB134+(1-EXP(-LN(2)/2))/(LN(2)/2)*V135*Y135*VLOOKUP('Données projet'!$B$9,Paramètres!$A$1:$I$89,3,0)*0.475*44/12</f>
        <v>2.9508091106179266E-6</v>
      </c>
      <c r="AC135" s="22">
        <f t="shared" si="111"/>
        <v>92.430839274978382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68.585527165275053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5.6843418860808015E-14</v>
      </c>
      <c r="AJ135" s="13">
        <f>AI135*VLOOKUP('Données projet'!$B$10,Paramètres!$A$1:$I$89,3,0)*VLOOKUP('Données projet'!$B$10,Paramètres!$A$1:$I$89,5,0)</f>
        <v>4.7884896048344674E-14</v>
      </c>
      <c r="AK135" s="13">
        <f t="shared" si="143"/>
        <v>7.8374629847779921E-13</v>
      </c>
      <c r="AL135" s="20">
        <f t="shared" si="112"/>
        <v>1.4484243304663672E-12</v>
      </c>
      <c r="AM135" s="59">
        <f t="shared" si="113"/>
        <v>288.14693293934329</v>
      </c>
      <c r="AN135" s="59">
        <f ca="1">AVERAGE(OFFSET($AM$3,0,0,'Données projet'!$E$10+1,1))-AVERAGE(OFFSET($H$3,0,0,'Données projet'!$E$10+1,1))</f>
        <v>442.79037205372367</v>
      </c>
      <c r="AO135" s="59">
        <f t="shared" si="144"/>
        <v>288.23553637727969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73.105782203419096</v>
      </c>
      <c r="AV135" s="21">
        <f>EXP(-LN(2)/25)*AV134+(1-EXP(-LN(2)/25))/(LN(2)/25)*Calculateur!AQ135*Calculateur!AS135*VLOOKUP('Données projet'!$B$10,Paramètres!$A$1:$I$89,3,0)*0.475*44/12</f>
        <v>13.60735481854802</v>
      </c>
      <c r="AW135" s="21">
        <f>EXP(-LN(2)/2)*AW134+(1-EXP(-LN(2)/2))/(LN(2)/2)*AQ135*AT135*VLOOKUP('Données projet'!$B$10,Paramètres!$A$1:$I$89,3,0)*0.475*44/12</f>
        <v>9.061308013868757E-4</v>
      </c>
      <c r="AX135" s="21">
        <f t="shared" si="114"/>
        <v>86.714043152768497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68.585527165275053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>
        <f>VLOOKUP(A135,'Données projet'!$A$87:$I$107,2,0)</f>
        <v>340.57</v>
      </c>
      <c r="BB135" s="12">
        <f>VLOOKUP(A135,'Données projet'!$A$87:$I$107,9,0)</f>
        <v>7.1129999999999995</v>
      </c>
      <c r="BC135" s="12">
        <f t="array" ref="BC135">INDEX(BB:BB,MIN(IF(ISNUMBER(BB135:BB331),ROW(BB135:BB331),"")))</f>
        <v>7.1129999999999995</v>
      </c>
      <c r="BD135" s="12">
        <f>IF('Données projet'!$A$88&gt;35,BD134+BC135-BL134,IF(A135&lt;'Données projet'!$A$88,$BA$205^A135,IF(A135='Données projet'!$A$88,'Données projet'!$B$88,BD134+BC135-BL134)))</f>
        <v>340.57000000000005</v>
      </c>
      <c r="BE135" s="13">
        <f>BD135*VLOOKUP('Données projet'!$B$11,Paramètres!$A$1:$I$89,3,0)*VLOOKUP('Données projet'!$B$11,Paramètres!$A$1:$I$89,5,0)</f>
        <v>345.33798000000007</v>
      </c>
      <c r="BF135" s="13">
        <f t="shared" si="145"/>
        <v>80.601805001623404</v>
      </c>
      <c r="BG135" s="20">
        <f t="shared" si="115"/>
        <v>741.84512554449418</v>
      </c>
      <c r="BH135" s="59">
        <f t="shared" si="116"/>
        <v>1029.992058483836</v>
      </c>
      <c r="BI135" s="59">
        <f ca="1">AVERAGE(OFFSET($BH$3,0,0,'Données projet'!$E$11+1,1))-AVERAGE(OFFSET($H$3,0,0,'Données projet'!$E$11+1,1))</f>
        <v>559.91818701710872</v>
      </c>
      <c r="BJ135" s="59">
        <f t="shared" si="146"/>
        <v>273.47272623465915</v>
      </c>
      <c r="BK135" s="15">
        <f>IF(ISNA(VLOOKUP(A135,'Données projet'!$A$87:$I$107,3,0)),0,VLOOKUP(A135,'Données projet'!$A$87:$I$107,3,0))</f>
        <v>9</v>
      </c>
      <c r="BL135" s="15">
        <f>IF(ISNA(VLOOKUP(A135,'Données projet'!$A$87:$I$107,4,0)),0,VLOOKUP(A135,'Données projet'!$A$87:$I$107,4,0))</f>
        <v>48.699999999999989</v>
      </c>
      <c r="BM135" s="16">
        <f>IF(ISNA(VLOOKUP(A135,'Données projet'!$A$87:$I$107,5,0)),0%,VLOOKUP(A135,'Données projet'!$A$87:$I$107,5,0)*VLOOKUP('Données projet'!$B$11,Paramètres!$A$1:$I$89,7,0))</f>
        <v>0.15049999999999999</v>
      </c>
      <c r="BN135" s="16">
        <f>IF(ISNA(VLOOKUP(A135,'Données projet'!$A$87:$I$107,6,0)),0%,VLOOKUP(A135,'Données projet'!$A$87:$I$107,6,0)*VLOOKUP('Données projet'!$B$11,Paramètres!$A$1:$I$89,7,0))</f>
        <v>8.6000000000000007E-2</v>
      </c>
      <c r="BO135" s="16">
        <f>IF(ISNA(VLOOKUP(A135,'Données projet'!$A$87:$I$107,7,0)),0%,VLOOKUP(A135,'Données projet'!$A$87:$I$107,7,0))</f>
        <v>0.1</v>
      </c>
      <c r="BP135" s="21">
        <f>EXP(-LN(2)/35)*BP134+(1-EXP(-LN(2)/35))/(LN(2)/35)*BL135*BM135*VLOOKUP('Données projet'!$B$11,Paramètres!$A$1:$I$89,3,0)*0.475*44/12</f>
        <v>29.165932320591985</v>
      </c>
      <c r="BQ135" s="21">
        <f>EXP(-LN(2)/25)*BQ134+(1-EXP(-LN(2)/25))/(LN(2)/25)*Calculateur!BL135*Calculateur!BN135*VLOOKUP('Données projet'!$B$11,Paramètres!$A$1:$I$89,3,0)*0.475*44/12</f>
        <v>24.039650447408519</v>
      </c>
      <c r="BR135" s="21">
        <f>EXP(-LN(2)/2)*BR134+(1-EXP(-LN(2)/2))/(LN(2)/2)*BL135*BO135*VLOOKUP('Données projet'!$B$11,Paramètres!$A$1:$I$89,3,0)*0.475*44/12</f>
        <v>4.802071712578778</v>
      </c>
      <c r="BS135" s="22">
        <f t="shared" si="117"/>
        <v>58.007654480579284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68.585527165275053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-1.1368683772161603E-13</v>
      </c>
      <c r="BZ135" s="13">
        <f>BY135*VLOOKUP('Données projet'!$B$12,Paramètres!$A$1:$I$89,3,0)*VLOOKUP('Données projet'!$B$12,Paramètres!$A$1:$I$89,5,0)</f>
        <v>-8.8675733422860506E-14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208.92677786250815</v>
      </c>
      <c r="CE135" s="59">
        <f t="shared" si="148"/>
        <v>207.54290142772214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7.9154484356877326</v>
      </c>
      <c r="CL135" s="21">
        <f>EXP(-LN(2)/25)*CL134+(1-EXP(-LN(2)/25))/(LN(2)/25)*Calculateur!CG135*Calculateur!CI135*VLOOKUP('Données projet'!$B$12,Paramètres!$A$1:$I$89,3,0)*0.475*44/12</f>
        <v>4.7313082409291107</v>
      </c>
      <c r="CM135" s="21">
        <f>EXP(-LN(2)/2)*CM134+(1-EXP(-LN(2)/2))/(LN(2)/2)*CG135*CJ135*VLOOKUP('Données projet'!$B$12,Paramètres!$A$1:$I$89,3,0)*0.475*44/12</f>
        <v>1.2823892431618258E-8</v>
      </c>
      <c r="CN135" s="22">
        <f t="shared" si="120"/>
        <v>12.646756689440735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68.585527165275053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2.5579538487363607E-13</v>
      </c>
      <c r="CU135" s="17">
        <f>CT135*VLOOKUP('Données projet'!$B$13,Paramètres!$A$1:$I$89,3,0)*VLOOKUP('Données projet'!$B$13,Paramètres!$A$1:$I$89,5,0)</f>
        <v>2.4341488824575211E-13</v>
      </c>
      <c r="CV135" s="13">
        <f t="shared" si="149"/>
        <v>3.2970717324875541E-12</v>
      </c>
      <c r="CW135" s="20">
        <f t="shared" si="121"/>
        <v>6.1663475311105072E-12</v>
      </c>
      <c r="CX135" s="59">
        <f t="shared" si="122"/>
        <v>288.14693293934801</v>
      </c>
      <c r="CY135" s="59">
        <f ca="1">AVERAGE(OFFSET($CX$3,0,0,'Données projet'!$E$13+1,1))-AVERAGE(OFFSET($H$3,0,0,'Données projet'!$E$13+1,1))</f>
        <v>470.42022791389275</v>
      </c>
      <c r="CZ135" s="59">
        <f t="shared" si="150"/>
        <v>300.26117330627346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63.580033473496066</v>
      </c>
      <c r="DG135" s="21">
        <f>EXP(-LN(2)/25)*DG134+(1-EXP(-LN(2)/25))/(LN(2)/25)*Calculateur!DB135*Calculateur!DD135*VLOOKUP('Données projet'!$B$13,Paramètres!$A$1:$I$89,3,0)*0.475*44/12</f>
        <v>56.955790712506797</v>
      </c>
      <c r="DH135" s="21">
        <f>EXP(-LN(2)/2)*DH134+(1-EXP(-LN(2)/2))/(LN(2)/2)*DB135*DE135*VLOOKUP('Données projet'!$B$13,Paramètres!$A$1:$I$89,3,0)*0.475*44/12</f>
        <v>17.92557408715685</v>
      </c>
      <c r="DI135" s="22">
        <f t="shared" si="123"/>
        <v>138.46139827315972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68.585527165275053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>
        <f>VLOOKUP(A135,'Données projet'!$A$165:$I$185,2,0)</f>
        <v>340.57</v>
      </c>
      <c r="DM135" s="12">
        <f>VLOOKUP(A135,'Données projet'!$A$165:$I$185,9,0)</f>
        <v>7.1129999999999995</v>
      </c>
      <c r="DN135" s="12">
        <f t="array" ref="DN135">INDEX(DM:DM,MIN(IF(ISNUMBER(DM135:DM331),ROW(DM135:DM331),"")))</f>
        <v>7.1129999999999995</v>
      </c>
      <c r="DO135" s="12">
        <f>IF('Données projet'!$A$166&gt;35,DO134+DN135-DW134,IF(A135&lt;'Données projet'!$A$166,$DL$205^A135,IF(A135='Données projet'!$A$166,'Données projet'!$B$166,DO134+DN135-DW134)))</f>
        <v>340.57000000000005</v>
      </c>
      <c r="DP135" s="17">
        <f>DO135*VLOOKUP('Données projet'!$B$14,Paramètres!$A$1:$I$89,3,0)*VLOOKUP('Données projet'!$B$14,Paramètres!$A$1:$I$89,5,0)</f>
        <v>329.39930400000009</v>
      </c>
      <c r="DQ135" s="13">
        <f t="shared" si="151"/>
        <v>77.305754362445725</v>
      </c>
      <c r="DR135" s="20">
        <f t="shared" si="124"/>
        <v>708.3446433145931</v>
      </c>
      <c r="DS135" s="59">
        <f t="shared" si="125"/>
        <v>996.49157625393491</v>
      </c>
      <c r="DT135" s="59">
        <f ca="1">AVERAGE(OFFSET($DS$3,0,0,'Données projet'!$E$14+1,1))-AVERAGE(OFFSET($H$3,0,0,'Données projet'!$E$14+1,1))</f>
        <v>537.37164071064103</v>
      </c>
      <c r="DU135" s="59">
        <f t="shared" si="152"/>
        <v>263.29777321132235</v>
      </c>
      <c r="DV135" s="15">
        <f>IF(ISNA(VLOOKUP(A135,'Données projet'!$A$165:$I$185,3,0)),0,VLOOKUP(A135,'Données projet'!$A$165:$I$185,3,0))</f>
        <v>9</v>
      </c>
      <c r="DW135" s="15">
        <f>IF(ISNA(VLOOKUP(A135,'Données projet'!$A$165:$I$185,4,0)),0,VLOOKUP(A135,'Données projet'!$A$165:$I$185,4,0))</f>
        <v>48.699999999999989</v>
      </c>
      <c r="DX135" s="16">
        <f>IF(ISNA(VLOOKUP(A135,'Données projet'!$A$165:$I$185,5,0)),0%,VLOOKUP(A135,'Données projet'!$A$165:$I$185,5,0)*VLOOKUP('Données projet'!$B$14,Paramètres!$A$1:$I$89,7,0))</f>
        <v>0.1075</v>
      </c>
      <c r="DY135" s="16">
        <f>IF(ISNA(VLOOKUP(A135,'Données projet'!$A$165:$I$185,6,0)),0%,VLOOKUP(A135,'Données projet'!$A$165:$I$185,6,0)*VLOOKUP('Données projet'!$B$14,Paramètres!$A$1:$I$89,7,0))</f>
        <v>0.1075</v>
      </c>
      <c r="DZ135" s="16">
        <f>IF(ISNA(VLOOKUP(A135,'Données projet'!$A$165:$I$185,7,0)),0%,VLOOKUP(A135,'Données projet'!$A$165:$I$185,7,0))</f>
        <v>0.25</v>
      </c>
      <c r="EA135" s="21">
        <f>EXP(-LN(2)/35)*EA134+(1-EXP(-LN(2)/35))/(LN(2)/35)*DW135*DX135*VLOOKUP('Données projet'!$B$14,Paramètres!$A$1:$I$89,3,0)*0.475*44/12</f>
        <v>19.871294548095641</v>
      </c>
      <c r="EB135" s="21">
        <f>EXP(-LN(2)/25)*EB134+(1-EXP(-LN(2)/25))/(LN(2)/25)*Calculateur!DW135*Calculateur!DY135*VLOOKUP('Données projet'!$B$14,Paramètres!$A$1:$I$89,3,0)*0.475*44/12</f>
        <v>20.196866509856765</v>
      </c>
      <c r="EC135" s="21">
        <f>EXP(-LN(2)/2)*EC134+(1-EXP(-LN(2)/2))/(LN(2)/2)*DW135*DZ135*VLOOKUP('Données projet'!$B$14,Paramètres!$A$1:$I$89,3,0)*0.475*44/12</f>
        <v>11.451094039621999</v>
      </c>
      <c r="ED135" s="22">
        <f t="shared" si="126"/>
        <v>51.519255097574408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68.585527165275053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68.585527165275053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68.585527165275053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68.585527165275053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45">
      <c r="A136" s="10">
        <f t="shared" si="139"/>
        <v>133</v>
      </c>
      <c r="B136" s="73">
        <f>'Scénario référence'!$B$16*5+'Scénario référence'!$B$17*0+'Scénario référence'!$B$18*5</f>
        <v>2.8499999999999996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10.449999999999998</v>
      </c>
      <c r="H136" s="67">
        <f t="shared" si="110"/>
        <v>214.86666666666667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68.610065106670007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10.843999999999994</v>
      </c>
      <c r="N136" s="13">
        <f>IF('Données projet'!$A$36&gt;35,N135+M136-V135,IF(A136&lt;'Données projet'!$A$36,$K$205^A136,IF(A136='Données projet'!$A$36,'Données projet'!$B$36,N135+M136-V135)))</f>
        <v>563.14200000000005</v>
      </c>
      <c r="O136" s="13">
        <f>N136*VLOOKUP('Données projet'!$B$9,Paramètres!$A$1:$I$89,3,0)*VLOOKUP('Données projet'!$B$9,Paramètres!$A$1:$I$89,5,0)</f>
        <v>509.53088160000004</v>
      </c>
      <c r="P136" s="13">
        <f t="shared" si="141"/>
        <v>113.66007236881403</v>
      </c>
      <c r="Q136" s="20">
        <f t="shared" si="108"/>
        <v>1085.3909114956843</v>
      </c>
      <c r="R136" s="59">
        <f t="shared" si="109"/>
        <v>1373.6278168868078</v>
      </c>
      <c r="S136" s="59">
        <f ca="1">AVERAGE(OFFSET($R$3,0,0,'Données projet'!$E$9+1,1))-AVERAGE(OFFSET($H$3,0,0,'Données projet'!$E$9+1,1))</f>
        <v>719.20816951277925</v>
      </c>
      <c r="T136" s="59">
        <f t="shared" si="142"/>
        <v>237.1127421841087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63.156206128124246</v>
      </c>
      <c r="AA136" s="21">
        <f>EXP(-LN(2)/25)*AA135+(1-EXP(-LN(2)/25))/(LN(2)/25)*Calculateur!V136*Calculateur!X136*VLOOKUP('Données projet'!$B$9,Paramètres!$A$1:$I$89,3,0)*0.475*44/12</f>
        <v>27.24543110139123</v>
      </c>
      <c r="AB136" s="21">
        <f>EXP(-LN(2)/2)*AB135+(1-EXP(-LN(2)/2))/(LN(2)/2)*V136*Y136*VLOOKUP('Données projet'!$B$9,Paramètres!$A$1:$I$89,3,0)*0.475*44/12</f>
        <v>2.0865371321049811E-6</v>
      </c>
      <c r="AC136" s="22">
        <f t="shared" si="111"/>
        <v>90.401639316052609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68.610065106670007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5.6843418860808015E-14</v>
      </c>
      <c r="AJ136" s="13">
        <f>AI136*VLOOKUP('Données projet'!$B$10,Paramètres!$A$1:$I$89,3,0)*VLOOKUP('Données projet'!$B$10,Paramètres!$A$1:$I$89,5,0)</f>
        <v>4.7884896048344674E-14</v>
      </c>
      <c r="AK136" s="13">
        <f t="shared" si="143"/>
        <v>7.8374629847779921E-13</v>
      </c>
      <c r="AL136" s="20">
        <f t="shared" si="112"/>
        <v>1.4484243304663672E-12</v>
      </c>
      <c r="AM136" s="59">
        <f t="shared" si="113"/>
        <v>288.23690539112476</v>
      </c>
      <c r="AN136" s="59">
        <f ca="1">AVERAGE(OFFSET($AM$3,0,0,'Données projet'!$E$10+1,1))-AVERAGE(OFFSET($H$3,0,0,'Données projet'!$E$10+1,1))</f>
        <v>442.79037205372367</v>
      </c>
      <c r="AO136" s="59">
        <f t="shared" si="144"/>
        <v>288.23553637727969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71.672222404534281</v>
      </c>
      <c r="AV136" s="21">
        <f>EXP(-LN(2)/25)*AV135+(1-EXP(-LN(2)/25))/(LN(2)/25)*Calculateur!AQ136*Calculateur!AS136*VLOOKUP('Données projet'!$B$10,Paramètres!$A$1:$I$89,3,0)*0.475*44/12</f>
        <v>13.235260985455135</v>
      </c>
      <c r="AW136" s="21">
        <f>EXP(-LN(2)/2)*AW135+(1-EXP(-LN(2)/2))/(LN(2)/2)*AQ136*AT136*VLOOKUP('Données projet'!$B$10,Paramètres!$A$1:$I$89,3,0)*0.475*44/12</f>
        <v>6.4073123430266046E-4</v>
      </c>
      <c r="AX136" s="21">
        <f t="shared" si="114"/>
        <v>84.908124121223707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68.610065106670007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7.3375000000000012</v>
      </c>
      <c r="BD136" s="12">
        <f>IF('Données projet'!$A$88&gt;35,BD135+BC136-BL135,IF(A136&lt;'Données projet'!$A$88,$BA$205^A136,IF(A136='Données projet'!$A$88,'Données projet'!$B$88,BD135+BC136-BL135)))</f>
        <v>299.20750000000004</v>
      </c>
      <c r="BE136" s="13">
        <f>BD136*VLOOKUP('Données projet'!$B$11,Paramètres!$A$1:$I$89,3,0)*VLOOKUP('Données projet'!$B$11,Paramètres!$A$1:$I$89,5,0)</f>
        <v>303.39640500000007</v>
      </c>
      <c r="BF136" s="13">
        <f t="shared" si="145"/>
        <v>71.888013236043776</v>
      </c>
      <c r="BG136" s="20">
        <f t="shared" si="115"/>
        <v>653.62036176110962</v>
      </c>
      <c r="BH136" s="59">
        <f t="shared" si="116"/>
        <v>941.85726715223291</v>
      </c>
      <c r="BI136" s="59">
        <f ca="1">AVERAGE(OFFSET($BH$3,0,0,'Données projet'!$E$11+1,1))-AVERAGE(OFFSET($H$3,0,0,'Données projet'!$E$11+1,1))</f>
        <v>559.91818701710872</v>
      </c>
      <c r="BJ136" s="59">
        <f t="shared" si="146"/>
        <v>273.47272623465915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28.594006177247326</v>
      </c>
      <c r="BQ136" s="21">
        <f>EXP(-LN(2)/25)*BQ135+(1-EXP(-LN(2)/25))/(LN(2)/25)*Calculateur!BL136*Calculateur!BN136*VLOOKUP('Données projet'!$B$11,Paramètres!$A$1:$I$89,3,0)*0.475*44/12</f>
        <v>23.382284941733861</v>
      </c>
      <c r="BR136" s="21">
        <f>EXP(-LN(2)/2)*BR135+(1-EXP(-LN(2)/2))/(LN(2)/2)*BL136*BO136*VLOOKUP('Données projet'!$B$11,Paramètres!$A$1:$I$89,3,0)*0.475*44/12</f>
        <v>3.3955774717085516</v>
      </c>
      <c r="BS136" s="22">
        <f t="shared" si="117"/>
        <v>55.371868590689736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68.610065106670007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-1.1368683772161603E-13</v>
      </c>
      <c r="BZ136" s="13">
        <f>BY136*VLOOKUP('Données projet'!$B$12,Paramètres!$A$1:$I$89,3,0)*VLOOKUP('Données projet'!$B$12,Paramètres!$A$1:$I$89,5,0)</f>
        <v>-8.8675733422860506E-14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208.92677786250815</v>
      </c>
      <c r="CE136" s="59">
        <f t="shared" si="148"/>
        <v>207.54290142772214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7.760231319810722</v>
      </c>
      <c r="CL136" s="21">
        <f>EXP(-LN(2)/25)*CL135+(1-EXP(-LN(2)/25))/(LN(2)/25)*Calculateur!CG136*Calculateur!CI136*VLOOKUP('Données projet'!$B$12,Paramètres!$A$1:$I$89,3,0)*0.475*44/12</f>
        <v>4.6019303682722175</v>
      </c>
      <c r="CM136" s="21">
        <f>EXP(-LN(2)/2)*CM135+(1-EXP(-LN(2)/2))/(LN(2)/2)*CG136*CJ136*VLOOKUP('Données projet'!$B$12,Paramètres!$A$1:$I$89,3,0)*0.475*44/12</f>
        <v>9.067861299604114E-9</v>
      </c>
      <c r="CN136" s="22">
        <f t="shared" si="120"/>
        <v>12.3621616971508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68.610065106670007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2.5579538487363607E-13</v>
      </c>
      <c r="CU136" s="17">
        <f>CT136*VLOOKUP('Données projet'!$B$13,Paramètres!$A$1:$I$89,3,0)*VLOOKUP('Données projet'!$B$13,Paramètres!$A$1:$I$89,5,0)</f>
        <v>2.4341488824575211E-13</v>
      </c>
      <c r="CV136" s="13">
        <f t="shared" si="149"/>
        <v>3.2970717324875541E-12</v>
      </c>
      <c r="CW136" s="20">
        <f t="shared" si="121"/>
        <v>6.1663475311105072E-12</v>
      </c>
      <c r="CX136" s="59">
        <f t="shared" si="122"/>
        <v>288.23690539112948</v>
      </c>
      <c r="CY136" s="59">
        <f ca="1">AVERAGE(OFFSET($CX$3,0,0,'Données projet'!$E$13+1,1))-AVERAGE(OFFSET($H$3,0,0,'Données projet'!$E$13+1,1))</f>
        <v>470.42022791389275</v>
      </c>
      <c r="CZ136" s="59">
        <f t="shared" si="150"/>
        <v>300.26117330627346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62.333267797072018</v>
      </c>
      <c r="DG136" s="21">
        <f>EXP(-LN(2)/25)*DG135+(1-EXP(-LN(2)/25))/(LN(2)/25)*Calculateur!DB136*Calculateur!DD136*VLOOKUP('Données projet'!$B$13,Paramètres!$A$1:$I$89,3,0)*0.475*44/12</f>
        <v>55.398331620298443</v>
      </c>
      <c r="DH136" s="21">
        <f>EXP(-LN(2)/2)*DH135+(1-EXP(-LN(2)/2))/(LN(2)/2)*DB136*DE136*VLOOKUP('Données projet'!$B$13,Paramètres!$A$1:$I$89,3,0)*0.475*44/12</f>
        <v>12.675294993690466</v>
      </c>
      <c r="DI136" s="22">
        <f t="shared" si="123"/>
        <v>130.40689441106093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68.610065106670007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7.3375000000000012</v>
      </c>
      <c r="DO136" s="12">
        <f>IF('Données projet'!$A$166&gt;35,DO135+DN136-DW135,IF(A136&lt;'Données projet'!$A$166,$DL$205^A136,IF(A136='Données projet'!$A$166,'Données projet'!$B$166,DO135+DN136-DW135)))</f>
        <v>299.20750000000004</v>
      </c>
      <c r="DP136" s="17">
        <f>DO136*VLOOKUP('Données projet'!$B$14,Paramètres!$A$1:$I$89,3,0)*VLOOKUP('Données projet'!$B$14,Paramètres!$A$1:$I$89,5,0)</f>
        <v>289.39349400000003</v>
      </c>
      <c r="DQ136" s="13">
        <f t="shared" si="151"/>
        <v>68.948295794590706</v>
      </c>
      <c r="DR136" s="20">
        <f t="shared" si="124"/>
        <v>624.1119505589121</v>
      </c>
      <c r="DS136" s="59">
        <f t="shared" si="125"/>
        <v>912.34885595003539</v>
      </c>
      <c r="DT136" s="59">
        <f ca="1">AVERAGE(OFFSET($DS$3,0,0,'Données projet'!$E$14+1,1))-AVERAGE(OFFSET($H$3,0,0,'Données projet'!$E$14+1,1))</f>
        <v>537.37164071064103</v>
      </c>
      <c r="DU136" s="59">
        <f t="shared" si="152"/>
        <v>263.29777321132235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19.481630582300379</v>
      </c>
      <c r="EB136" s="21">
        <f>EXP(-LN(2)/25)*EB135+(1-EXP(-LN(2)/25))/(LN(2)/25)*Calculateur!DW136*Calculateur!DY136*VLOOKUP('Données projet'!$B$14,Paramètres!$A$1:$I$89,3,0)*0.475*44/12</f>
        <v>19.644582133037684</v>
      </c>
      <c r="EC136" s="21">
        <f>EXP(-LN(2)/2)*EC135+(1-EXP(-LN(2)/2))/(LN(2)/2)*DW136*DZ136*VLOOKUP('Données projet'!$B$14,Paramètres!$A$1:$I$89,3,0)*0.475*44/12</f>
        <v>8.0971462474215716</v>
      </c>
      <c r="ED136" s="22">
        <f t="shared" si="126"/>
        <v>47.223358962759633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68.610065106670007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68.610065106670007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68.610065106670007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68.610065106670007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45">
      <c r="A137" s="10">
        <f t="shared" si="139"/>
        <v>134</v>
      </c>
      <c r="B137" s="73">
        <f>'Scénario référence'!$B$16*5+'Scénario référence'!$B$17*0+'Scénario référence'!$B$18*5</f>
        <v>2.8499999999999996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10.449999999999998</v>
      </c>
      <c r="H137" s="67">
        <f t="shared" si="110"/>
        <v>214.86666666666667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68.634177369640383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10.843999999999994</v>
      </c>
      <c r="N137" s="13">
        <f>IF('Données projet'!$A$36&gt;35,N136+M137-V136,IF(A137&lt;'Données projet'!$A$36,$K$205^A137,IF(A137='Données projet'!$A$36,'Données projet'!$B$36,N136+M137-V136)))</f>
        <v>573.9860000000001</v>
      </c>
      <c r="O137" s="13">
        <f>N137*VLOOKUP('Données projet'!$B$9,Paramètres!$A$1:$I$89,3,0)*VLOOKUP('Données projet'!$B$9,Paramètres!$A$1:$I$89,5,0)</f>
        <v>519.34253280000007</v>
      </c>
      <c r="P137" s="13">
        <f t="shared" si="141"/>
        <v>115.5918257868824</v>
      </c>
      <c r="Q137" s="20">
        <f t="shared" si="108"/>
        <v>1105.8440078721535</v>
      </c>
      <c r="R137" s="59">
        <f t="shared" si="109"/>
        <v>1394.1693248941683</v>
      </c>
      <c r="S137" s="59">
        <f ca="1">AVERAGE(OFFSET($R$3,0,0,'Données projet'!$E$9+1,1))-AVERAGE(OFFSET($H$3,0,0,'Données projet'!$E$9+1,1))</f>
        <v>719.20816951277925</v>
      </c>
      <c r="T137" s="59">
        <f t="shared" si="142"/>
        <v>237.1127421841087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61.917751447433787</v>
      </c>
      <c r="AA137" s="21">
        <f>EXP(-LN(2)/25)*AA136+(1-EXP(-LN(2)/25))/(LN(2)/25)*Calculateur!V137*Calculateur!X137*VLOOKUP('Données projet'!$B$9,Paramètres!$A$1:$I$89,3,0)*0.475*44/12</f>
        <v>26.500403355148734</v>
      </c>
      <c r="AB137" s="21">
        <f>EXP(-LN(2)/2)*AB136+(1-EXP(-LN(2)/2))/(LN(2)/2)*V137*Y137*VLOOKUP('Données projet'!$B$9,Paramètres!$A$1:$I$89,3,0)*0.475*44/12</f>
        <v>1.4754045553089633E-6</v>
      </c>
      <c r="AC137" s="22">
        <f t="shared" si="111"/>
        <v>88.41815627798708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68.634177369640383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5.6843418860808015E-14</v>
      </c>
      <c r="AJ137" s="13">
        <f>AI137*VLOOKUP('Données projet'!$B$10,Paramètres!$A$1:$I$89,3,0)*VLOOKUP('Données projet'!$B$10,Paramètres!$A$1:$I$89,5,0)</f>
        <v>4.7884896048344674E-14</v>
      </c>
      <c r="AK137" s="13">
        <f t="shared" si="143"/>
        <v>7.8374629847779921E-13</v>
      </c>
      <c r="AL137" s="20">
        <f t="shared" si="112"/>
        <v>1.4484243304663672E-12</v>
      </c>
      <c r="AM137" s="59">
        <f t="shared" si="113"/>
        <v>288.32531702201618</v>
      </c>
      <c r="AN137" s="59">
        <f ca="1">AVERAGE(OFFSET($AM$3,0,0,'Données projet'!$E$10+1,1))-AVERAGE(OFFSET($H$3,0,0,'Données projet'!$E$10+1,1))</f>
        <v>442.79037205372367</v>
      </c>
      <c r="AO137" s="59">
        <f t="shared" si="144"/>
        <v>288.23553637727969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70.266773838920457</v>
      </c>
      <c r="AV137" s="21">
        <f>EXP(-LN(2)/25)*AV136+(1-EXP(-LN(2)/25))/(LN(2)/25)*Calculateur!AQ137*Calculateur!AS137*VLOOKUP('Données projet'!$B$10,Paramètres!$A$1:$I$89,3,0)*0.475*44/12</f>
        <v>12.873342077795739</v>
      </c>
      <c r="AW137" s="21">
        <f>EXP(-LN(2)/2)*AW136+(1-EXP(-LN(2)/2))/(LN(2)/2)*AQ137*AT137*VLOOKUP('Données projet'!$B$10,Paramètres!$A$1:$I$89,3,0)*0.475*44/12</f>
        <v>4.5306540069343785E-4</v>
      </c>
      <c r="AX137" s="21">
        <f t="shared" si="114"/>
        <v>83.140568982116889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68.634177369640383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7.3375000000000012</v>
      </c>
      <c r="BD137" s="12">
        <f>IF('Données projet'!$A$88&gt;35,BD136+BC137-BL136,IF(A137&lt;'Données projet'!$A$88,$BA$205^A137,IF(A137='Données projet'!$A$88,'Données projet'!$B$88,BD136+BC137-BL136)))</f>
        <v>306.54500000000002</v>
      </c>
      <c r="BE137" s="13">
        <f>BD137*VLOOKUP('Données projet'!$B$11,Paramètres!$A$1:$I$89,3,0)*VLOOKUP('Données projet'!$B$11,Paramètres!$A$1:$I$89,5,0)</f>
        <v>310.83663000000001</v>
      </c>
      <c r="BF137" s="13">
        <f t="shared" si="145"/>
        <v>73.443524398472576</v>
      </c>
      <c r="BG137" s="20">
        <f t="shared" si="115"/>
        <v>669.28793557733968</v>
      </c>
      <c r="BH137" s="59">
        <f t="shared" si="116"/>
        <v>957.61325259935438</v>
      </c>
      <c r="BI137" s="59">
        <f ca="1">AVERAGE(OFFSET($BH$3,0,0,'Données projet'!$E$11+1,1))-AVERAGE(OFFSET($H$3,0,0,'Données projet'!$E$11+1,1))</f>
        <v>559.91818701710872</v>
      </c>
      <c r="BJ137" s="59">
        <f t="shared" si="146"/>
        <v>273.47272623465915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28.033295156733157</v>
      </c>
      <c r="BQ137" s="21">
        <f>EXP(-LN(2)/25)*BQ136+(1-EXP(-LN(2)/25))/(LN(2)/25)*Calculateur!BL137*Calculateur!BN137*VLOOKUP('Données projet'!$B$11,Paramètres!$A$1:$I$89,3,0)*0.475*44/12</f>
        <v>22.742895130381225</v>
      </c>
      <c r="BR137" s="21">
        <f>EXP(-LN(2)/2)*BR136+(1-EXP(-LN(2)/2))/(LN(2)/2)*BL137*BO137*VLOOKUP('Données projet'!$B$11,Paramètres!$A$1:$I$89,3,0)*0.475*44/12</f>
        <v>2.4010358562893894</v>
      </c>
      <c r="BS137" s="22">
        <f t="shared" si="117"/>
        <v>53.177226143403772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68.634177369640383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-1.1368683772161603E-13</v>
      </c>
      <c r="BZ137" s="13">
        <f>BY137*VLOOKUP('Données projet'!$B$12,Paramètres!$A$1:$I$89,3,0)*VLOOKUP('Données projet'!$B$12,Paramètres!$A$1:$I$89,5,0)</f>
        <v>-8.8675733422860506E-14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208.92677786250815</v>
      </c>
      <c r="CE137" s="59">
        <f t="shared" si="148"/>
        <v>207.54290142772214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7.6080579169029665</v>
      </c>
      <c r="CL137" s="21">
        <f>EXP(-LN(2)/25)*CL136+(1-EXP(-LN(2)/25))/(LN(2)/25)*Calculateur!CG137*Calculateur!CI137*VLOOKUP('Données projet'!$B$12,Paramètres!$A$1:$I$89,3,0)*0.475*44/12</f>
        <v>4.4760903403468131</v>
      </c>
      <c r="CM137" s="21">
        <f>EXP(-LN(2)/2)*CM136+(1-EXP(-LN(2)/2))/(LN(2)/2)*CG137*CJ137*VLOOKUP('Données projet'!$B$12,Paramètres!$A$1:$I$89,3,0)*0.475*44/12</f>
        <v>6.4119462158091288E-9</v>
      </c>
      <c r="CN137" s="22">
        <f t="shared" si="120"/>
        <v>12.084148263661726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68.634177369640383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2.5579538487363607E-13</v>
      </c>
      <c r="CU137" s="17">
        <f>CT137*VLOOKUP('Données projet'!$B$13,Paramètres!$A$1:$I$89,3,0)*VLOOKUP('Données projet'!$B$13,Paramètres!$A$1:$I$89,5,0)</f>
        <v>2.4341488824575211E-13</v>
      </c>
      <c r="CV137" s="13">
        <f t="shared" si="149"/>
        <v>3.2970717324875541E-12</v>
      </c>
      <c r="CW137" s="20">
        <f t="shared" si="121"/>
        <v>6.1663475311105072E-12</v>
      </c>
      <c r="CX137" s="59">
        <f t="shared" si="122"/>
        <v>288.3253170220209</v>
      </c>
      <c r="CY137" s="59">
        <f ca="1">AVERAGE(OFFSET($CX$3,0,0,'Données projet'!$E$13+1,1))-AVERAGE(OFFSET($H$3,0,0,'Données projet'!$E$13+1,1))</f>
        <v>470.42022791389275</v>
      </c>
      <c r="CZ137" s="59">
        <f t="shared" si="150"/>
        <v>300.26117330627346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61.110950435110674</v>
      </c>
      <c r="DG137" s="21">
        <f>EXP(-LN(2)/25)*DG136+(1-EXP(-LN(2)/25))/(LN(2)/25)*Calculateur!DB137*Calculateur!DD137*VLOOKUP('Données projet'!$B$13,Paramètres!$A$1:$I$89,3,0)*0.475*44/12</f>
        <v>53.883461328869735</v>
      </c>
      <c r="DH137" s="21">
        <f>EXP(-LN(2)/2)*DH136+(1-EXP(-LN(2)/2))/(LN(2)/2)*DB137*DE137*VLOOKUP('Données projet'!$B$13,Paramètres!$A$1:$I$89,3,0)*0.475*44/12</f>
        <v>8.9627870435784267</v>
      </c>
      <c r="DI137" s="22">
        <f t="shared" si="123"/>
        <v>123.95719880755884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68.634177369640383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7.3375000000000012</v>
      </c>
      <c r="DO137" s="12">
        <f>IF('Données projet'!$A$166&gt;35,DO136+DN137-DW136,IF(A137&lt;'Données projet'!$A$166,$DL$205^A137,IF(A137='Données projet'!$A$166,'Données projet'!$B$166,DO136+DN137-DW136)))</f>
        <v>306.54500000000002</v>
      </c>
      <c r="DP137" s="17">
        <f>DO137*VLOOKUP('Données projet'!$B$14,Paramètres!$A$1:$I$89,3,0)*VLOOKUP('Données projet'!$B$14,Paramètres!$A$1:$I$89,5,0)</f>
        <v>296.49032400000004</v>
      </c>
      <c r="DQ137" s="13">
        <f t="shared" si="151"/>
        <v>70.44019741922979</v>
      </c>
      <c r="DR137" s="20">
        <f t="shared" si="124"/>
        <v>639.07065813849192</v>
      </c>
      <c r="DS137" s="59">
        <f t="shared" si="125"/>
        <v>927.39597516050662</v>
      </c>
      <c r="DT137" s="59">
        <f ca="1">AVERAGE(OFFSET($DS$3,0,0,'Données projet'!$E$14+1,1))-AVERAGE(OFFSET($H$3,0,0,'Données projet'!$E$14+1,1))</f>
        <v>537.37164071064103</v>
      </c>
      <c r="DU137" s="59">
        <f t="shared" si="152"/>
        <v>263.29777321132235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19.099607689202813</v>
      </c>
      <c r="EB137" s="21">
        <f>EXP(-LN(2)/25)*EB136+(1-EXP(-LN(2)/25))/(LN(2)/25)*Calculateur!DW137*Calculateur!DY137*VLOOKUP('Données projet'!$B$14,Paramètres!$A$1:$I$89,3,0)*0.475*44/12</f>
        <v>19.107400001546093</v>
      </c>
      <c r="EC137" s="21">
        <f>EXP(-LN(2)/2)*EC136+(1-EXP(-LN(2)/2))/(LN(2)/2)*DW137*DZ137*VLOOKUP('Données projet'!$B$14,Paramètres!$A$1:$I$89,3,0)*0.475*44/12</f>
        <v>5.7255470198109997</v>
      </c>
      <c r="ED137" s="22">
        <f t="shared" si="126"/>
        <v>43.932554710559913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68.634177369640383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68.634177369640383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68.634177369640383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68.634177369640383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45">
      <c r="A138" s="10">
        <f t="shared" si="139"/>
        <v>135</v>
      </c>
      <c r="B138" s="73">
        <f>'Scénario référence'!$B$16*5+'Scénario référence'!$B$17*0+'Scénario référence'!$B$18*5</f>
        <v>2.8499999999999996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10.449999999999998</v>
      </c>
      <c r="H138" s="67">
        <f t="shared" si="110"/>
        <v>214.86666666666667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68.657871338755172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10.843999999999994</v>
      </c>
      <c r="N138" s="13">
        <f>IF('Données projet'!$A$36&gt;35,N137+M138-V137,IF(A138&lt;'Données projet'!$A$36,$K$205^A138,IF(A138='Données projet'!$A$36,'Données projet'!$B$36,N137+M138-V137)))</f>
        <v>584.83000000000015</v>
      </c>
      <c r="O138" s="13">
        <f>N138*VLOOKUP('Données projet'!$B$9,Paramètres!$A$1:$I$89,3,0)*VLOOKUP('Données projet'!$B$9,Paramètres!$A$1:$I$89,5,0)</f>
        <v>529.15418400000021</v>
      </c>
      <c r="P138" s="13">
        <f t="shared" si="141"/>
        <v>117.51933552372023</v>
      </c>
      <c r="Q138" s="20">
        <f t="shared" si="108"/>
        <v>1126.2897131704797</v>
      </c>
      <c r="R138" s="59">
        <f t="shared" si="109"/>
        <v>1414.7019080792486</v>
      </c>
      <c r="S138" s="59">
        <f ca="1">AVERAGE(OFFSET($R$3,0,0,'Données projet'!$E$9+1,1))-AVERAGE(OFFSET($H$3,0,0,'Données projet'!$E$9+1,1))</f>
        <v>719.20816951277925</v>
      </c>
      <c r="T138" s="59">
        <f t="shared" si="142"/>
        <v>237.1127421841087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60.703582107648899</v>
      </c>
      <c r="AA138" s="21">
        <f>EXP(-LN(2)/25)*AA137+(1-EXP(-LN(2)/25))/(LN(2)/25)*Calculateur!V138*Calculateur!X138*VLOOKUP('Données projet'!$B$9,Paramètres!$A$1:$I$89,3,0)*0.475*44/12</f>
        <v>25.775748431806548</v>
      </c>
      <c r="AB138" s="21">
        <f>EXP(-LN(2)/2)*AB137+(1-EXP(-LN(2)/2))/(LN(2)/2)*V138*Y138*VLOOKUP('Données projet'!$B$9,Paramètres!$A$1:$I$89,3,0)*0.475*44/12</f>
        <v>1.0432685660524906E-6</v>
      </c>
      <c r="AC138" s="22">
        <f t="shared" si="111"/>
        <v>86.479331582724015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68.657871338755172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5.6843418860808015E-14</v>
      </c>
      <c r="AJ138" s="13">
        <f>AI138*VLOOKUP('Données projet'!$B$10,Paramètres!$A$1:$I$89,3,0)*VLOOKUP('Données projet'!$B$10,Paramètres!$A$1:$I$89,5,0)</f>
        <v>4.7884896048344674E-14</v>
      </c>
      <c r="AK138" s="13">
        <f t="shared" si="143"/>
        <v>7.8374629847779921E-13</v>
      </c>
      <c r="AL138" s="20">
        <f t="shared" si="112"/>
        <v>1.4484243304663672E-12</v>
      </c>
      <c r="AM138" s="59">
        <f t="shared" si="113"/>
        <v>288.4121949087704</v>
      </c>
      <c r="AN138" s="59">
        <f ca="1">AVERAGE(OFFSET($AM$3,0,0,'Données projet'!$E$10+1,1))-AVERAGE(OFFSET($H$3,0,0,'Données projet'!$E$10+1,1))</f>
        <v>442.79037205372367</v>
      </c>
      <c r="AO138" s="59">
        <f t="shared" si="144"/>
        <v>288.23553637727969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68.888885262439345</v>
      </c>
      <c r="AV138" s="21">
        <f>EXP(-LN(2)/25)*AV137+(1-EXP(-LN(2)/25))/(LN(2)/25)*Calculateur!AQ138*Calculateur!AS138*VLOOKUP('Données projet'!$B$10,Paramètres!$A$1:$I$89,3,0)*0.475*44/12</f>
        <v>12.521319861698776</v>
      </c>
      <c r="AW138" s="21">
        <f>EXP(-LN(2)/2)*AW137+(1-EXP(-LN(2)/2))/(LN(2)/2)*AQ138*AT138*VLOOKUP('Données projet'!$B$10,Paramètres!$A$1:$I$89,3,0)*0.475*44/12</f>
        <v>3.2036561715133023E-4</v>
      </c>
      <c r="AX138" s="21">
        <f t="shared" si="114"/>
        <v>81.410525489755273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68.657871338755172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7.3375000000000012</v>
      </c>
      <c r="BD138" s="12">
        <f>IF('Données projet'!$A$88&gt;35,BD137+BC138-BL137,IF(A138&lt;'Données projet'!$A$88,$BA$205^A138,IF(A138='Données projet'!$A$88,'Données projet'!$B$88,BD137+BC138-BL137)))</f>
        <v>313.88249999999999</v>
      </c>
      <c r="BE138" s="13">
        <f>BD138*VLOOKUP('Données projet'!$B$11,Paramètres!$A$1:$I$89,3,0)*VLOOKUP('Données projet'!$B$11,Paramètres!$A$1:$I$89,5,0)</f>
        <v>318.27685500000001</v>
      </c>
      <c r="BF138" s="13">
        <f t="shared" si="145"/>
        <v>74.994707244966222</v>
      </c>
      <c r="BG138" s="20">
        <f t="shared" si="115"/>
        <v>684.94797090998281</v>
      </c>
      <c r="BH138" s="59">
        <f t="shared" si="116"/>
        <v>973.36016581875174</v>
      </c>
      <c r="BI138" s="59">
        <f ca="1">AVERAGE(OFFSET($BH$3,0,0,'Données projet'!$E$11+1,1))-AVERAGE(OFFSET($H$3,0,0,'Données projet'!$E$11+1,1))</f>
        <v>559.91818701710872</v>
      </c>
      <c r="BJ138" s="59">
        <f t="shared" si="146"/>
        <v>273.47272623465915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27.483579337331317</v>
      </c>
      <c r="BQ138" s="21">
        <f>EXP(-LN(2)/25)*BQ137+(1-EXP(-LN(2)/25))/(LN(2)/25)*Calculateur!BL138*Calculateur!BN138*VLOOKUP('Données projet'!$B$11,Paramètres!$A$1:$I$89,3,0)*0.475*44/12</f>
        <v>22.120989467044076</v>
      </c>
      <c r="BR138" s="21">
        <f>EXP(-LN(2)/2)*BR137+(1-EXP(-LN(2)/2))/(LN(2)/2)*BL138*BO138*VLOOKUP('Données projet'!$B$11,Paramètres!$A$1:$I$89,3,0)*0.475*44/12</f>
        <v>1.6977887358542763</v>
      </c>
      <c r="BS138" s="22">
        <f t="shared" si="117"/>
        <v>51.302357540229664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68.657871338755172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-1.1368683772161603E-13</v>
      </c>
      <c r="BZ138" s="13">
        <f>BY138*VLOOKUP('Données projet'!$B$12,Paramètres!$A$1:$I$89,3,0)*VLOOKUP('Données projet'!$B$12,Paramètres!$A$1:$I$89,5,0)</f>
        <v>-8.8675733422860506E-14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208.92677786250815</v>
      </c>
      <c r="CE138" s="59">
        <f t="shared" si="148"/>
        <v>207.54290142772214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7.4588685416096219</v>
      </c>
      <c r="CL138" s="21">
        <f>EXP(-LN(2)/25)*CL137+(1-EXP(-LN(2)/25))/(LN(2)/25)*Calculateur!CG138*Calculateur!CI138*VLOOKUP('Données projet'!$B$12,Paramètres!$A$1:$I$89,3,0)*0.475*44/12</f>
        <v>4.3536914146026691</v>
      </c>
      <c r="CM138" s="21">
        <f>EXP(-LN(2)/2)*CM137+(1-EXP(-LN(2)/2))/(LN(2)/2)*CG138*CJ138*VLOOKUP('Données projet'!$B$12,Paramètres!$A$1:$I$89,3,0)*0.475*44/12</f>
        <v>4.533930649802057E-9</v>
      </c>
      <c r="CN138" s="22">
        <f t="shared" si="120"/>
        <v>11.812559960746221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68.657871338755172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2.5579538487363607E-13</v>
      </c>
      <c r="CU138" s="17">
        <f>CT138*VLOOKUP('Données projet'!$B$13,Paramètres!$A$1:$I$89,3,0)*VLOOKUP('Données projet'!$B$13,Paramètres!$A$1:$I$89,5,0)</f>
        <v>2.4341488824575211E-13</v>
      </c>
      <c r="CV138" s="13">
        <f t="shared" si="149"/>
        <v>3.2970717324875541E-12</v>
      </c>
      <c r="CW138" s="20">
        <f t="shared" si="121"/>
        <v>6.1663475311105072E-12</v>
      </c>
      <c r="CX138" s="59">
        <f t="shared" si="122"/>
        <v>288.41219490877512</v>
      </c>
      <c r="CY138" s="59">
        <f ca="1">AVERAGE(OFFSET($CX$3,0,0,'Données projet'!$E$13+1,1))-AVERAGE(OFFSET($H$3,0,0,'Données projet'!$E$13+1,1))</f>
        <v>470.42022791389275</v>
      </c>
      <c r="CZ138" s="59">
        <f t="shared" si="150"/>
        <v>300.26117330627346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59.912601971077414</v>
      </c>
      <c r="DG138" s="21">
        <f>EXP(-LN(2)/25)*DG137+(1-EXP(-LN(2)/25))/(LN(2)/25)*Calculateur!DB138*Calculateur!DD138*VLOOKUP('Données projet'!$B$13,Paramètres!$A$1:$I$89,3,0)*0.475*44/12</f>
        <v>52.410015245223711</v>
      </c>
      <c r="DH138" s="21">
        <f>EXP(-LN(2)/2)*DH137+(1-EXP(-LN(2)/2))/(LN(2)/2)*DB138*DE138*VLOOKUP('Données projet'!$B$13,Paramètres!$A$1:$I$89,3,0)*0.475*44/12</f>
        <v>6.3376474968452339</v>
      </c>
      <c r="DI138" s="22">
        <f t="shared" si="123"/>
        <v>118.66026471314636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68.657871338755172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7.3375000000000012</v>
      </c>
      <c r="DO138" s="12">
        <f>IF('Données projet'!$A$166&gt;35,DO137+DN138-DW137,IF(A138&lt;'Données projet'!$A$166,$DL$205^A138,IF(A138='Données projet'!$A$166,'Données projet'!$B$166,DO137+DN138-DW137)))</f>
        <v>313.88249999999999</v>
      </c>
      <c r="DP138" s="17">
        <f>DO138*VLOOKUP('Données projet'!$B$14,Paramètres!$A$1:$I$89,3,0)*VLOOKUP('Données projet'!$B$14,Paramètres!$A$1:$I$89,5,0)</f>
        <v>303.587154</v>
      </c>
      <c r="DQ138" s="13">
        <f t="shared" si="151"/>
        <v>71.927947725812388</v>
      </c>
      <c r="DR138" s="20">
        <f t="shared" si="124"/>
        <v>654.02213550578983</v>
      </c>
      <c r="DS138" s="59">
        <f t="shared" si="125"/>
        <v>942.43433041455887</v>
      </c>
      <c r="DT138" s="59">
        <f ca="1">AVERAGE(OFFSET($DS$3,0,0,'Données projet'!$E$14+1,1))-AVERAGE(OFFSET($H$3,0,0,'Données projet'!$E$14+1,1))</f>
        <v>537.37164071064103</v>
      </c>
      <c r="DU138" s="59">
        <f t="shared" si="152"/>
        <v>263.29777321132235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18.725076032027932</v>
      </c>
      <c r="EB138" s="21">
        <f>EXP(-LN(2)/25)*EB137+(1-EXP(-LN(2)/25))/(LN(2)/25)*Calculateur!DW138*Calculateur!DY138*VLOOKUP('Données projet'!$B$14,Paramètres!$A$1:$I$89,3,0)*0.475*44/12</f>
        <v>18.584907143689321</v>
      </c>
      <c r="EC138" s="21">
        <f>EXP(-LN(2)/2)*EC137+(1-EXP(-LN(2)/2))/(LN(2)/2)*DW138*DZ138*VLOOKUP('Données projet'!$B$14,Paramètres!$A$1:$I$89,3,0)*0.475*44/12</f>
        <v>4.0485731237107858</v>
      </c>
      <c r="ED138" s="22">
        <f t="shared" si="126"/>
        <v>41.358556299428038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68.657871338755172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68.657871338755172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68.657871338755172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68.657871338755172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45">
      <c r="A139" s="10">
        <f t="shared" si="139"/>
        <v>136</v>
      </c>
      <c r="B139" s="73">
        <f>'Scénario référence'!$B$16*5+'Scénario référence'!$B$17*0+'Scénario référence'!$B$18*5</f>
        <v>2.8499999999999996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10.449999999999998</v>
      </c>
      <c r="H139" s="67">
        <f t="shared" si="110"/>
        <v>214.86666666666667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68.681154270477606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10.843999999999994</v>
      </c>
      <c r="N139" s="13">
        <f>IF('Données projet'!$A$36&gt;35,N138+M139-V138,IF(A139&lt;'Données projet'!$A$36,$K$205^A139,IF(A139='Données projet'!$A$36,'Données projet'!$B$36,N138+M139-V138)))</f>
        <v>595.67400000000021</v>
      </c>
      <c r="O139" s="13">
        <f>N139*VLOOKUP('Données projet'!$B$9,Paramètres!$A$1:$I$89,3,0)*VLOOKUP('Données projet'!$B$9,Paramètres!$A$1:$I$89,5,0)</f>
        <v>538.96583520000013</v>
      </c>
      <c r="P139" s="13">
        <f t="shared" si="141"/>
        <v>119.44268934083149</v>
      </c>
      <c r="Q139" s="20">
        <f t="shared" si="108"/>
        <v>1146.7281802419484</v>
      </c>
      <c r="R139" s="59">
        <f t="shared" si="109"/>
        <v>1435.2257459003663</v>
      </c>
      <c r="S139" s="59">
        <f ca="1">AVERAGE(OFFSET($R$3,0,0,'Données projet'!$E$9+1,1))-AVERAGE(OFFSET($H$3,0,0,'Données projet'!$E$9+1,1))</f>
        <v>719.20816951277925</v>
      </c>
      <c r="T139" s="59">
        <f t="shared" si="142"/>
        <v>237.1127421841087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59.513221888047021</v>
      </c>
      <c r="AA139" s="21">
        <f>EXP(-LN(2)/25)*AA138+(1-EXP(-LN(2)/25))/(LN(2)/25)*Calculateur!V139*Calculateur!X139*VLOOKUP('Données projet'!$B$9,Paramètres!$A$1:$I$89,3,0)*0.475*44/12</f>
        <v>25.070909235451101</v>
      </c>
      <c r="AB139" s="21">
        <f>EXP(-LN(2)/2)*AB138+(1-EXP(-LN(2)/2))/(LN(2)/2)*V139*Y139*VLOOKUP('Données projet'!$B$9,Paramètres!$A$1:$I$89,3,0)*0.475*44/12</f>
        <v>7.3770227765448166E-7</v>
      </c>
      <c r="AC139" s="22">
        <f t="shared" si="111"/>
        <v>84.584131861200405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68.681154270477606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5.6843418860808015E-14</v>
      </c>
      <c r="AJ139" s="13">
        <f>AI139*VLOOKUP('Données projet'!$B$10,Paramètres!$A$1:$I$89,3,0)*VLOOKUP('Données projet'!$B$10,Paramètres!$A$1:$I$89,5,0)</f>
        <v>4.7884896048344674E-14</v>
      </c>
      <c r="AK139" s="13">
        <f t="shared" si="143"/>
        <v>7.8374629847779921E-13</v>
      </c>
      <c r="AL139" s="20">
        <f t="shared" si="112"/>
        <v>1.4484243304663672E-12</v>
      </c>
      <c r="AM139" s="59">
        <f t="shared" si="113"/>
        <v>288.49756565841932</v>
      </c>
      <c r="AN139" s="59">
        <f ca="1">AVERAGE(OFFSET($AM$3,0,0,'Données projet'!$E$10+1,1))-AVERAGE(OFFSET($H$3,0,0,'Données projet'!$E$10+1,1))</f>
        <v>442.79037205372367</v>
      </c>
      <c r="AO139" s="59">
        <f t="shared" si="144"/>
        <v>288.23553637727969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67.538016240513983</v>
      </c>
      <c r="AV139" s="21">
        <f>EXP(-LN(2)/25)*AV138+(1-EXP(-LN(2)/25))/(LN(2)/25)*Calculateur!AQ139*Calculateur!AS139*VLOOKUP('Données projet'!$B$10,Paramètres!$A$1:$I$89,3,0)*0.475*44/12</f>
        <v>12.178923711613029</v>
      </c>
      <c r="AW139" s="21">
        <f>EXP(-LN(2)/2)*AW138+(1-EXP(-LN(2)/2))/(LN(2)/2)*AQ139*AT139*VLOOKUP('Données projet'!$B$10,Paramètres!$A$1:$I$89,3,0)*0.475*44/12</f>
        <v>2.2653270034671892E-4</v>
      </c>
      <c r="AX139" s="21">
        <f t="shared" si="114"/>
        <v>79.717166484827359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68.681154270477606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7.3375000000000012</v>
      </c>
      <c r="BD139" s="12">
        <f>IF('Données projet'!$A$88&gt;35,BD138+BC139-BL138,IF(A139&lt;'Données projet'!$A$88,$BA$205^A139,IF(A139='Données projet'!$A$88,'Données projet'!$B$88,BD138+BC139-BL138)))</f>
        <v>321.21999999999997</v>
      </c>
      <c r="BE139" s="13">
        <f>BD139*VLOOKUP('Données projet'!$B$11,Paramètres!$A$1:$I$89,3,0)*VLOOKUP('Données projet'!$B$11,Paramètres!$A$1:$I$89,5,0)</f>
        <v>325.71707999999995</v>
      </c>
      <c r="BF139" s="13">
        <f t="shared" si="145"/>
        <v>76.54167460148193</v>
      </c>
      <c r="BG139" s="20">
        <f t="shared" si="115"/>
        <v>700.60066426424748</v>
      </c>
      <c r="BH139" s="59">
        <f t="shared" si="116"/>
        <v>989.09822992266538</v>
      </c>
      <c r="BI139" s="59">
        <f ca="1">AVERAGE(OFFSET($BH$3,0,0,'Données projet'!$E$11+1,1))-AVERAGE(OFFSET($H$3,0,0,'Données projet'!$E$11+1,1))</f>
        <v>559.91818701710872</v>
      </c>
      <c r="BJ139" s="59">
        <f t="shared" si="146"/>
        <v>273.47272623465915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26.944643109854404</v>
      </c>
      <c r="BQ139" s="21">
        <f>EXP(-LN(2)/25)*BQ138+(1-EXP(-LN(2)/25))/(LN(2)/25)*Calculateur!BL139*Calculateur!BN139*VLOOKUP('Données projet'!$B$11,Paramètres!$A$1:$I$89,3,0)*0.475*44/12</f>
        <v>21.516089846775479</v>
      </c>
      <c r="BR139" s="21">
        <f>EXP(-LN(2)/2)*BR138+(1-EXP(-LN(2)/2))/(LN(2)/2)*BL139*BO139*VLOOKUP('Données projet'!$B$11,Paramètres!$A$1:$I$89,3,0)*0.475*44/12</f>
        <v>1.2005179281446949</v>
      </c>
      <c r="BS139" s="22">
        <f t="shared" si="117"/>
        <v>49.661250884774574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68.681154270477606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-1.1368683772161603E-13</v>
      </c>
      <c r="BZ139" s="13">
        <f>BY139*VLOOKUP('Données projet'!$B$12,Paramètres!$A$1:$I$89,3,0)*VLOOKUP('Données projet'!$B$12,Paramètres!$A$1:$I$89,5,0)</f>
        <v>-8.8675733422860506E-14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208.92677786250815</v>
      </c>
      <c r="CE139" s="59">
        <f t="shared" si="148"/>
        <v>207.54290142772214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7.3126046789692456</v>
      </c>
      <c r="CL139" s="21">
        <f>EXP(-LN(2)/25)*CL138+(1-EXP(-LN(2)/25))/(LN(2)/25)*Calculateur!CG139*Calculateur!CI139*VLOOKUP('Données projet'!$B$12,Paramètres!$A$1:$I$89,3,0)*0.475*44/12</f>
        <v>4.2346394939196781</v>
      </c>
      <c r="CM139" s="21">
        <f>EXP(-LN(2)/2)*CM138+(1-EXP(-LN(2)/2))/(LN(2)/2)*CG139*CJ139*VLOOKUP('Données projet'!$B$12,Paramètres!$A$1:$I$89,3,0)*0.475*44/12</f>
        <v>3.2059731079045644E-9</v>
      </c>
      <c r="CN139" s="22">
        <f t="shared" si="120"/>
        <v>11.547244176094896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68.681154270477606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2.5579538487363607E-13</v>
      </c>
      <c r="CU139" s="17">
        <f>CT139*VLOOKUP('Données projet'!$B$13,Paramètres!$A$1:$I$89,3,0)*VLOOKUP('Données projet'!$B$13,Paramètres!$A$1:$I$89,5,0)</f>
        <v>2.4341488824575211E-13</v>
      </c>
      <c r="CV139" s="13">
        <f t="shared" si="149"/>
        <v>3.2970717324875541E-12</v>
      </c>
      <c r="CW139" s="20">
        <f t="shared" si="121"/>
        <v>6.1663475311105072E-12</v>
      </c>
      <c r="CX139" s="59">
        <f t="shared" si="122"/>
        <v>288.49756565842404</v>
      </c>
      <c r="CY139" s="59">
        <f ca="1">AVERAGE(OFFSET($CX$3,0,0,'Données projet'!$E$13+1,1))-AVERAGE(OFFSET($H$3,0,0,'Données projet'!$E$13+1,1))</f>
        <v>470.42022791389275</v>
      </c>
      <c r="CZ139" s="59">
        <f t="shared" si="150"/>
        <v>300.26117330627346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58.737752389503463</v>
      </c>
      <c r="DG139" s="21">
        <f>EXP(-LN(2)/25)*DG138+(1-EXP(-LN(2)/25))/(LN(2)/25)*Calculateur!DB139*Calculateur!DD139*VLOOKUP('Données projet'!$B$13,Paramètres!$A$1:$I$89,3,0)*0.475*44/12</f>
        <v>50.976860622220151</v>
      </c>
      <c r="DH139" s="21">
        <f>EXP(-LN(2)/2)*DH138+(1-EXP(-LN(2)/2))/(LN(2)/2)*DB139*DE139*VLOOKUP('Données projet'!$B$13,Paramètres!$A$1:$I$89,3,0)*0.475*44/12</f>
        <v>4.4813935217892134</v>
      </c>
      <c r="DI139" s="22">
        <f t="shared" si="123"/>
        <v>114.19600653351283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68.681154270477606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7.3375000000000012</v>
      </c>
      <c r="DO139" s="12">
        <f>IF('Données projet'!$A$166&gt;35,DO138+DN139-DW138,IF(A139&lt;'Données projet'!$A$166,$DL$205^A139,IF(A139='Données projet'!$A$166,'Données projet'!$B$166,DO138+DN139-DW138)))</f>
        <v>321.21999999999997</v>
      </c>
      <c r="DP139" s="17">
        <f>DO139*VLOOKUP('Données projet'!$B$14,Paramètres!$A$1:$I$89,3,0)*VLOOKUP('Données projet'!$B$14,Paramètres!$A$1:$I$89,5,0)</f>
        <v>310.68398400000001</v>
      </c>
      <c r="DQ139" s="13">
        <f t="shared" si="151"/>
        <v>73.411654926502464</v>
      </c>
      <c r="DR139" s="20">
        <f t="shared" si="124"/>
        <v>668.96657113032506</v>
      </c>
      <c r="DS139" s="59">
        <f t="shared" si="125"/>
        <v>957.46413678874296</v>
      </c>
      <c r="DT139" s="59">
        <f ca="1">AVERAGE(OFFSET($DS$3,0,0,'Données projet'!$E$14+1,1))-AVERAGE(OFFSET($H$3,0,0,'Données projet'!$E$14+1,1))</f>
        <v>537.37164071064103</v>
      </c>
      <c r="DU139" s="59">
        <f t="shared" si="152"/>
        <v>263.29777321132235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18.357888712208496</v>
      </c>
      <c r="EB139" s="21">
        <f>EXP(-LN(2)/25)*EB138+(1-EXP(-LN(2)/25))/(LN(2)/25)*Calculateur!DW139*Calculateur!DY139*VLOOKUP('Données projet'!$B$14,Paramètres!$A$1:$I$89,3,0)*0.475*44/12</f>
        <v>18.076701880507347</v>
      </c>
      <c r="EC139" s="21">
        <f>EXP(-LN(2)/2)*EC138+(1-EXP(-LN(2)/2))/(LN(2)/2)*DW139*DZ139*VLOOKUP('Données projet'!$B$14,Paramètres!$A$1:$I$89,3,0)*0.475*44/12</f>
        <v>2.8627735099054998</v>
      </c>
      <c r="ED139" s="22">
        <f t="shared" si="126"/>
        <v>39.297364102621344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68.681154270477606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68.681154270477606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68.681154270477606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68.681154270477606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45">
      <c r="A140" s="10">
        <f t="shared" si="139"/>
        <v>137</v>
      </c>
      <c r="B140" s="73">
        <f>'Scénario référence'!$B$16*5+'Scénario référence'!$B$17*0+'Scénario référence'!$B$18*5</f>
        <v>2.8499999999999996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10.449999999999998</v>
      </c>
      <c r="H140" s="67">
        <f t="shared" si="110"/>
        <v>214.86666666666667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68.704033295387475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10.843999999999994</v>
      </c>
      <c r="N140" s="13">
        <f>IF('Données projet'!$A$36&gt;35,N139+M140-V139,IF(A140&lt;'Données projet'!$A$36,$K$205^A140,IF(A140='Données projet'!$A$36,'Données projet'!$B$36,N139+M140-V139)))</f>
        <v>606.51800000000026</v>
      </c>
      <c r="O140" s="13">
        <f>N140*VLOOKUP('Données projet'!$B$9,Paramètres!$A$1:$I$89,3,0)*VLOOKUP('Données projet'!$B$9,Paramètres!$A$1:$I$89,5,0)</f>
        <v>548.77748640000016</v>
      </c>
      <c r="P140" s="13">
        <f t="shared" si="141"/>
        <v>121.36197162144936</v>
      </c>
      <c r="Q140" s="20">
        <f t="shared" si="108"/>
        <v>1167.1595560540247</v>
      </c>
      <c r="R140" s="59">
        <f t="shared" si="109"/>
        <v>1455.7410114704455</v>
      </c>
      <c r="S140" s="59">
        <f ca="1">AVERAGE(OFFSET($R$3,0,0,'Données projet'!$E$9+1,1))-AVERAGE(OFFSET($H$3,0,0,'Données projet'!$E$9+1,1))</f>
        <v>719.20816951277925</v>
      </c>
      <c r="T140" s="59">
        <f t="shared" si="142"/>
        <v>237.1127421841087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58.346203906303494</v>
      </c>
      <c r="AA140" s="21">
        <f>EXP(-LN(2)/25)*AA139+(1-EXP(-LN(2)/25))/(LN(2)/25)*Calculateur!V140*Calculateur!X140*VLOOKUP('Données projet'!$B$9,Paramètres!$A$1:$I$89,3,0)*0.475*44/12</f>
        <v>24.385343903985873</v>
      </c>
      <c r="AB140" s="21">
        <f>EXP(-LN(2)/2)*AB139+(1-EXP(-LN(2)/2))/(LN(2)/2)*V140*Y140*VLOOKUP('Données projet'!$B$9,Paramètres!$A$1:$I$89,3,0)*0.475*44/12</f>
        <v>5.2163428302624528E-7</v>
      </c>
      <c r="AC140" s="22">
        <f t="shared" si="111"/>
        <v>82.731548331923648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68.704033295387475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5.6843418860808015E-14</v>
      </c>
      <c r="AJ140" s="13">
        <f>AI140*VLOOKUP('Données projet'!$B$10,Paramètres!$A$1:$I$89,3,0)*VLOOKUP('Données projet'!$B$10,Paramètres!$A$1:$I$89,5,0)</f>
        <v>4.7884896048344674E-14</v>
      </c>
      <c r="AK140" s="13">
        <f t="shared" si="143"/>
        <v>7.8374629847779921E-13</v>
      </c>
      <c r="AL140" s="20">
        <f t="shared" si="112"/>
        <v>1.4484243304663672E-12</v>
      </c>
      <c r="AM140" s="59">
        <f t="shared" si="113"/>
        <v>288.58145541642216</v>
      </c>
      <c r="AN140" s="59">
        <f ca="1">AVERAGE(OFFSET($AM$3,0,0,'Données projet'!$E$10+1,1))-AVERAGE(OFFSET($H$3,0,0,'Données projet'!$E$10+1,1))</f>
        <v>442.79037205372367</v>
      </c>
      <c r="AO140" s="59">
        <f t="shared" si="144"/>
        <v>288.23553637727969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66.21363693615983</v>
      </c>
      <c r="AV140" s="21">
        <f>EXP(-LN(2)/25)*AV139+(1-EXP(-LN(2)/25))/(LN(2)/25)*Calculateur!AQ140*Calculateur!AS140*VLOOKUP('Données projet'!$B$10,Paramètres!$A$1:$I$89,3,0)*0.475*44/12</f>
        <v>11.845890402257208</v>
      </c>
      <c r="AW140" s="21">
        <f>EXP(-LN(2)/2)*AW139+(1-EXP(-LN(2)/2))/(LN(2)/2)*AQ140*AT140*VLOOKUP('Données projet'!$B$10,Paramètres!$A$1:$I$89,3,0)*0.475*44/12</f>
        <v>1.6018280857566511E-4</v>
      </c>
      <c r="AX140" s="21">
        <f t="shared" si="114"/>
        <v>78.059687521225612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68.704033295387475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7.3375000000000012</v>
      </c>
      <c r="BD140" s="12">
        <f>IF('Données projet'!$A$88&gt;35,BD139+BC140-BL139,IF(A140&lt;'Données projet'!$A$88,$BA$205^A140,IF(A140='Données projet'!$A$88,'Données projet'!$B$88,BD139+BC140-BL139)))</f>
        <v>328.55749999999995</v>
      </c>
      <c r="BE140" s="13">
        <f>BD140*VLOOKUP('Données projet'!$B$11,Paramètres!$A$1:$I$89,3,0)*VLOOKUP('Données projet'!$B$11,Paramètres!$A$1:$I$89,5,0)</f>
        <v>333.15730499999995</v>
      </c>
      <c r="BF140" s="13">
        <f t="shared" si="145"/>
        <v>78.084533845329503</v>
      </c>
      <c r="BG140" s="20">
        <f t="shared" si="115"/>
        <v>716.24620265561543</v>
      </c>
      <c r="BH140" s="59">
        <f t="shared" si="116"/>
        <v>1004.8276580720362</v>
      </c>
      <c r="BI140" s="59">
        <f ca="1">AVERAGE(OFFSET($BH$3,0,0,'Données projet'!$E$11+1,1))-AVERAGE(OFFSET($H$3,0,0,'Données projet'!$E$11+1,1))</f>
        <v>559.91818701710872</v>
      </c>
      <c r="BJ140" s="59">
        <f t="shared" si="146"/>
        <v>273.47272623465915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26.416275093079673</v>
      </c>
      <c r="BQ140" s="21">
        <f>EXP(-LN(2)/25)*BQ139+(1-EXP(-LN(2)/25))/(LN(2)/25)*Calculateur!BL140*Calculateur!BN140*VLOOKUP('Données projet'!$B$11,Paramètres!$A$1:$I$89,3,0)*0.475*44/12</f>
        <v>20.927731238433413</v>
      </c>
      <c r="BR140" s="21">
        <f>EXP(-LN(2)/2)*BR139+(1-EXP(-LN(2)/2))/(LN(2)/2)*BL140*BO140*VLOOKUP('Données projet'!$B$11,Paramètres!$A$1:$I$89,3,0)*0.475*44/12</f>
        <v>0.84889436792713824</v>
      </c>
      <c r="BS140" s="22">
        <f t="shared" si="117"/>
        <v>48.192900699440223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68.704033295387475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-1.1368683772161603E-13</v>
      </c>
      <c r="BZ140" s="13">
        <f>BY140*VLOOKUP('Données projet'!$B$12,Paramètres!$A$1:$I$89,3,0)*VLOOKUP('Données projet'!$B$12,Paramètres!$A$1:$I$89,5,0)</f>
        <v>-8.8675733422860506E-14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208.92677786250815</v>
      </c>
      <c r="CE140" s="59">
        <f t="shared" si="148"/>
        <v>207.54290142772214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7.1692089614630996</v>
      </c>
      <c r="CL140" s="21">
        <f>EXP(-LN(2)/25)*CL139+(1-EXP(-LN(2)/25))/(LN(2)/25)*Calculateur!CG140*Calculateur!CI140*VLOOKUP('Données projet'!$B$12,Paramètres!$A$1:$I$89,3,0)*0.475*44/12</f>
        <v>4.1188430542684316</v>
      </c>
      <c r="CM140" s="21">
        <f>EXP(-LN(2)/2)*CM139+(1-EXP(-LN(2)/2))/(LN(2)/2)*CG140*CJ140*VLOOKUP('Données projet'!$B$12,Paramètres!$A$1:$I$89,3,0)*0.475*44/12</f>
        <v>2.2669653249010285E-9</v>
      </c>
      <c r="CN140" s="22">
        <f t="shared" si="120"/>
        <v>11.288052017998496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68.704033295387475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2.5579538487363607E-13</v>
      </c>
      <c r="CU140" s="17">
        <f>CT140*VLOOKUP('Données projet'!$B$13,Paramètres!$A$1:$I$89,3,0)*VLOOKUP('Données projet'!$B$13,Paramètres!$A$1:$I$89,5,0)</f>
        <v>2.4341488824575211E-13</v>
      </c>
      <c r="CV140" s="13">
        <f t="shared" si="149"/>
        <v>3.2970717324875541E-12</v>
      </c>
      <c r="CW140" s="20">
        <f t="shared" si="121"/>
        <v>6.1663475311105072E-12</v>
      </c>
      <c r="CX140" s="59">
        <f t="shared" si="122"/>
        <v>288.58145541642688</v>
      </c>
      <c r="CY140" s="59">
        <f ca="1">AVERAGE(OFFSET($CX$3,0,0,'Données projet'!$E$13+1,1))-AVERAGE(OFFSET($H$3,0,0,'Données projet'!$E$13+1,1))</f>
        <v>470.42022791389275</v>
      </c>
      <c r="CZ140" s="59">
        <f t="shared" si="150"/>
        <v>300.26117330627346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57.585940891636682</v>
      </c>
      <c r="DG140" s="21">
        <f>EXP(-LN(2)/25)*DG139+(1-EXP(-LN(2)/25))/(LN(2)/25)*Calculateur!DB140*Calculateur!DD140*VLOOKUP('Données projet'!$B$13,Paramètres!$A$1:$I$89,3,0)*0.475*44/12</f>
        <v>49.582895687748952</v>
      </c>
      <c r="DH140" s="21">
        <f>EXP(-LN(2)/2)*DH139+(1-EXP(-LN(2)/2))/(LN(2)/2)*DB140*DE140*VLOOKUP('Données projet'!$B$13,Paramètres!$A$1:$I$89,3,0)*0.475*44/12</f>
        <v>3.1688237484226169</v>
      </c>
      <c r="DI140" s="22">
        <f t="shared" si="123"/>
        <v>110.33766032780825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68.704033295387475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7.3375000000000012</v>
      </c>
      <c r="DO140" s="12">
        <f>IF('Données projet'!$A$166&gt;35,DO139+DN140-DW139,IF(A140&lt;'Données projet'!$A$166,$DL$205^A140,IF(A140='Données projet'!$A$166,'Données projet'!$B$166,DO139+DN140-DW139)))</f>
        <v>328.55749999999995</v>
      </c>
      <c r="DP140" s="17">
        <f>DO140*VLOOKUP('Données projet'!$B$14,Paramètres!$A$1:$I$89,3,0)*VLOOKUP('Données projet'!$B$14,Paramètres!$A$1:$I$89,5,0)</f>
        <v>317.78081399999996</v>
      </c>
      <c r="DQ140" s="13">
        <f t="shared" si="151"/>
        <v>74.891422007628094</v>
      </c>
      <c r="DR140" s="20">
        <f t="shared" si="124"/>
        <v>683.90414437995207</v>
      </c>
      <c r="DS140" s="59">
        <f t="shared" si="125"/>
        <v>972.48559979637275</v>
      </c>
      <c r="DT140" s="59">
        <f ca="1">AVERAGE(OFFSET($DS$3,0,0,'Données projet'!$E$14+1,1))-AVERAGE(OFFSET($H$3,0,0,'Données projet'!$E$14+1,1))</f>
        <v>537.37164071064103</v>
      </c>
      <c r="DU140" s="59">
        <f t="shared" si="152"/>
        <v>263.29777321132235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17.99790171176857</v>
      </c>
      <c r="EB140" s="21">
        <f>EXP(-LN(2)/25)*EB139+(1-EXP(-LN(2)/25))/(LN(2)/25)*Calculateur!DW140*Calculateur!DY140*VLOOKUP('Données projet'!$B$14,Paramètres!$A$1:$I$89,3,0)*0.475*44/12</f>
        <v>17.582393516972438</v>
      </c>
      <c r="EC140" s="21">
        <f>EXP(-LN(2)/2)*EC139+(1-EXP(-LN(2)/2))/(LN(2)/2)*DW140*DZ140*VLOOKUP('Données projet'!$B$14,Paramètres!$A$1:$I$89,3,0)*0.475*44/12</f>
        <v>2.0242865618553929</v>
      </c>
      <c r="ED140" s="22">
        <f t="shared" si="126"/>
        <v>37.604581790596399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68.704033295387475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68.704033295387475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68.704033295387475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68.704033295387475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45">
      <c r="A141" s="10">
        <f t="shared" si="139"/>
        <v>138</v>
      </c>
      <c r="B141" s="73">
        <f>'Scénario référence'!$B$16*5+'Scénario référence'!$B$17*0+'Scénario référence'!$B$18*5</f>
        <v>2.8499999999999996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10.449999999999998</v>
      </c>
      <c r="H141" s="67">
        <f t="shared" si="110"/>
        <v>214.86666666666667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68.726515420365018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10.843999999999994</v>
      </c>
      <c r="N141" s="13">
        <f>IF('Données projet'!$A$36&gt;35,N140+M141-V140,IF(A141&lt;'Données projet'!$A$36,$K$205^A141,IF(A141='Données projet'!$A$36,'Données projet'!$B$36,N140+M141-V140)))</f>
        <v>617.36200000000031</v>
      </c>
      <c r="O141" s="13">
        <f>N141*VLOOKUP('Données projet'!$B$9,Paramètres!$A$1:$I$89,3,0)*VLOOKUP('Données projet'!$B$9,Paramètres!$A$1:$I$89,5,0)</f>
        <v>558.5891376000003</v>
      </c>
      <c r="P141" s="13">
        <f t="shared" si="141"/>
        <v>123.27726355861266</v>
      </c>
      <c r="Q141" s="20">
        <f t="shared" si="108"/>
        <v>1187.5839820179174</v>
      </c>
      <c r="R141" s="59">
        <f t="shared" si="109"/>
        <v>1476.247871892589</v>
      </c>
      <c r="S141" s="59">
        <f ca="1">AVERAGE(OFFSET($R$3,0,0,'Données projet'!$E$9+1,1))-AVERAGE(OFFSET($H$3,0,0,'Données projet'!$E$9+1,1))</f>
        <v>719.20816951277925</v>
      </c>
      <c r="T141" s="59">
        <f t="shared" si="142"/>
        <v>237.1127421841087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57.202070435371276</v>
      </c>
      <c r="AA141" s="21">
        <f>EXP(-LN(2)/25)*AA140+(1-EXP(-LN(2)/25))/(LN(2)/25)*Calculateur!V141*Calculateur!X141*VLOOKUP('Données projet'!$B$9,Paramètres!$A$1:$I$89,3,0)*0.475*44/12</f>
        <v>23.718525392561876</v>
      </c>
      <c r="AB141" s="21">
        <f>EXP(-LN(2)/2)*AB140+(1-EXP(-LN(2)/2))/(LN(2)/2)*V141*Y141*VLOOKUP('Données projet'!$B$9,Paramètres!$A$1:$I$89,3,0)*0.475*44/12</f>
        <v>3.6885113882724083E-7</v>
      </c>
      <c r="AC141" s="22">
        <f t="shared" si="111"/>
        <v>80.920596196784288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68.726515420365018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5.6843418860808015E-14</v>
      </c>
      <c r="AJ141" s="13">
        <f>AI141*VLOOKUP('Données projet'!$B$10,Paramètres!$A$1:$I$89,3,0)*VLOOKUP('Données projet'!$B$10,Paramètres!$A$1:$I$89,5,0)</f>
        <v>4.7884896048344674E-14</v>
      </c>
      <c r="AK141" s="13">
        <f t="shared" si="143"/>
        <v>7.8374629847779921E-13</v>
      </c>
      <c r="AL141" s="20">
        <f t="shared" si="112"/>
        <v>1.4484243304663672E-12</v>
      </c>
      <c r="AM141" s="59">
        <f t="shared" si="113"/>
        <v>288.66388987467315</v>
      </c>
      <c r="AN141" s="59">
        <f ca="1">AVERAGE(OFFSET($AM$3,0,0,'Données projet'!$E$10+1,1))-AVERAGE(OFFSET($H$3,0,0,'Données projet'!$E$10+1,1))</f>
        <v>442.79037205372367</v>
      </c>
      <c r="AO141" s="59">
        <f t="shared" si="144"/>
        <v>288.23553637727969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64.915227902172447</v>
      </c>
      <c r="AV141" s="21">
        <f>EXP(-LN(2)/25)*AV140+(1-EXP(-LN(2)/25))/(LN(2)/25)*Calculateur!AQ141*Calculateur!AS141*VLOOKUP('Données projet'!$B$10,Paramètres!$A$1:$I$89,3,0)*0.475*44/12</f>
        <v>11.521963906259183</v>
      </c>
      <c r="AW141" s="21">
        <f>EXP(-LN(2)/2)*AW140+(1-EXP(-LN(2)/2))/(LN(2)/2)*AQ141*AT141*VLOOKUP('Données projet'!$B$10,Paramètres!$A$1:$I$89,3,0)*0.475*44/12</f>
        <v>1.1326635017335946E-4</v>
      </c>
      <c r="AX141" s="21">
        <f t="shared" si="114"/>
        <v>76.437305074781804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68.726515420365018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7.3375000000000012</v>
      </c>
      <c r="BD141" s="12">
        <f>IF('Données projet'!$A$88&gt;35,BD140+BC141-BL140,IF(A141&lt;'Données projet'!$A$88,$BA$205^A141,IF(A141='Données projet'!$A$88,'Données projet'!$B$88,BD140+BC141-BL140)))</f>
        <v>335.89499999999992</v>
      </c>
      <c r="BE141" s="13">
        <f>BD141*VLOOKUP('Données projet'!$B$11,Paramètres!$A$1:$I$89,3,0)*VLOOKUP('Données projet'!$B$11,Paramètres!$A$1:$I$89,5,0)</f>
        <v>340.59752999999995</v>
      </c>
      <c r="BF141" s="13">
        <f t="shared" si="145"/>
        <v>79.623387284014498</v>
      </c>
      <c r="BG141" s="20">
        <f t="shared" si="115"/>
        <v>731.88476426965838</v>
      </c>
      <c r="BH141" s="59">
        <f t="shared" si="116"/>
        <v>1020.5486541443302</v>
      </c>
      <c r="BI141" s="59">
        <f ca="1">AVERAGE(OFFSET($BH$3,0,0,'Données projet'!$E$11+1,1))-AVERAGE(OFFSET($H$3,0,0,'Données projet'!$E$11+1,1))</f>
        <v>559.91818701710872</v>
      </c>
      <c r="BJ141" s="59">
        <f t="shared" si="146"/>
        <v>273.47272623465915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25.898268050841224</v>
      </c>
      <c r="BQ141" s="21">
        <f>EXP(-LN(2)/25)*BQ140+(1-EXP(-LN(2)/25))/(LN(2)/25)*Calculateur!BL141*Calculateur!BN141*VLOOKUP('Données projet'!$B$11,Paramètres!$A$1:$I$89,3,0)*0.475*44/12</f>
        <v>20.355461327176897</v>
      </c>
      <c r="BR141" s="21">
        <f>EXP(-LN(2)/2)*BR140+(1-EXP(-LN(2)/2))/(LN(2)/2)*BL141*BO141*VLOOKUP('Données projet'!$B$11,Paramètres!$A$1:$I$89,3,0)*0.475*44/12</f>
        <v>0.60025896407234758</v>
      </c>
      <c r="BS141" s="22">
        <f t="shared" si="117"/>
        <v>46.853988342090467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68.726515420365018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-1.1368683772161603E-13</v>
      </c>
      <c r="BZ141" s="13">
        <f>BY141*VLOOKUP('Données projet'!$B$12,Paramètres!$A$1:$I$89,3,0)*VLOOKUP('Données projet'!$B$12,Paramètres!$A$1:$I$89,5,0)</f>
        <v>-8.8675733422860506E-14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208.92677786250815</v>
      </c>
      <c r="CE141" s="59">
        <f t="shared" si="148"/>
        <v>207.54290142772214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7.0286251465144982</v>
      </c>
      <c r="CL141" s="21">
        <f>EXP(-LN(2)/25)*CL140+(1-EXP(-LN(2)/25))/(LN(2)/25)*Calculateur!CG141*Calculateur!CI141*VLOOKUP('Données projet'!$B$12,Paramètres!$A$1:$I$89,3,0)*0.475*44/12</f>
        <v>4.0062130743489188</v>
      </c>
      <c r="CM141" s="21">
        <f>EXP(-LN(2)/2)*CM140+(1-EXP(-LN(2)/2))/(LN(2)/2)*CG141*CJ141*VLOOKUP('Données projet'!$B$12,Paramètres!$A$1:$I$89,3,0)*0.475*44/12</f>
        <v>1.6029865539522822E-9</v>
      </c>
      <c r="CN141" s="22">
        <f t="shared" si="120"/>
        <v>11.034838222466403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68.726515420365018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2.5579538487363607E-13</v>
      </c>
      <c r="CU141" s="17">
        <f>CT141*VLOOKUP('Données projet'!$B$13,Paramètres!$A$1:$I$89,3,0)*VLOOKUP('Données projet'!$B$13,Paramètres!$A$1:$I$89,5,0)</f>
        <v>2.4341488824575211E-13</v>
      </c>
      <c r="CV141" s="13">
        <f t="shared" si="149"/>
        <v>3.2970717324875541E-12</v>
      </c>
      <c r="CW141" s="20">
        <f t="shared" si="121"/>
        <v>6.1663475311105072E-12</v>
      </c>
      <c r="CX141" s="59">
        <f t="shared" si="122"/>
        <v>288.66388987467786</v>
      </c>
      <c r="CY141" s="59">
        <f ca="1">AVERAGE(OFFSET($CX$3,0,0,'Données projet'!$E$13+1,1))-AVERAGE(OFFSET($H$3,0,0,'Données projet'!$E$13+1,1))</f>
        <v>470.42022791389275</v>
      </c>
      <c r="CZ141" s="59">
        <f t="shared" si="150"/>
        <v>300.26117330627346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56.456715714707428</v>
      </c>
      <c r="DG141" s="21">
        <f>EXP(-LN(2)/25)*DG140+(1-EXP(-LN(2)/25))/(LN(2)/25)*Calculateur!DB141*Calculateur!DD141*VLOOKUP('Données projet'!$B$13,Paramètres!$A$1:$I$89,3,0)*0.475*44/12</f>
        <v>48.227048797716293</v>
      </c>
      <c r="DH141" s="21">
        <f>EXP(-LN(2)/2)*DH140+(1-EXP(-LN(2)/2))/(LN(2)/2)*DB141*DE141*VLOOKUP('Données projet'!$B$13,Paramètres!$A$1:$I$89,3,0)*0.475*44/12</f>
        <v>2.2406967608946067</v>
      </c>
      <c r="DI141" s="22">
        <f t="shared" si="123"/>
        <v>106.92446127331833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68.726515420365018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7.3375000000000012</v>
      </c>
      <c r="DO141" s="12">
        <f>IF('Données projet'!$A$166&gt;35,DO140+DN141-DW140,IF(A141&lt;'Données projet'!$A$166,$DL$205^A141,IF(A141='Données projet'!$A$166,'Données projet'!$B$166,DO140+DN141-DW140)))</f>
        <v>335.89499999999992</v>
      </c>
      <c r="DP141" s="17">
        <f>DO141*VLOOKUP('Données projet'!$B$14,Paramètres!$A$1:$I$89,3,0)*VLOOKUP('Données projet'!$B$14,Paramètres!$A$1:$I$89,5,0)</f>
        <v>324.87764399999998</v>
      </c>
      <c r="DQ141" s="13">
        <f t="shared" si="151"/>
        <v>76.367347093032635</v>
      </c>
      <c r="DR141" s="20">
        <f t="shared" si="124"/>
        <v>698.83502615369832</v>
      </c>
      <c r="DS141" s="59">
        <f t="shared" si="125"/>
        <v>987.4989160283701</v>
      </c>
      <c r="DT141" s="59">
        <f ca="1">AVERAGE(OFFSET($DS$3,0,0,'Données projet'!$E$14+1,1))-AVERAGE(OFFSET($H$3,0,0,'Données projet'!$E$14+1,1))</f>
        <v>537.37164071064103</v>
      </c>
      <c r="DU141" s="59">
        <f t="shared" si="152"/>
        <v>263.29777321132235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17.644973836836883</v>
      </c>
      <c r="EB141" s="21">
        <f>EXP(-LN(2)/25)*EB140+(1-EXP(-LN(2)/25))/(LN(2)/25)*Calculateur!DW141*Calculateur!DY141*VLOOKUP('Données projet'!$B$14,Paramètres!$A$1:$I$89,3,0)*0.475*44/12</f>
        <v>17.101602041632937</v>
      </c>
      <c r="EC141" s="21">
        <f>EXP(-LN(2)/2)*EC140+(1-EXP(-LN(2)/2))/(LN(2)/2)*DW141*DZ141*VLOOKUP('Données projet'!$B$14,Paramètres!$A$1:$I$89,3,0)*0.475*44/12</f>
        <v>1.4313867549527499</v>
      </c>
      <c r="ED141" s="22">
        <f t="shared" si="126"/>
        <v>36.177962633422567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68.726515420365018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68.726515420365018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68.726515420365018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68.726515420365018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45">
      <c r="A142" s="10">
        <f t="shared" si="139"/>
        <v>139</v>
      </c>
      <c r="B142" s="73">
        <f>'Scénario référence'!$B$16*5+'Scénario référence'!$B$17*0+'Scénario référence'!$B$18*5</f>
        <v>2.8499999999999996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10.449999999999998</v>
      </c>
      <c r="H142" s="67">
        <f t="shared" si="110"/>
        <v>214.86666666666667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68.748607530736678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10.843999999999994</v>
      </c>
      <c r="N142" s="13">
        <f>IF('Données projet'!$A$36&gt;35,N141+M142-V141,IF(A142&lt;'Données projet'!$A$36,$K$205^A142,IF(A142='Données projet'!$A$36,'Données projet'!$B$36,N141+M142-V141)))</f>
        <v>628.20600000000036</v>
      </c>
      <c r="O142" s="13">
        <f>N142*VLOOKUP('Données projet'!$B$9,Paramètres!$A$1:$I$89,3,0)*VLOOKUP('Données projet'!$B$9,Paramètres!$A$1:$I$89,5,0)</f>
        <v>568.40078880000033</v>
      </c>
      <c r="P142" s="13">
        <f t="shared" si="141"/>
        <v>125.1886433296535</v>
      </c>
      <c r="Q142" s="20">
        <f t="shared" si="108"/>
        <v>1208.0015942924804</v>
      </c>
      <c r="R142" s="59">
        <f t="shared" si="109"/>
        <v>1496.7464885718482</v>
      </c>
      <c r="S142" s="59">
        <f ca="1">AVERAGE(OFFSET($R$3,0,0,'Données projet'!$E$9+1,1))-AVERAGE(OFFSET($H$3,0,0,'Données projet'!$E$9+1,1))</f>
        <v>719.20816951277925</v>
      </c>
      <c r="T142" s="59">
        <f t="shared" si="142"/>
        <v>237.1127421841087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56.080372723951527</v>
      </c>
      <c r="AA142" s="21">
        <f>EXP(-LN(2)/25)*AA141+(1-EXP(-LN(2)/25))/(LN(2)/25)*Calculateur!V142*Calculateur!X142*VLOOKUP('Données projet'!$B$9,Paramètres!$A$1:$I$89,3,0)*0.475*44/12</f>
        <v>23.069941068399231</v>
      </c>
      <c r="AB142" s="21">
        <f>EXP(-LN(2)/2)*AB141+(1-EXP(-LN(2)/2))/(LN(2)/2)*V142*Y142*VLOOKUP('Données projet'!$B$9,Paramètres!$A$1:$I$89,3,0)*0.475*44/12</f>
        <v>2.6081714151312264E-7</v>
      </c>
      <c r="AC142" s="22">
        <f t="shared" si="111"/>
        <v>79.150314053167904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68.748607530736678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5.6843418860808015E-14</v>
      </c>
      <c r="AJ142" s="13">
        <f>AI142*VLOOKUP('Données projet'!$B$10,Paramètres!$A$1:$I$89,3,0)*VLOOKUP('Données projet'!$B$10,Paramètres!$A$1:$I$89,5,0)</f>
        <v>4.7884896048344674E-14</v>
      </c>
      <c r="AK142" s="13">
        <f t="shared" si="143"/>
        <v>7.8374629847779921E-13</v>
      </c>
      <c r="AL142" s="20">
        <f t="shared" si="112"/>
        <v>1.4484243304663672E-12</v>
      </c>
      <c r="AM142" s="59">
        <f t="shared" si="113"/>
        <v>288.74489427936925</v>
      </c>
      <c r="AN142" s="59">
        <f ca="1">AVERAGE(OFFSET($AM$3,0,0,'Données projet'!$E$10+1,1))-AVERAGE(OFFSET($H$3,0,0,'Données projet'!$E$10+1,1))</f>
        <v>442.79037205372367</v>
      </c>
      <c r="AO142" s="59">
        <f t="shared" si="144"/>
        <v>288.23553637727969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63.642279877390244</v>
      </c>
      <c r="AV142" s="21">
        <f>EXP(-LN(2)/25)*AV141+(1-EXP(-LN(2)/25))/(LN(2)/25)*Calculateur!AQ142*Calculateur!AS142*VLOOKUP('Données projet'!$B$10,Paramètres!$A$1:$I$89,3,0)*0.475*44/12</f>
        <v>11.206895197328777</v>
      </c>
      <c r="AW142" s="21">
        <f>EXP(-LN(2)/2)*AW141+(1-EXP(-LN(2)/2))/(LN(2)/2)*AQ142*AT142*VLOOKUP('Données projet'!$B$10,Paramètres!$A$1:$I$89,3,0)*0.475*44/12</f>
        <v>8.0091404287832557E-5</v>
      </c>
      <c r="AX142" s="21">
        <f t="shared" si="114"/>
        <v>74.849255166123314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68.748607530736678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7.3375000000000012</v>
      </c>
      <c r="BD142" s="12">
        <f>IF('Données projet'!$A$88&gt;35,BD141+BC142-BL141,IF(A142&lt;'Données projet'!$A$88,$BA$205^A142,IF(A142='Données projet'!$A$88,'Données projet'!$B$88,BD141+BC142-BL141)))</f>
        <v>343.2324999999999</v>
      </c>
      <c r="BE142" s="13">
        <f>BD142*VLOOKUP('Données projet'!$B$11,Paramètres!$A$1:$I$89,3,0)*VLOOKUP('Données projet'!$B$11,Paramètres!$A$1:$I$89,5,0)</f>
        <v>348.03775499999989</v>
      </c>
      <c r="BF142" s="13">
        <f t="shared" si="145"/>
        <v>81.158332500044466</v>
      </c>
      <c r="BG142" s="20">
        <f t="shared" si="115"/>
        <v>747.51651906257723</v>
      </c>
      <c r="BH142" s="59">
        <f t="shared" si="116"/>
        <v>1036.2614133419452</v>
      </c>
      <c r="BI142" s="59">
        <f ca="1">AVERAGE(OFFSET($BH$3,0,0,'Données projet'!$E$11+1,1))-AVERAGE(OFFSET($H$3,0,0,'Données projet'!$E$11+1,1))</f>
        <v>559.91818701710872</v>
      </c>
      <c r="BJ142" s="59">
        <f t="shared" si="146"/>
        <v>273.47272623465915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25.390418810747974</v>
      </c>
      <c r="BQ142" s="21">
        <f>EXP(-LN(2)/25)*BQ141+(1-EXP(-LN(2)/25))/(LN(2)/25)*Calculateur!BL142*Calculateur!BN142*VLOOKUP('Données projet'!$B$11,Paramètres!$A$1:$I$89,3,0)*0.475*44/12</f>
        <v>19.798840166738056</v>
      </c>
      <c r="BR142" s="21">
        <f>EXP(-LN(2)/2)*BR141+(1-EXP(-LN(2)/2))/(LN(2)/2)*BL142*BO142*VLOOKUP('Données projet'!$B$11,Paramètres!$A$1:$I$89,3,0)*0.475*44/12</f>
        <v>0.42444718396356917</v>
      </c>
      <c r="BS142" s="22">
        <f t="shared" si="117"/>
        <v>45.613706161449606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68.748607530736678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-1.1368683772161603E-13</v>
      </c>
      <c r="BZ142" s="13">
        <f>BY142*VLOOKUP('Données projet'!$B$12,Paramètres!$A$1:$I$89,3,0)*VLOOKUP('Données projet'!$B$12,Paramètres!$A$1:$I$89,5,0)</f>
        <v>-8.8675733422860506E-14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208.92677786250815</v>
      </c>
      <c r="CE142" s="59">
        <f t="shared" si="148"/>
        <v>207.54290142772214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6.8907980944293783</v>
      </c>
      <c r="CL142" s="21">
        <f>EXP(-LN(2)/25)*CL141+(1-EXP(-LN(2)/25))/(LN(2)/25)*Calculateur!CG142*Calculateur!CI142*VLOOKUP('Données projet'!$B$12,Paramètres!$A$1:$I$89,3,0)*0.475*44/12</f>
        <v>3.8966629671532584</v>
      </c>
      <c r="CM142" s="21">
        <f>EXP(-LN(2)/2)*CM141+(1-EXP(-LN(2)/2))/(LN(2)/2)*CG142*CJ142*VLOOKUP('Données projet'!$B$12,Paramètres!$A$1:$I$89,3,0)*0.475*44/12</f>
        <v>1.1334826624505142E-9</v>
      </c>
      <c r="CN142" s="22">
        <f t="shared" si="120"/>
        <v>10.787461062716119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68.748607530736678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2.5579538487363607E-13</v>
      </c>
      <c r="CU142" s="17">
        <f>CT142*VLOOKUP('Données projet'!$B$13,Paramètres!$A$1:$I$89,3,0)*VLOOKUP('Données projet'!$B$13,Paramètres!$A$1:$I$89,5,0)</f>
        <v>2.4341488824575211E-13</v>
      </c>
      <c r="CV142" s="13">
        <f t="shared" si="149"/>
        <v>3.2970717324875541E-12</v>
      </c>
      <c r="CW142" s="20">
        <f t="shared" si="121"/>
        <v>6.1663475311105072E-12</v>
      </c>
      <c r="CX142" s="59">
        <f t="shared" si="122"/>
        <v>288.74489427937397</v>
      </c>
      <c r="CY142" s="59">
        <f ca="1">AVERAGE(OFFSET($CX$3,0,0,'Données projet'!$E$13+1,1))-AVERAGE(OFFSET($H$3,0,0,'Données projet'!$E$13+1,1))</f>
        <v>470.42022791389275</v>
      </c>
      <c r="CZ142" s="59">
        <f t="shared" si="150"/>
        <v>300.26117330627346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55.349633954738408</v>
      </c>
      <c r="DG142" s="21">
        <f>EXP(-LN(2)/25)*DG141+(1-EXP(-LN(2)/25))/(LN(2)/25)*Calculateur!DB142*Calculateur!DD142*VLOOKUP('Données projet'!$B$13,Paramètres!$A$1:$I$89,3,0)*0.475*44/12</f>
        <v>46.908277612192471</v>
      </c>
      <c r="DH142" s="21">
        <f>EXP(-LN(2)/2)*DH141+(1-EXP(-LN(2)/2))/(LN(2)/2)*DB142*DE142*VLOOKUP('Données projet'!$B$13,Paramètres!$A$1:$I$89,3,0)*0.475*44/12</f>
        <v>1.5844118742113085</v>
      </c>
      <c r="DI142" s="22">
        <f t="shared" si="123"/>
        <v>103.8423234411422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68.748607530736678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7.3375000000000012</v>
      </c>
      <c r="DO142" s="12">
        <f>IF('Données projet'!$A$166&gt;35,DO141+DN142-DW141,IF(A142&lt;'Données projet'!$A$166,$DL$205^A142,IF(A142='Données projet'!$A$166,'Données projet'!$B$166,DO141+DN142-DW141)))</f>
        <v>343.2324999999999</v>
      </c>
      <c r="DP142" s="17">
        <f>DO142*VLOOKUP('Données projet'!$B$14,Paramètres!$A$1:$I$89,3,0)*VLOOKUP('Données projet'!$B$14,Paramètres!$A$1:$I$89,5,0)</f>
        <v>331.97447399999993</v>
      </c>
      <c r="DQ142" s="13">
        <f t="shared" si="151"/>
        <v>77.839523774781142</v>
      </c>
      <c r="DR142" s="20">
        <f t="shared" si="124"/>
        <v>713.75937945774365</v>
      </c>
      <c r="DS142" s="59">
        <f t="shared" si="125"/>
        <v>1002.5042737371115</v>
      </c>
      <c r="DT142" s="59">
        <f ca="1">AVERAGE(OFFSET($DS$3,0,0,'Données projet'!$E$14+1,1))-AVERAGE(OFFSET($H$3,0,0,'Données projet'!$E$14+1,1))</f>
        <v>537.37164071064103</v>
      </c>
      <c r="DU142" s="59">
        <f t="shared" si="152"/>
        <v>263.29777321132235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17.298966662267855</v>
      </c>
      <c r="EB142" s="21">
        <f>EXP(-LN(2)/25)*EB141+(1-EXP(-LN(2)/25))/(LN(2)/25)*Calculateur!DW142*Calculateur!DY142*VLOOKUP('Données projet'!$B$14,Paramètres!$A$1:$I$89,3,0)*0.475*44/12</f>
        <v>16.633957834470319</v>
      </c>
      <c r="EC142" s="21">
        <f>EXP(-LN(2)/2)*EC141+(1-EXP(-LN(2)/2))/(LN(2)/2)*DW142*DZ142*VLOOKUP('Données projet'!$B$14,Paramètres!$A$1:$I$89,3,0)*0.475*44/12</f>
        <v>1.0121432809276965</v>
      </c>
      <c r="ED142" s="22">
        <f t="shared" si="126"/>
        <v>34.945067777665869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68.748607530736678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68.748607530736678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68.748607530736678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68.748607530736678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45">
      <c r="A143" s="10">
        <f t="shared" si="139"/>
        <v>140</v>
      </c>
      <c r="B143" s="73">
        <f>'Scénario référence'!$B$16*5+'Scénario référence'!$B$17*0+'Scénario référence'!$B$18*5</f>
        <v>2.8499999999999996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10.449999999999998</v>
      </c>
      <c r="H143" s="67">
        <f t="shared" si="110"/>
        <v>214.86666666666667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68.770316392383961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>
        <f>VLOOKUP(A143,'Données projet'!$A$35:$I$55,2,0)</f>
        <v>639.04999999999995</v>
      </c>
      <c r="L143" s="12">
        <f>VLOOKUP(A143,'Données projet'!$A$35:$I$55,9,0)</f>
        <v>10.843999999999994</v>
      </c>
      <c r="M143" s="12">
        <f t="array" ref="M143">INDEX(L:L,MIN(IF(ISNUMBER(L143:L339),ROW(L143:L339),"")))</f>
        <v>10.843999999999994</v>
      </c>
      <c r="N143" s="13">
        <f>IF('Données projet'!$A$36&gt;35,N142+M143-V142,IF(A143&lt;'Données projet'!$A$36,$K$205^A143,IF(A143='Données projet'!$A$36,'Données projet'!$B$36,N142+M143-V142)))</f>
        <v>639.05000000000041</v>
      </c>
      <c r="O143" s="13">
        <f>N143*VLOOKUP('Données projet'!$B$9,Paramètres!$A$1:$I$89,3,0)*VLOOKUP('Données projet'!$B$9,Paramètres!$A$1:$I$89,5,0)</f>
        <v>578.21244000000036</v>
      </c>
      <c r="P143" s="13">
        <f t="shared" si="141"/>
        <v>127.0961862582958</v>
      </c>
      <c r="Q143" s="20">
        <f t="shared" si="108"/>
        <v>1228.4125240665323</v>
      </c>
      <c r="R143" s="59">
        <f t="shared" si="109"/>
        <v>1517.2370175052736</v>
      </c>
      <c r="S143" s="59">
        <f ca="1">AVERAGE(OFFSET($R$3,0,0,'Données projet'!$E$9+1,1))-AVERAGE(OFFSET($H$3,0,0,'Données projet'!$E$9+1,1))</f>
        <v>719.20816951277925</v>
      </c>
      <c r="T143" s="59">
        <f t="shared" si="142"/>
        <v>237.1127421841087</v>
      </c>
      <c r="U143" s="15">
        <f>IF(ISNA(VLOOKUP(A143,'Données projet'!$A$35:$I$55,3,0)),0,VLOOKUP(A143,'Données projet'!$A$35:$I$55,3,0))</f>
        <v>13</v>
      </c>
      <c r="V143" s="15">
        <f>IF(ISNA(VLOOKUP(A143,'Données projet'!$A$35:$I$55,4,0)),0,VLOOKUP(A143,'Données projet'!$A$35:$I$55,4,0))</f>
        <v>74.669999999999959</v>
      </c>
      <c r="W143" s="16">
        <f>IF(ISNA(VLOOKUP(A143,'Données projet'!$A$35:$I$55,5,0)),0%,VLOOKUP(A143,'Données projet'!$A$35:$I$55,5,0)*VLOOKUP('Données projet'!$B$9,Paramètres!$A$1:$I$89,7,0))</f>
        <v>0.215</v>
      </c>
      <c r="X143" s="16">
        <f>IF(ISNA(VLOOKUP(A143,'Données projet'!$A$35:$I$55,6,0)),0%,VLOOKUP(A143,'Données projet'!$A$35:$I$55,6,0)*VLOOKUP('Données projet'!$B$9,Paramètres!$A$1:$I$89,7,0))</f>
        <v>8.6000000000000007E-2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71.038406820754915</v>
      </c>
      <c r="AA143" s="21">
        <f>EXP(-LN(2)/25)*AA142+(1-EXP(-LN(2)/25))/(LN(2)/25)*Calculateur!V143*Calculateur!X143*VLOOKUP('Données projet'!$B$9,Paramètres!$A$1:$I$89,3,0)*0.475*44/12</f>
        <v>28.836896546752417</v>
      </c>
      <c r="AB143" s="21">
        <f>EXP(-LN(2)/2)*AB142+(1-EXP(-LN(2)/2))/(LN(2)/2)*V143*Y143*VLOOKUP('Données projet'!$B$9,Paramètres!$A$1:$I$89,3,0)*0.475*44/12</f>
        <v>1.8442556941362041E-7</v>
      </c>
      <c r="AC143" s="22">
        <f t="shared" si="111"/>
        <v>99.875303551932902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68.770316392383961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5.6843418860808015E-14</v>
      </c>
      <c r="AJ143" s="13">
        <f>AI143*VLOOKUP('Données projet'!$B$10,Paramètres!$A$1:$I$89,3,0)*VLOOKUP('Données projet'!$B$10,Paramètres!$A$1:$I$89,5,0)</f>
        <v>4.7884896048344674E-14</v>
      </c>
      <c r="AK143" s="13">
        <f t="shared" si="143"/>
        <v>7.8374629847779921E-13</v>
      </c>
      <c r="AL143" s="20">
        <f t="shared" si="112"/>
        <v>1.4484243304663672E-12</v>
      </c>
      <c r="AM143" s="59">
        <f t="shared" si="113"/>
        <v>288.82449343874259</v>
      </c>
      <c r="AN143" s="59">
        <f ca="1">AVERAGE(OFFSET($AM$3,0,0,'Données projet'!$E$10+1,1))-AVERAGE(OFFSET($H$3,0,0,'Données projet'!$E$10+1,1))</f>
        <v>442.79037205372367</v>
      </c>
      <c r="AO143" s="59">
        <f t="shared" si="144"/>
        <v>288.23553637727969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62.394293586952394</v>
      </c>
      <c r="AV143" s="21">
        <f>EXP(-LN(2)/25)*AV142+(1-EXP(-LN(2)/25))/(LN(2)/25)*Calculateur!AQ143*Calculateur!AS143*VLOOKUP('Données projet'!$B$10,Paramètres!$A$1:$I$89,3,0)*0.475*44/12</f>
        <v>10.900442058812816</v>
      </c>
      <c r="AW143" s="21">
        <f>EXP(-LN(2)/2)*AW142+(1-EXP(-LN(2)/2))/(LN(2)/2)*AQ143*AT143*VLOOKUP('Données projet'!$B$10,Paramètres!$A$1:$I$89,3,0)*0.475*44/12</f>
        <v>5.6633175086679731E-5</v>
      </c>
      <c r="AX143" s="21">
        <f t="shared" si="114"/>
        <v>73.294792278940307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68.770316392383961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7.3375000000000012</v>
      </c>
      <c r="BD143" s="12">
        <f>IF('Données projet'!$A$88&gt;35,BD142+BC143-BL142,IF(A143&lt;'Données projet'!$A$88,$BA$205^A143,IF(A143='Données projet'!$A$88,'Données projet'!$B$88,BD142+BC143-BL142)))</f>
        <v>350.56999999999988</v>
      </c>
      <c r="BE143" s="13">
        <f>BD143*VLOOKUP('Données projet'!$B$11,Paramètres!$A$1:$I$89,3,0)*VLOOKUP('Données projet'!$B$11,Paramètres!$A$1:$I$89,5,0)</f>
        <v>355.47797999999989</v>
      </c>
      <c r="BF143" s="13">
        <f t="shared" si="145"/>
        <v>82.689462665419711</v>
      </c>
      <c r="BG143" s="20">
        <f t="shared" si="115"/>
        <v>763.14162930893906</v>
      </c>
      <c r="BH143" s="59">
        <f t="shared" si="116"/>
        <v>1051.9661227476802</v>
      </c>
      <c r="BI143" s="59">
        <f ca="1">AVERAGE(OFFSET($BH$3,0,0,'Données projet'!$E$11+1,1))-AVERAGE(OFFSET($H$3,0,0,'Données projet'!$E$11+1,1))</f>
        <v>559.91818701710872</v>
      </c>
      <c r="BJ143" s="59">
        <f t="shared" si="146"/>
        <v>273.47272623465915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24.892528184495504</v>
      </c>
      <c r="BQ143" s="21">
        <f>EXP(-LN(2)/25)*BQ142+(1-EXP(-LN(2)/25))/(LN(2)/25)*Calculateur!BL143*Calculateur!BN143*VLOOKUP('Données projet'!$B$11,Paramètres!$A$1:$I$89,3,0)*0.475*44/12</f>
        <v>19.257439841202849</v>
      </c>
      <c r="BR143" s="21">
        <f>EXP(-LN(2)/2)*BR142+(1-EXP(-LN(2)/2))/(LN(2)/2)*BL143*BO143*VLOOKUP('Données projet'!$B$11,Paramètres!$A$1:$I$89,3,0)*0.475*44/12</f>
        <v>0.30012948203617379</v>
      </c>
      <c r="BS143" s="22">
        <f t="shared" si="117"/>
        <v>44.450097507734533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68.770316392383961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-1.1368683772161603E-13</v>
      </c>
      <c r="BZ143" s="13">
        <f>BY143*VLOOKUP('Données projet'!$B$12,Paramètres!$A$1:$I$89,3,0)*VLOOKUP('Données projet'!$B$12,Paramètres!$A$1:$I$89,5,0)</f>
        <v>-8.8675733422860506E-14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208.92677786250815</v>
      </c>
      <c r="CE143" s="59">
        <f t="shared" si="148"/>
        <v>207.54290142772214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6.755673746769447</v>
      </c>
      <c r="CL143" s="21">
        <f>EXP(-LN(2)/25)*CL142+(1-EXP(-LN(2)/25))/(LN(2)/25)*Calculateur!CG143*Calculateur!CI143*VLOOKUP('Données projet'!$B$12,Paramètres!$A$1:$I$89,3,0)*0.475*44/12</f>
        <v>3.7901085133998529</v>
      </c>
      <c r="CM143" s="21">
        <f>EXP(-LN(2)/2)*CM142+(1-EXP(-LN(2)/2))/(LN(2)/2)*CG143*CJ143*VLOOKUP('Données projet'!$B$12,Paramètres!$A$1:$I$89,3,0)*0.475*44/12</f>
        <v>8.014932769761411E-10</v>
      </c>
      <c r="CN143" s="22">
        <f t="shared" si="120"/>
        <v>10.545782260970794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68.770316392383961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2.5579538487363607E-13</v>
      </c>
      <c r="CU143" s="17">
        <f>CT143*VLOOKUP('Données projet'!$B$13,Paramètres!$A$1:$I$89,3,0)*VLOOKUP('Données projet'!$B$13,Paramètres!$A$1:$I$89,5,0)</f>
        <v>2.4341488824575211E-13</v>
      </c>
      <c r="CV143" s="13">
        <f t="shared" si="149"/>
        <v>3.2970717324875541E-12</v>
      </c>
      <c r="CW143" s="20">
        <f t="shared" si="121"/>
        <v>6.1663475311105072E-12</v>
      </c>
      <c r="CX143" s="59">
        <f t="shared" si="122"/>
        <v>288.82449343874731</v>
      </c>
      <c r="CY143" s="59">
        <f ca="1">AVERAGE(OFFSET($CX$3,0,0,'Données projet'!$E$13+1,1))-AVERAGE(OFFSET($H$3,0,0,'Données projet'!$E$13+1,1))</f>
        <v>470.42022791389275</v>
      </c>
      <c r="CZ143" s="59">
        <f t="shared" si="150"/>
        <v>300.26117330627346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54.264261392829184</v>
      </c>
      <c r="DG143" s="21">
        <f>EXP(-LN(2)/25)*DG142+(1-EXP(-LN(2)/25))/(LN(2)/25)*Calculateur!DB143*Calculateur!DD143*VLOOKUP('Données projet'!$B$13,Paramètres!$A$1:$I$89,3,0)*0.475*44/12</f>
        <v>45.625568294087955</v>
      </c>
      <c r="DH143" s="21">
        <f>EXP(-LN(2)/2)*DH142+(1-EXP(-LN(2)/2))/(LN(2)/2)*DB143*DE143*VLOOKUP('Données projet'!$B$13,Paramètres!$A$1:$I$89,3,0)*0.475*44/12</f>
        <v>1.1203483804473033</v>
      </c>
      <c r="DI143" s="22">
        <f t="shared" si="123"/>
        <v>101.01017806736444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68.770316392383961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7.3375000000000012</v>
      </c>
      <c r="DO143" s="12">
        <f>IF('Données projet'!$A$166&gt;35,DO142+DN143-DW142,IF(A143&lt;'Données projet'!$A$166,$DL$205^A143,IF(A143='Données projet'!$A$166,'Données projet'!$B$166,DO142+DN143-DW142)))</f>
        <v>350.56999999999988</v>
      </c>
      <c r="DP143" s="17">
        <f>DO143*VLOOKUP('Données projet'!$B$14,Paramètres!$A$1:$I$89,3,0)*VLOOKUP('Données projet'!$B$14,Paramètres!$A$1:$I$89,5,0)</f>
        <v>339.07130399999994</v>
      </c>
      <c r="DQ143" s="13">
        <f t="shared" si="151"/>
        <v>79.308041414789827</v>
      </c>
      <c r="DR143" s="20">
        <f t="shared" si="124"/>
        <v>728.67735993075883</v>
      </c>
      <c r="DS143" s="59">
        <f t="shared" si="125"/>
        <v>1017.5018533694999</v>
      </c>
      <c r="DT143" s="59">
        <f ca="1">AVERAGE(OFFSET($DS$3,0,0,'Données projet'!$E$14+1,1))-AVERAGE(OFFSET($H$3,0,0,'Données projet'!$E$14+1,1))</f>
        <v>537.37164071064103</v>
      </c>
      <c r="DU143" s="59">
        <f t="shared" si="152"/>
        <v>263.29777321132235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16.95974447734859</v>
      </c>
      <c r="EB143" s="21">
        <f>EXP(-LN(2)/25)*EB142+(1-EXP(-LN(2)/25))/(LN(2)/25)*Calculateur!DW143*Calculateur!DY143*VLOOKUP('Données projet'!$B$14,Paramètres!$A$1:$I$89,3,0)*0.475*44/12</f>
        <v>16.179101382744904</v>
      </c>
      <c r="EC143" s="21">
        <f>EXP(-LN(2)/2)*EC142+(1-EXP(-LN(2)/2))/(LN(2)/2)*DW143*DZ143*VLOOKUP('Données projet'!$B$14,Paramètres!$A$1:$I$89,3,0)*0.475*44/12</f>
        <v>0.71569337747637496</v>
      </c>
      <c r="ED143" s="22">
        <f t="shared" si="126"/>
        <v>33.854539237569874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68.770316392383961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68.770316392383961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68.770316392383961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68.770316392383961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45">
      <c r="A144" s="10">
        <f t="shared" si="139"/>
        <v>141</v>
      </c>
      <c r="B144" s="73">
        <f>'Scénario référence'!$B$16*5+'Scénario référence'!$B$17*0+'Scénario référence'!$B$18*5</f>
        <v>2.8499999999999996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10.449999999999998</v>
      </c>
      <c r="H144" s="67">
        <f t="shared" si="110"/>
        <v>214.86666666666667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68.791648653815415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10.875</v>
      </c>
      <c r="N144" s="13">
        <f>IF('Données projet'!$A$36&gt;35,N143+M144-V143,IF(A144&lt;'Données projet'!$A$36,$K$205^A144,IF(A144='Données projet'!$A$36,'Données projet'!$B$36,N143+M144-V143)))</f>
        <v>575.25500000000045</v>
      </c>
      <c r="O144" s="13">
        <f>N144*VLOOKUP('Données projet'!$B$9,Paramètres!$A$1:$I$89,3,0)*VLOOKUP('Données projet'!$B$9,Paramètres!$A$1:$I$89,5,0)</f>
        <v>520.49072400000034</v>
      </c>
      <c r="P144" s="13">
        <f t="shared" si="141"/>
        <v>115.81760674620399</v>
      </c>
      <c r="Q144" s="20">
        <f t="shared" si="108"/>
        <v>1108.2370093829725</v>
      </c>
      <c r="R144" s="59">
        <f t="shared" si="109"/>
        <v>1397.1397211136291</v>
      </c>
      <c r="S144" s="59">
        <f ca="1">AVERAGE(OFFSET($R$3,0,0,'Données projet'!$E$9+1,1))-AVERAGE(OFFSET($H$3,0,0,'Données projet'!$E$9+1,1))</f>
        <v>719.20816951277925</v>
      </c>
      <c r="T144" s="59">
        <f t="shared" si="142"/>
        <v>237.1127421841087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69.645386992149668</v>
      </c>
      <c r="AA144" s="21">
        <f>EXP(-LN(2)/25)*AA143+(1-EXP(-LN(2)/25))/(LN(2)/25)*Calculateur!V144*Calculateur!X144*VLOOKUP('Données projet'!$B$9,Paramètres!$A$1:$I$89,3,0)*0.475*44/12</f>
        <v>28.048350094214989</v>
      </c>
      <c r="AB144" s="21">
        <f>EXP(-LN(2)/2)*AB143+(1-EXP(-LN(2)/2))/(LN(2)/2)*V144*Y144*VLOOKUP('Données projet'!$B$9,Paramètres!$A$1:$I$89,3,0)*0.475*44/12</f>
        <v>1.3040857075656132E-7</v>
      </c>
      <c r="AC144" s="22">
        <f t="shared" si="111"/>
        <v>97.693737216773215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68.791648653815415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5.6843418860808015E-14</v>
      </c>
      <c r="AJ144" s="13">
        <f>AI144*VLOOKUP('Données projet'!$B$10,Paramètres!$A$1:$I$89,3,0)*VLOOKUP('Données projet'!$B$10,Paramètres!$A$1:$I$89,5,0)</f>
        <v>4.7884896048344674E-14</v>
      </c>
      <c r="AK144" s="13">
        <f t="shared" si="143"/>
        <v>7.8374629847779921E-13</v>
      </c>
      <c r="AL144" s="20">
        <f t="shared" si="112"/>
        <v>1.4484243304663672E-12</v>
      </c>
      <c r="AM144" s="59">
        <f t="shared" si="113"/>
        <v>288.90271173065793</v>
      </c>
      <c r="AN144" s="59">
        <f ca="1">AVERAGE(OFFSET($AM$3,0,0,'Données projet'!$E$10+1,1))-AVERAGE(OFFSET($H$3,0,0,'Données projet'!$E$10+1,1))</f>
        <v>442.79037205372367</v>
      </c>
      <c r="AO144" s="59">
        <f t="shared" si="144"/>
        <v>288.23553637727969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61.170779546473554</v>
      </c>
      <c r="AV144" s="21">
        <f>EXP(-LN(2)/25)*AV143+(1-EXP(-LN(2)/25))/(LN(2)/25)*Calculateur!AQ144*Calculateur!AS144*VLOOKUP('Données projet'!$B$10,Paramètres!$A$1:$I$89,3,0)*0.475*44/12</f>
        <v>10.602368897485245</v>
      </c>
      <c r="AW144" s="21">
        <f>EXP(-LN(2)/2)*AW143+(1-EXP(-LN(2)/2))/(LN(2)/2)*AQ144*AT144*VLOOKUP('Données projet'!$B$10,Paramètres!$A$1:$I$89,3,0)*0.475*44/12</f>
        <v>4.0045702143916279E-5</v>
      </c>
      <c r="AX144" s="21">
        <f t="shared" si="114"/>
        <v>71.773188489660953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68.791648653815415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7.3375000000000012</v>
      </c>
      <c r="BD144" s="12">
        <f>IF('Données projet'!$A$88&gt;35,BD143+BC144-BL143,IF(A144&lt;'Données projet'!$A$88,$BA$205^A144,IF(A144='Données projet'!$A$88,'Données projet'!$B$88,BD143+BC144-BL143)))</f>
        <v>357.90749999999986</v>
      </c>
      <c r="BE144" s="13">
        <f>BD144*VLOOKUP('Données projet'!$B$11,Paramètres!$A$1:$I$89,3,0)*VLOOKUP('Données projet'!$B$11,Paramètres!$A$1:$I$89,5,0)</f>
        <v>362.91820499999989</v>
      </c>
      <c r="BF144" s="13">
        <f t="shared" si="145"/>
        <v>84.216866829050204</v>
      </c>
      <c r="BG144" s="20">
        <f t="shared" si="115"/>
        <v>778.76025010226238</v>
      </c>
      <c r="BH144" s="59">
        <f t="shared" si="116"/>
        <v>1067.6629618329189</v>
      </c>
      <c r="BI144" s="59">
        <f ca="1">AVERAGE(OFFSET($BH$3,0,0,'Données projet'!$E$11+1,1))-AVERAGE(OFFSET($H$3,0,0,'Données projet'!$E$11+1,1))</f>
        <v>559.91818701710872</v>
      </c>
      <c r="BJ144" s="59">
        <f t="shared" si="146"/>
        <v>273.47272623465915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24.404400889740547</v>
      </c>
      <c r="BQ144" s="21">
        <f>EXP(-LN(2)/25)*BQ143+(1-EXP(-LN(2)/25))/(LN(2)/25)*Calculateur!BL144*Calculateur!BN144*VLOOKUP('Données projet'!$B$11,Paramètres!$A$1:$I$89,3,0)*0.475*44/12</f>
        <v>18.73084413604041</v>
      </c>
      <c r="BR144" s="21">
        <f>EXP(-LN(2)/2)*BR143+(1-EXP(-LN(2)/2))/(LN(2)/2)*BL144*BO144*VLOOKUP('Données projet'!$B$11,Paramètres!$A$1:$I$89,3,0)*0.475*44/12</f>
        <v>0.21222359198178459</v>
      </c>
      <c r="BS144" s="22">
        <f t="shared" si="117"/>
        <v>43.347468617762743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68.791648653815415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-1.1368683772161603E-13</v>
      </c>
      <c r="BZ144" s="13">
        <f>BY144*VLOOKUP('Données projet'!$B$12,Paramètres!$A$1:$I$89,3,0)*VLOOKUP('Données projet'!$B$12,Paramètres!$A$1:$I$89,5,0)</f>
        <v>-8.8675733422860506E-14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208.92677786250815</v>
      </c>
      <c r="CE144" s="59">
        <f t="shared" si="148"/>
        <v>207.54290142772214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6.6231991051494123</v>
      </c>
      <c r="CL144" s="21">
        <f>EXP(-LN(2)/25)*CL143+(1-EXP(-LN(2)/25))/(LN(2)/25)*Calculateur!CG144*Calculateur!CI144*VLOOKUP('Données projet'!$B$12,Paramètres!$A$1:$I$89,3,0)*0.475*44/12</f>
        <v>3.6864677967877895</v>
      </c>
      <c r="CM144" s="21">
        <f>EXP(-LN(2)/2)*CM143+(1-EXP(-LN(2)/2))/(LN(2)/2)*CG144*CJ144*VLOOKUP('Données projet'!$B$12,Paramètres!$A$1:$I$89,3,0)*0.475*44/12</f>
        <v>5.6674133122525712E-10</v>
      </c>
      <c r="CN144" s="22">
        <f t="shared" si="120"/>
        <v>10.309666902503944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68.791648653815415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2.5579538487363607E-13</v>
      </c>
      <c r="CU144" s="17">
        <f>CT144*VLOOKUP('Données projet'!$B$13,Paramètres!$A$1:$I$89,3,0)*VLOOKUP('Données projet'!$B$13,Paramètres!$A$1:$I$89,5,0)</f>
        <v>2.4341488824575211E-13</v>
      </c>
      <c r="CV144" s="13">
        <f t="shared" si="149"/>
        <v>3.2970717324875541E-12</v>
      </c>
      <c r="CW144" s="20">
        <f t="shared" si="121"/>
        <v>6.1663475311105072E-12</v>
      </c>
      <c r="CX144" s="59">
        <f t="shared" si="122"/>
        <v>288.90271173066265</v>
      </c>
      <c r="CY144" s="59">
        <f ca="1">AVERAGE(OFFSET($CX$3,0,0,'Données projet'!$E$13+1,1))-AVERAGE(OFFSET($H$3,0,0,'Données projet'!$E$13+1,1))</f>
        <v>470.42022791389275</v>
      </c>
      <c r="CZ144" s="59">
        <f t="shared" si="150"/>
        <v>300.26117330627346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53.200172324847102</v>
      </c>
      <c r="DG144" s="21">
        <f>EXP(-LN(2)/25)*DG143+(1-EXP(-LN(2)/25))/(LN(2)/25)*Calculateur!DB144*Calculateur!DD144*VLOOKUP('Données projet'!$B$13,Paramètres!$A$1:$I$89,3,0)*0.475*44/12</f>
        <v>44.37793472974176</v>
      </c>
      <c r="DH144" s="21">
        <f>EXP(-LN(2)/2)*DH143+(1-EXP(-LN(2)/2))/(LN(2)/2)*DB144*DE144*VLOOKUP('Données projet'!$B$13,Paramètres!$A$1:$I$89,3,0)*0.475*44/12</f>
        <v>0.79220593710565423</v>
      </c>
      <c r="DI144" s="22">
        <f t="shared" si="123"/>
        <v>98.370312991694504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68.791648653815415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7.3375000000000012</v>
      </c>
      <c r="DO144" s="12">
        <f>IF('Données projet'!$A$166&gt;35,DO143+DN144-DW143,IF(A144&lt;'Données projet'!$A$166,$DL$205^A144,IF(A144='Données projet'!$A$166,'Données projet'!$B$166,DO143+DN144-DW143)))</f>
        <v>357.90749999999986</v>
      </c>
      <c r="DP144" s="17">
        <f>DO144*VLOOKUP('Données projet'!$B$14,Paramètres!$A$1:$I$89,3,0)*VLOOKUP('Données projet'!$B$14,Paramètres!$A$1:$I$89,5,0)</f>
        <v>346.1681339999999</v>
      </c>
      <c r="DQ144" s="13">
        <f t="shared" si="151"/>
        <v>80.772985420490727</v>
      </c>
      <c r="DR144" s="20">
        <f t="shared" si="124"/>
        <v>743.58911632402123</v>
      </c>
      <c r="DS144" s="59">
        <f t="shared" si="125"/>
        <v>1032.4918280546776</v>
      </c>
      <c r="DT144" s="59">
        <f ca="1">AVERAGE(OFFSET($DS$3,0,0,'Données projet'!$E$14+1,1))-AVERAGE(OFFSET($H$3,0,0,'Données projet'!$E$14+1,1))</f>
        <v>537.37164071064103</v>
      </c>
      <c r="DU144" s="59">
        <f t="shared" si="152"/>
        <v>263.29777321132235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16.627174232570489</v>
      </c>
      <c r="EB144" s="21">
        <f>EXP(-LN(2)/25)*EB143+(1-EXP(-LN(2)/25))/(LN(2)/25)*Calculateur!DW144*Calculateur!DY144*VLOOKUP('Données projet'!$B$14,Paramètres!$A$1:$I$89,3,0)*0.475*44/12</f>
        <v>15.73668300461178</v>
      </c>
      <c r="EC144" s="21">
        <f>EXP(-LN(2)/2)*EC143+(1-EXP(-LN(2)/2))/(LN(2)/2)*DW144*DZ144*VLOOKUP('Données projet'!$B$14,Paramètres!$A$1:$I$89,3,0)*0.475*44/12</f>
        <v>0.50607164046384823</v>
      </c>
      <c r="ED144" s="22">
        <f t="shared" si="126"/>
        <v>32.869928877646124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68.791648653815415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68.791648653815415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68.791648653815415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68.791648653815415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45">
      <c r="A145" s="10">
        <f t="shared" si="139"/>
        <v>142</v>
      </c>
      <c r="B145" s="73">
        <f>'Scénario référence'!$B$16*5+'Scénario référence'!$B$17*0+'Scénario référence'!$B$18*5</f>
        <v>2.8499999999999996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10.449999999999998</v>
      </c>
      <c r="H145" s="67">
        <f t="shared" si="110"/>
        <v>214.86666666666667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68.812610848202809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10.875</v>
      </c>
      <c r="N145" s="13">
        <f>IF('Données projet'!$A$36&gt;35,N144+M145-V144,IF(A145&lt;'Données projet'!$A$36,$K$205^A145,IF(A145='Données projet'!$A$36,'Données projet'!$B$36,N144+M145-V144)))</f>
        <v>586.13000000000045</v>
      </c>
      <c r="O145" s="13">
        <f>N145*VLOOKUP('Données projet'!$B$9,Paramètres!$A$1:$I$89,3,0)*VLOOKUP('Données projet'!$B$9,Paramètres!$A$1:$I$89,5,0)</f>
        <v>530.33042400000033</v>
      </c>
      <c r="P145" s="13">
        <f t="shared" si="141"/>
        <v>117.75012850750038</v>
      </c>
      <c r="Q145" s="20">
        <f t="shared" si="108"/>
        <v>1128.7402956172302</v>
      </c>
      <c r="R145" s="59">
        <f t="shared" si="109"/>
        <v>1417.7198687273071</v>
      </c>
      <c r="S145" s="59">
        <f ca="1">AVERAGE(OFFSET($R$3,0,0,'Données projet'!$E$9+1,1))-AVERAGE(OFFSET($H$3,0,0,'Données projet'!$E$9+1,1))</f>
        <v>719.20816951277925</v>
      </c>
      <c r="T145" s="59">
        <f t="shared" si="142"/>
        <v>237.1127421841087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68.279683432725179</v>
      </c>
      <c r="AA145" s="21">
        <f>EXP(-LN(2)/25)*AA144+(1-EXP(-LN(2)/25))/(LN(2)/25)*Calculateur!V145*Calculateur!X145*VLOOKUP('Données projet'!$B$9,Paramètres!$A$1:$I$89,3,0)*0.475*44/12</f>
        <v>27.281366485890054</v>
      </c>
      <c r="AB145" s="21">
        <f>EXP(-LN(2)/2)*AB144+(1-EXP(-LN(2)/2))/(LN(2)/2)*V145*Y145*VLOOKUP('Données projet'!$B$9,Paramètres!$A$1:$I$89,3,0)*0.475*44/12</f>
        <v>9.2212784706810207E-8</v>
      </c>
      <c r="AC145" s="22">
        <f t="shared" si="111"/>
        <v>95.561050010828012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68.812610848202809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5.6843418860808015E-14</v>
      </c>
      <c r="AJ145" s="13">
        <f>AI145*VLOOKUP('Données projet'!$B$10,Paramètres!$A$1:$I$89,3,0)*VLOOKUP('Données projet'!$B$10,Paramètres!$A$1:$I$89,5,0)</f>
        <v>4.7884896048344674E-14</v>
      </c>
      <c r="AK145" s="13">
        <f t="shared" si="143"/>
        <v>7.8374629847779921E-13</v>
      </c>
      <c r="AL145" s="20">
        <f t="shared" si="112"/>
        <v>1.4484243304663672E-12</v>
      </c>
      <c r="AM145" s="59">
        <f t="shared" si="113"/>
        <v>288.97957311007838</v>
      </c>
      <c r="AN145" s="59">
        <f ca="1">AVERAGE(OFFSET($AM$3,0,0,'Données projet'!$E$10+1,1))-AVERAGE(OFFSET($H$3,0,0,'Données projet'!$E$10+1,1))</f>
        <v>442.79037205372367</v>
      </c>
      <c r="AO145" s="59">
        <f t="shared" si="144"/>
        <v>288.23553637727969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59.971257870058629</v>
      </c>
      <c r="AV145" s="21">
        <f>EXP(-LN(2)/25)*AV144+(1-EXP(-LN(2)/25))/(LN(2)/25)*Calculateur!AQ145*Calculateur!AS145*VLOOKUP('Données projet'!$B$10,Paramètres!$A$1:$I$89,3,0)*0.475*44/12</f>
        <v>10.312446562429162</v>
      </c>
      <c r="AW145" s="21">
        <f>EXP(-LN(2)/2)*AW144+(1-EXP(-LN(2)/2))/(LN(2)/2)*AQ145*AT145*VLOOKUP('Données projet'!$B$10,Paramètres!$A$1:$I$89,3,0)*0.475*44/12</f>
        <v>2.8316587543339866E-5</v>
      </c>
      <c r="AX145" s="21">
        <f t="shared" si="114"/>
        <v>70.283732749075341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68.812610848202809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7.3375000000000012</v>
      </c>
      <c r="BD145" s="12">
        <f>IF('Données projet'!$A$88&gt;35,BD144+BC145-BL144,IF(A145&lt;'Données projet'!$A$88,$BA$205^A145,IF(A145='Données projet'!$A$88,'Données projet'!$B$88,BD144+BC145-BL144)))</f>
        <v>365.24499999999983</v>
      </c>
      <c r="BE145" s="13">
        <f>BD145*VLOOKUP('Données projet'!$B$11,Paramètres!$A$1:$I$89,3,0)*VLOOKUP('Données projet'!$B$11,Paramètres!$A$1:$I$89,5,0)</f>
        <v>370.35842999999988</v>
      </c>
      <c r="BF145" s="13">
        <f t="shared" si="145"/>
        <v>85.740630179938449</v>
      </c>
      <c r="BG145" s="20">
        <f t="shared" si="115"/>
        <v>794.37252981339236</v>
      </c>
      <c r="BH145" s="59">
        <f t="shared" si="116"/>
        <v>1083.3521029234694</v>
      </c>
      <c r="BI145" s="59">
        <f ca="1">AVERAGE(OFFSET($BH$3,0,0,'Données projet'!$E$11+1,1))-AVERAGE(OFFSET($H$3,0,0,'Données projet'!$E$11+1,1))</f>
        <v>559.91818701710872</v>
      </c>
      <c r="BJ145" s="59">
        <f t="shared" si="146"/>
        <v>273.47272623465915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23.925845473507486</v>
      </c>
      <c r="BQ145" s="21">
        <f>EXP(-LN(2)/25)*BQ144+(1-EXP(-LN(2)/25))/(LN(2)/25)*Calculateur!BL145*Calculateur!BN145*VLOOKUP('Données projet'!$B$11,Paramètres!$A$1:$I$89,3,0)*0.475*44/12</f>
        <v>18.218648218128102</v>
      </c>
      <c r="BR145" s="21">
        <f>EXP(-LN(2)/2)*BR144+(1-EXP(-LN(2)/2))/(LN(2)/2)*BL145*BO145*VLOOKUP('Données projet'!$B$11,Paramètres!$A$1:$I$89,3,0)*0.475*44/12</f>
        <v>0.15006474101808689</v>
      </c>
      <c r="BS145" s="22">
        <f t="shared" si="117"/>
        <v>42.294558432653673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68.812610848202809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-1.1368683772161603E-13</v>
      </c>
      <c r="BZ145" s="13">
        <f>BY145*VLOOKUP('Données projet'!$B$12,Paramètres!$A$1:$I$89,3,0)*VLOOKUP('Données projet'!$B$12,Paramètres!$A$1:$I$89,5,0)</f>
        <v>-8.8675733422860506E-14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208.92677786250815</v>
      </c>
      <c r="CE145" s="59">
        <f t="shared" si="148"/>
        <v>207.54290142772214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6.4933222104499944</v>
      </c>
      <c r="CL145" s="21">
        <f>EXP(-LN(2)/25)*CL144+(1-EXP(-LN(2)/25))/(LN(2)/25)*Calculateur!CG145*Calculateur!CI145*VLOOKUP('Données projet'!$B$12,Paramètres!$A$1:$I$89,3,0)*0.475*44/12</f>
        <v>3.5856611410217116</v>
      </c>
      <c r="CM145" s="21">
        <f>EXP(-LN(2)/2)*CM144+(1-EXP(-LN(2)/2))/(LN(2)/2)*CG145*CJ145*VLOOKUP('Données projet'!$B$12,Paramètres!$A$1:$I$89,3,0)*0.475*44/12</f>
        <v>4.0074663848807055E-10</v>
      </c>
      <c r="CN145" s="22">
        <f t="shared" si="120"/>
        <v>10.078983351872452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68.812610848202809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2.5579538487363607E-13</v>
      </c>
      <c r="CU145" s="17">
        <f>CT145*VLOOKUP('Données projet'!$B$13,Paramètres!$A$1:$I$89,3,0)*VLOOKUP('Données projet'!$B$13,Paramètres!$A$1:$I$89,5,0)</f>
        <v>2.4341488824575211E-13</v>
      </c>
      <c r="CV145" s="13">
        <f t="shared" si="149"/>
        <v>3.2970717324875541E-12</v>
      </c>
      <c r="CW145" s="20">
        <f t="shared" si="121"/>
        <v>6.1663475311105072E-12</v>
      </c>
      <c r="CX145" s="59">
        <f t="shared" si="122"/>
        <v>288.97957311008309</v>
      </c>
      <c r="CY145" s="59">
        <f ca="1">AVERAGE(OFFSET($CX$3,0,0,'Données projet'!$E$13+1,1))-AVERAGE(OFFSET($H$3,0,0,'Données projet'!$E$13+1,1))</f>
        <v>470.42022791389275</v>
      </c>
      <c r="CZ145" s="59">
        <f t="shared" si="150"/>
        <v>300.26117330627346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52.156949394457904</v>
      </c>
      <c r="DG145" s="21">
        <f>EXP(-LN(2)/25)*DG144+(1-EXP(-LN(2)/25))/(LN(2)/25)*Calculateur!DB145*Calculateur!DD145*VLOOKUP('Données projet'!$B$13,Paramètres!$A$1:$I$89,3,0)*0.475*44/12</f>
        <v>43.164417770822809</v>
      </c>
      <c r="DH145" s="21">
        <f>EXP(-LN(2)/2)*DH144+(1-EXP(-LN(2)/2))/(LN(2)/2)*DB145*DE145*VLOOKUP('Données projet'!$B$13,Paramètres!$A$1:$I$89,3,0)*0.475*44/12</f>
        <v>0.56017419022365167</v>
      </c>
      <c r="DI145" s="22">
        <f t="shared" si="123"/>
        <v>95.881541355504368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68.812610848202809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7.3375000000000012</v>
      </c>
      <c r="DO145" s="12">
        <f>IF('Données projet'!$A$166&gt;35,DO144+DN145-DW144,IF(A145&lt;'Données projet'!$A$166,$DL$205^A145,IF(A145='Données projet'!$A$166,'Données projet'!$B$166,DO144+DN145-DW144)))</f>
        <v>365.24499999999983</v>
      </c>
      <c r="DP145" s="17">
        <f>DO145*VLOOKUP('Données projet'!$B$14,Paramètres!$A$1:$I$89,3,0)*VLOOKUP('Données projet'!$B$14,Paramètres!$A$1:$I$89,5,0)</f>
        <v>353.26496399999985</v>
      </c>
      <c r="DQ145" s="13">
        <f t="shared" si="151"/>
        <v>82.234437497251108</v>
      </c>
      <c r="DR145" s="20">
        <f t="shared" si="124"/>
        <v>758.49479094104538</v>
      </c>
      <c r="DS145" s="59">
        <f t="shared" si="125"/>
        <v>1047.4743640511224</v>
      </c>
      <c r="DT145" s="59">
        <f ca="1">AVERAGE(OFFSET($DS$3,0,0,'Données projet'!$E$14+1,1))-AVERAGE(OFFSET($H$3,0,0,'Données projet'!$E$14+1,1))</f>
        <v>537.37164071064103</v>
      </c>
      <c r="DU145" s="59">
        <f t="shared" si="152"/>
        <v>263.29777321132235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16.301125487444665</v>
      </c>
      <c r="EB145" s="21">
        <f>EXP(-LN(2)/25)*EB144+(1-EXP(-LN(2)/25))/(LN(2)/25)*Calculateur!DW145*Calculateur!DY145*VLOOKUP('Données projet'!$B$14,Paramètres!$A$1:$I$89,3,0)*0.475*44/12</f>
        <v>15.306362580294479</v>
      </c>
      <c r="EC145" s="21">
        <f>EXP(-LN(2)/2)*EC144+(1-EXP(-LN(2)/2))/(LN(2)/2)*DW145*DZ145*VLOOKUP('Données projet'!$B$14,Paramètres!$A$1:$I$89,3,0)*0.475*44/12</f>
        <v>0.35784668873818748</v>
      </c>
      <c r="ED145" s="22">
        <f t="shared" si="126"/>
        <v>31.965334756477333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68.812610848202809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68.812610848202809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68.812610848202809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68.812610848202809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45">
      <c r="A146" s="10">
        <f t="shared" si="139"/>
        <v>143</v>
      </c>
      <c r="B146" s="73">
        <f>'Scénario référence'!$B$16*5+'Scénario référence'!$B$17*0+'Scénario référence'!$B$18*5</f>
        <v>2.8499999999999996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10.449999999999998</v>
      </c>
      <c r="H146" s="67">
        <f t="shared" si="110"/>
        <v>214.86666666666667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68.833209395382042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10.875</v>
      </c>
      <c r="N146" s="13">
        <f>IF('Données projet'!$A$36&gt;35,N145+M146-V145,IF(A146&lt;'Données projet'!$A$36,$K$205^A146,IF(A146='Données projet'!$A$36,'Données projet'!$B$36,N145+M146-V145)))</f>
        <v>597.00500000000045</v>
      </c>
      <c r="O146" s="13">
        <f>N146*VLOOKUP('Données projet'!$B$9,Paramètres!$A$1:$I$89,3,0)*VLOOKUP('Données projet'!$B$9,Paramètres!$A$1:$I$89,5,0)</f>
        <v>540.17012400000033</v>
      </c>
      <c r="P146" s="13">
        <f t="shared" si="141"/>
        <v>119.67848090157619</v>
      </c>
      <c r="Q146" s="20">
        <f t="shared" si="108"/>
        <v>1149.2363202035792</v>
      </c>
      <c r="R146" s="59">
        <f t="shared" si="109"/>
        <v>1438.2914213199801</v>
      </c>
      <c r="S146" s="59">
        <f ca="1">AVERAGE(OFFSET($R$3,0,0,'Données projet'!$E$9+1,1))-AVERAGE(OFFSET($H$3,0,0,'Données projet'!$E$9+1,1))</f>
        <v>719.20816951277925</v>
      </c>
      <c r="T146" s="59">
        <f t="shared" si="142"/>
        <v>237.1127421841087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66.940760487104086</v>
      </c>
      <c r="AA146" s="21">
        <f>EXP(-LN(2)/25)*AA145+(1-EXP(-LN(2)/25))/(LN(2)/25)*Calculateur!V146*Calculateur!X146*VLOOKUP('Données projet'!$B$9,Paramètres!$A$1:$I$89,3,0)*0.475*44/12</f>
        <v>26.535356084668678</v>
      </c>
      <c r="AB146" s="21">
        <f>EXP(-LN(2)/2)*AB145+(1-EXP(-LN(2)/2))/(LN(2)/2)*V146*Y146*VLOOKUP('Données projet'!$B$9,Paramètres!$A$1:$I$89,3,0)*0.475*44/12</f>
        <v>6.520428537828066E-8</v>
      </c>
      <c r="AC146" s="22">
        <f t="shared" si="111"/>
        <v>93.476116636977054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68.833209395382042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5.6843418860808015E-14</v>
      </c>
      <c r="AJ146" s="13">
        <f>AI146*VLOOKUP('Données projet'!$B$10,Paramètres!$A$1:$I$89,3,0)*VLOOKUP('Données projet'!$B$10,Paramètres!$A$1:$I$89,5,0)</f>
        <v>4.7884896048344674E-14</v>
      </c>
      <c r="AK146" s="13">
        <f t="shared" si="143"/>
        <v>7.8374629847779921E-13</v>
      </c>
      <c r="AL146" s="20">
        <f t="shared" si="112"/>
        <v>1.4484243304663672E-12</v>
      </c>
      <c r="AM146" s="59">
        <f t="shared" si="113"/>
        <v>289.05510111640223</v>
      </c>
      <c r="AN146" s="59">
        <f ca="1">AVERAGE(OFFSET($AM$3,0,0,'Données projet'!$E$10+1,1))-AVERAGE(OFFSET($H$3,0,0,'Données projet'!$E$10+1,1))</f>
        <v>442.79037205372367</v>
      </c>
      <c r="AO146" s="59">
        <f t="shared" si="144"/>
        <v>288.23553637727969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58.795258082082221</v>
      </c>
      <c r="AV146" s="21">
        <f>EXP(-LN(2)/25)*AV145+(1-EXP(-LN(2)/25))/(LN(2)/25)*Calculateur!AQ146*Calculateur!AS146*VLOOKUP('Données projet'!$B$10,Paramètres!$A$1:$I$89,3,0)*0.475*44/12</f>
        <v>10.030452168871541</v>
      </c>
      <c r="AW146" s="21">
        <f>EXP(-LN(2)/2)*AW145+(1-EXP(-LN(2)/2))/(LN(2)/2)*AQ146*AT146*VLOOKUP('Données projet'!$B$10,Paramètres!$A$1:$I$89,3,0)*0.475*44/12</f>
        <v>2.0022851071958139E-5</v>
      </c>
      <c r="AX146" s="21">
        <f t="shared" si="114"/>
        <v>68.825730273804837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68.833209395382042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7.3375000000000012</v>
      </c>
      <c r="BD146" s="12">
        <f>IF('Données projet'!$A$88&gt;35,BD145+BC146-BL145,IF(A146&lt;'Données projet'!$A$88,$BA$205^A146,IF(A146='Données projet'!$A$88,'Données projet'!$B$88,BD145+BC146-BL145)))</f>
        <v>372.58249999999981</v>
      </c>
      <c r="BE146" s="13">
        <f>BD146*VLOOKUP('Données projet'!$B$11,Paramètres!$A$1:$I$89,3,0)*VLOOKUP('Données projet'!$B$11,Paramètres!$A$1:$I$89,5,0)</f>
        <v>377.79865499999983</v>
      </c>
      <c r="BF146" s="13">
        <f t="shared" si="145"/>
        <v>87.260834288615982</v>
      </c>
      <c r="BG146" s="20">
        <f t="shared" si="115"/>
        <v>809.97861051100574</v>
      </c>
      <c r="BH146" s="59">
        <f t="shared" si="116"/>
        <v>1099.0337116274065</v>
      </c>
      <c r="BI146" s="59">
        <f ca="1">AVERAGE(OFFSET($BH$3,0,0,'Données projet'!$E$11+1,1))-AVERAGE(OFFSET($H$3,0,0,'Données projet'!$E$11+1,1))</f>
        <v>559.91818701710872</v>
      </c>
      <c r="BJ146" s="59">
        <f t="shared" si="146"/>
        <v>273.47272623465915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23.456674237096774</v>
      </c>
      <c r="BQ146" s="21">
        <f>EXP(-LN(2)/25)*BQ145+(1-EXP(-LN(2)/25))/(LN(2)/25)*Calculateur!BL146*Calculateur!BN146*VLOOKUP('Données projet'!$B$11,Paramètres!$A$1:$I$89,3,0)*0.475*44/12</f>
        <v>17.720458324526319</v>
      </c>
      <c r="BR146" s="21">
        <f>EXP(-LN(2)/2)*BR145+(1-EXP(-LN(2)/2))/(LN(2)/2)*BL146*BO146*VLOOKUP('Données projet'!$B$11,Paramètres!$A$1:$I$89,3,0)*0.475*44/12</f>
        <v>0.10611179599089229</v>
      </c>
      <c r="BS146" s="22">
        <f t="shared" si="117"/>
        <v>41.283244357613988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68.833209395382042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-1.1368683772161603E-13</v>
      </c>
      <c r="BZ146" s="13">
        <f>BY146*VLOOKUP('Données projet'!$B$12,Paramètres!$A$1:$I$89,3,0)*VLOOKUP('Données projet'!$B$12,Paramètres!$A$1:$I$89,5,0)</f>
        <v>-8.8675733422860506E-14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208.92677786250815</v>
      </c>
      <c r="CE146" s="59">
        <f t="shared" si="148"/>
        <v>207.54290142772214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6.3659921224385476</v>
      </c>
      <c r="CL146" s="21">
        <f>EXP(-LN(2)/25)*CL145+(1-EXP(-LN(2)/25))/(LN(2)/25)*Calculateur!CG146*Calculateur!CI146*VLOOKUP('Données projet'!$B$12,Paramètres!$A$1:$I$89,3,0)*0.475*44/12</f>
        <v>3.4876110485587488</v>
      </c>
      <c r="CM146" s="21">
        <f>EXP(-LN(2)/2)*CM145+(1-EXP(-LN(2)/2))/(LN(2)/2)*CG146*CJ146*VLOOKUP('Données projet'!$B$12,Paramètres!$A$1:$I$89,3,0)*0.475*44/12</f>
        <v>2.8337066561262856E-10</v>
      </c>
      <c r="CN146" s="22">
        <f t="shared" si="120"/>
        <v>9.8536031712806675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68.833209395382042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2.5579538487363607E-13</v>
      </c>
      <c r="CU146" s="17">
        <f>CT146*VLOOKUP('Données projet'!$B$13,Paramètres!$A$1:$I$89,3,0)*VLOOKUP('Données projet'!$B$13,Paramètres!$A$1:$I$89,5,0)</f>
        <v>2.4341488824575211E-13</v>
      </c>
      <c r="CV146" s="13">
        <f t="shared" si="149"/>
        <v>3.2970717324875541E-12</v>
      </c>
      <c r="CW146" s="20">
        <f t="shared" si="121"/>
        <v>6.1663475311105072E-12</v>
      </c>
      <c r="CX146" s="59">
        <f t="shared" si="122"/>
        <v>289.05510111640695</v>
      </c>
      <c r="CY146" s="59">
        <f ca="1">AVERAGE(OFFSET($CX$3,0,0,'Données projet'!$E$13+1,1))-AVERAGE(OFFSET($H$3,0,0,'Données projet'!$E$13+1,1))</f>
        <v>470.42022791389275</v>
      </c>
      <c r="CZ146" s="59">
        <f t="shared" si="150"/>
        <v>300.26117330627346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51.134183429430479</v>
      </c>
      <c r="DG146" s="21">
        <f>EXP(-LN(2)/25)*DG145+(1-EXP(-LN(2)/25))/(LN(2)/25)*Calculateur!DB146*Calculateur!DD146*VLOOKUP('Données projet'!$B$13,Paramètres!$A$1:$I$89,3,0)*0.475*44/12</f>
        <v>41.984084496961579</v>
      </c>
      <c r="DH146" s="21">
        <f>EXP(-LN(2)/2)*DH145+(1-EXP(-LN(2)/2))/(LN(2)/2)*DB146*DE146*VLOOKUP('Données projet'!$B$13,Paramètres!$A$1:$I$89,3,0)*0.475*44/12</f>
        <v>0.39610296855282712</v>
      </c>
      <c r="DI146" s="22">
        <f t="shared" si="123"/>
        <v>93.514370894944889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68.833209395382042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7.3375000000000012</v>
      </c>
      <c r="DO146" s="12">
        <f>IF('Données projet'!$A$166&gt;35,DO145+DN146-DW145,IF(A146&lt;'Données projet'!$A$166,$DL$205^A146,IF(A146='Données projet'!$A$166,'Données projet'!$B$166,DO145+DN146-DW145)))</f>
        <v>372.58249999999981</v>
      </c>
      <c r="DP146" s="17">
        <f>DO146*VLOOKUP('Données projet'!$B$14,Paramètres!$A$1:$I$89,3,0)*VLOOKUP('Données projet'!$B$14,Paramètres!$A$1:$I$89,5,0)</f>
        <v>360.3617939999998</v>
      </c>
      <c r="DQ146" s="13">
        <f t="shared" si="151"/>
        <v>83.69247587993793</v>
      </c>
      <c r="DR146" s="20">
        <f t="shared" si="124"/>
        <v>773.39452004089162</v>
      </c>
      <c r="DS146" s="59">
        <f t="shared" si="125"/>
        <v>1062.4496211572923</v>
      </c>
      <c r="DT146" s="59">
        <f ca="1">AVERAGE(OFFSET($DS$3,0,0,'Données projet'!$E$14+1,1))-AVERAGE(OFFSET($H$3,0,0,'Données projet'!$E$14+1,1))</f>
        <v>537.37164071064103</v>
      </c>
      <c r="DU146" s="59">
        <f t="shared" si="152"/>
        <v>263.29777321132235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15.981470359340662</v>
      </c>
      <c r="EB146" s="21">
        <f>EXP(-LN(2)/25)*EB145+(1-EXP(-LN(2)/25))/(LN(2)/25)*Calculateur!DW146*Calculateur!DY146*VLOOKUP('Données projet'!$B$14,Paramètres!$A$1:$I$89,3,0)*0.475*44/12</f>
        <v>14.887809290609702</v>
      </c>
      <c r="EC146" s="21">
        <f>EXP(-LN(2)/2)*EC145+(1-EXP(-LN(2)/2))/(LN(2)/2)*DW146*DZ146*VLOOKUP('Données projet'!$B$14,Paramètres!$A$1:$I$89,3,0)*0.475*44/12</f>
        <v>0.25303582023192411</v>
      </c>
      <c r="ED146" s="22">
        <f t="shared" si="126"/>
        <v>31.12231547018229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68.833209395382042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68.833209395382042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68.833209395382042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68.833209395382042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45">
      <c r="A147" s="10">
        <f t="shared" si="139"/>
        <v>144</v>
      </c>
      <c r="B147" s="73">
        <f>'Scénario référence'!$B$16*5+'Scénario référence'!$B$17*0+'Scénario référence'!$B$18*5</f>
        <v>2.8499999999999996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10.449999999999998</v>
      </c>
      <c r="H147" s="67">
        <f t="shared" si="110"/>
        <v>214.86666666666667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68.853450603819155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10.875</v>
      </c>
      <c r="N147" s="13">
        <f>IF('Données projet'!$A$36&gt;35,N146+M147-V146,IF(A147&lt;'Données projet'!$A$36,$K$205^A147,IF(A147='Données projet'!$A$36,'Données projet'!$B$36,N146+M147-V146)))</f>
        <v>607.88000000000045</v>
      </c>
      <c r="O147" s="13">
        <f>N147*VLOOKUP('Données projet'!$B$9,Paramètres!$A$1:$I$89,3,0)*VLOOKUP('Données projet'!$B$9,Paramètres!$A$1:$I$89,5,0)</f>
        <v>550.00982400000044</v>
      </c>
      <c r="P147" s="13">
        <f t="shared" si="141"/>
        <v>121.60274863739461</v>
      </c>
      <c r="Q147" s="20">
        <f t="shared" si="108"/>
        <v>1169.7252306767962</v>
      </c>
      <c r="R147" s="59">
        <f t="shared" si="109"/>
        <v>1458.8545495574665</v>
      </c>
      <c r="S147" s="59">
        <f ca="1">AVERAGE(OFFSET($R$3,0,0,'Données projet'!$E$9+1,1))-AVERAGE(OFFSET($H$3,0,0,'Données projet'!$E$9+1,1))</f>
        <v>719.20816951277925</v>
      </c>
      <c r="T147" s="59">
        <f t="shared" si="142"/>
        <v>237.1127421841087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65.628093003784258</v>
      </c>
      <c r="AA147" s="21">
        <f>EXP(-LN(2)/25)*AA146+(1-EXP(-LN(2)/25))/(LN(2)/25)*Calculateur!V147*Calculateur!X147*VLOOKUP('Données projet'!$B$9,Paramètres!$A$1:$I$89,3,0)*0.475*44/12</f>
        <v>25.809745377099684</v>
      </c>
      <c r="AB147" s="21">
        <f>EXP(-LN(2)/2)*AB146+(1-EXP(-LN(2)/2))/(LN(2)/2)*V147*Y147*VLOOKUP('Données projet'!$B$9,Paramètres!$A$1:$I$89,3,0)*0.475*44/12</f>
        <v>4.6106392353405103E-8</v>
      </c>
      <c r="AC147" s="22">
        <f t="shared" si="111"/>
        <v>91.437838426990339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68.853450603819155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5.6843418860808015E-14</v>
      </c>
      <c r="AJ147" s="13">
        <f>AI147*VLOOKUP('Données projet'!$B$10,Paramètres!$A$1:$I$89,3,0)*VLOOKUP('Données projet'!$B$10,Paramètres!$A$1:$I$89,5,0)</f>
        <v>4.7884896048344674E-14</v>
      </c>
      <c r="AK147" s="13">
        <f t="shared" si="143"/>
        <v>7.8374629847779921E-13</v>
      </c>
      <c r="AL147" s="20">
        <f t="shared" si="112"/>
        <v>1.4484243304663672E-12</v>
      </c>
      <c r="AM147" s="59">
        <f t="shared" si="113"/>
        <v>289.12931888067169</v>
      </c>
      <c r="AN147" s="59">
        <f ca="1">AVERAGE(OFFSET($AM$3,0,0,'Données projet'!$E$10+1,1))-AVERAGE(OFFSET($H$3,0,0,'Données projet'!$E$10+1,1))</f>
        <v>442.79037205372367</v>
      </c>
      <c r="AO147" s="59">
        <f t="shared" si="144"/>
        <v>288.23553637727969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57.642318932658981</v>
      </c>
      <c r="AV147" s="21">
        <f>EXP(-LN(2)/25)*AV146+(1-EXP(-LN(2)/25))/(LN(2)/25)*Calculateur!AQ147*Calculateur!AS147*VLOOKUP('Données projet'!$B$10,Paramètres!$A$1:$I$89,3,0)*0.475*44/12</f>
        <v>9.7561689268351941</v>
      </c>
      <c r="AW147" s="21">
        <f>EXP(-LN(2)/2)*AW146+(1-EXP(-LN(2)/2))/(LN(2)/2)*AQ147*AT147*VLOOKUP('Données projet'!$B$10,Paramètres!$A$1:$I$89,3,0)*0.475*44/12</f>
        <v>1.4158293771669933E-5</v>
      </c>
      <c r="AX147" s="21">
        <f t="shared" si="114"/>
        <v>67.398502017787933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68.853450603819155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>
        <f>VLOOKUP(A147,'Données projet'!$A$87:$I$107,2,0)</f>
        <v>379.92</v>
      </c>
      <c r="BB147" s="12">
        <f>VLOOKUP(A147,'Données projet'!$A$87:$I$107,9,0)</f>
        <v>7.3375000000000012</v>
      </c>
      <c r="BC147" s="12">
        <f t="array" ref="BC147">INDEX(BB:BB,MIN(IF(ISNUMBER(BB147:BB343),ROW(BB147:BB343),"")))</f>
        <v>7.3375000000000012</v>
      </c>
      <c r="BD147" s="12">
        <f>IF('Données projet'!$A$88&gt;35,BD146+BC147-BL146,IF(A147&lt;'Données projet'!$A$88,$BA$205^A147,IF(A147='Données projet'!$A$88,'Données projet'!$B$88,BD146+BC147-BL146)))</f>
        <v>379.91999999999979</v>
      </c>
      <c r="BE147" s="13">
        <f>BD147*VLOOKUP('Données projet'!$B$11,Paramètres!$A$1:$I$89,3,0)*VLOOKUP('Données projet'!$B$11,Paramètres!$A$1:$I$89,5,0)</f>
        <v>385.23887999999982</v>
      </c>
      <c r="BF147" s="13">
        <f t="shared" si="145"/>
        <v>88.777557329023793</v>
      </c>
      <c r="BG147" s="20">
        <f t="shared" si="115"/>
        <v>825.57862834804939</v>
      </c>
      <c r="BH147" s="59">
        <f t="shared" si="116"/>
        <v>1114.7079472287196</v>
      </c>
      <c r="BI147" s="59">
        <f ca="1">AVERAGE(OFFSET($BH$3,0,0,'Données projet'!$E$11+1,1))-AVERAGE(OFFSET($H$3,0,0,'Données projet'!$E$11+1,1))</f>
        <v>559.91818701710872</v>
      </c>
      <c r="BJ147" s="59">
        <f t="shared" si="146"/>
        <v>273.47272623465915</v>
      </c>
      <c r="BK147" s="15">
        <f>IF(ISNA(VLOOKUP(A147,'Données projet'!$A$87:$I$107,3,0)),0,VLOOKUP(A147,'Données projet'!$A$87:$I$107,3,0))</f>
        <v>10</v>
      </c>
      <c r="BL147" s="15">
        <f>IF(ISNA(VLOOKUP(A147,'Données projet'!$A$87:$I$107,4,0)),0,VLOOKUP(A147,'Données projet'!$A$87:$I$107,4,0))</f>
        <v>60.949999999999989</v>
      </c>
      <c r="BM147" s="16">
        <f>IF(ISNA(VLOOKUP(A147,'Données projet'!$A$87:$I$107,5,0)),0%,VLOOKUP(A147,'Données projet'!$A$87:$I$107,5,0)*VLOOKUP('Données projet'!$B$11,Paramètres!$A$1:$I$89,7,0))</f>
        <v>0.15049999999999999</v>
      </c>
      <c r="BN147" s="16">
        <f>IF(ISNA(VLOOKUP(A147,'Données projet'!$A$87:$I$107,6,0)),0%,VLOOKUP(A147,'Données projet'!$A$87:$I$107,6,0)*VLOOKUP('Données projet'!$B$11,Paramètres!$A$1:$I$89,7,0))</f>
        <v>8.6000000000000007E-2</v>
      </c>
      <c r="BO147" s="16">
        <f>IF(ISNA(VLOOKUP(A147,'Données projet'!$A$87:$I$107,7,0)),0%,VLOOKUP(A147,'Données projet'!$A$87:$I$107,7,0))</f>
        <v>0.1</v>
      </c>
      <c r="BP147" s="21">
        <f>EXP(-LN(2)/35)*BP146+(1-EXP(-LN(2)/35))/(LN(2)/35)*BL147*BM147*VLOOKUP('Données projet'!$B$11,Paramètres!$A$1:$I$89,3,0)*0.475*44/12</f>
        <v>33.279121647327884</v>
      </c>
      <c r="BQ147" s="21">
        <f>EXP(-LN(2)/25)*BQ146+(1-EXP(-LN(2)/25))/(LN(2)/25)*Calculateur!BL147*Calculateur!BN147*VLOOKUP('Données projet'!$B$11,Paramètres!$A$1:$I$89,3,0)*0.475*44/12</f>
        <v>23.088424422837178</v>
      </c>
      <c r="BR147" s="21">
        <f>EXP(-LN(2)/2)*BR146+(1-EXP(-LN(2)/2))/(LN(2)/2)*BL147*BO147*VLOOKUP('Données projet'!$B$11,Paramètres!$A$1:$I$89,3,0)*0.475*44/12</f>
        <v>5.9063400666521613</v>
      </c>
      <c r="BS147" s="22">
        <f t="shared" si="117"/>
        <v>62.273886136817225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68.853450603819155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-1.1368683772161603E-13</v>
      </c>
      <c r="BZ147" s="13">
        <f>BY147*VLOOKUP('Données projet'!$B$12,Paramètres!$A$1:$I$89,3,0)*VLOOKUP('Données projet'!$B$12,Paramètres!$A$1:$I$89,5,0)</f>
        <v>-8.8675733422860506E-14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208.92677786250815</v>
      </c>
      <c r="CE147" s="59">
        <f t="shared" si="148"/>
        <v>207.54290142772214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6.2411588997893208</v>
      </c>
      <c r="CL147" s="21">
        <f>EXP(-LN(2)/25)*CL146+(1-EXP(-LN(2)/25))/(LN(2)/25)*Calculateur!CG147*Calculateur!CI147*VLOOKUP('Données projet'!$B$12,Paramètres!$A$1:$I$89,3,0)*0.475*44/12</f>
        <v>3.3922421410304158</v>
      </c>
      <c r="CM147" s="21">
        <f>EXP(-LN(2)/2)*CM146+(1-EXP(-LN(2)/2))/(LN(2)/2)*CG147*CJ147*VLOOKUP('Données projet'!$B$12,Paramètres!$A$1:$I$89,3,0)*0.475*44/12</f>
        <v>2.0037331924403528E-10</v>
      </c>
      <c r="CN147" s="22">
        <f t="shared" si="120"/>
        <v>9.6334010410201092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68.853450603819155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2.5579538487363607E-13</v>
      </c>
      <c r="CU147" s="17">
        <f>CT147*VLOOKUP('Données projet'!$B$13,Paramètres!$A$1:$I$89,3,0)*VLOOKUP('Données projet'!$B$13,Paramètres!$A$1:$I$89,5,0)</f>
        <v>2.4341488824575211E-13</v>
      </c>
      <c r="CV147" s="13">
        <f t="shared" si="149"/>
        <v>3.2970717324875541E-12</v>
      </c>
      <c r="CW147" s="20">
        <f t="shared" si="121"/>
        <v>6.1663475311105072E-12</v>
      </c>
      <c r="CX147" s="59">
        <f t="shared" si="122"/>
        <v>289.12931888067641</v>
      </c>
      <c r="CY147" s="59">
        <f ca="1">AVERAGE(OFFSET($CX$3,0,0,'Données projet'!$E$13+1,1))-AVERAGE(OFFSET($H$3,0,0,'Données projet'!$E$13+1,1))</f>
        <v>470.42022791389275</v>
      </c>
      <c r="CZ147" s="59">
        <f t="shared" si="150"/>
        <v>300.26117330627346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50.131473281151607</v>
      </c>
      <c r="DG147" s="21">
        <f>EXP(-LN(2)/25)*DG146+(1-EXP(-LN(2)/25))/(LN(2)/25)*Calculateur!DB147*Calculateur!DD147*VLOOKUP('Données projet'!$B$13,Paramètres!$A$1:$I$89,3,0)*0.475*44/12</f>
        <v>40.836027498545114</v>
      </c>
      <c r="DH147" s="21">
        <f>EXP(-LN(2)/2)*DH146+(1-EXP(-LN(2)/2))/(LN(2)/2)*DB147*DE147*VLOOKUP('Données projet'!$B$13,Paramètres!$A$1:$I$89,3,0)*0.475*44/12</f>
        <v>0.28008709511182583</v>
      </c>
      <c r="DI147" s="22">
        <f t="shared" si="123"/>
        <v>91.247587874808545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68.853450603819155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>
        <f>VLOOKUP(A147,'Données projet'!$A$165:$I$185,2,0)</f>
        <v>379.92</v>
      </c>
      <c r="DM147" s="12">
        <f>VLOOKUP(A147,'Données projet'!$A$165:$I$185,9,0)</f>
        <v>7.3375000000000012</v>
      </c>
      <c r="DN147" s="12">
        <f t="array" ref="DN147">INDEX(DM:DM,MIN(IF(ISNUMBER(DM147:DM343),ROW(DM147:DM343),"")))</f>
        <v>7.3375000000000012</v>
      </c>
      <c r="DO147" s="12">
        <f>IF('Données projet'!$A$166&gt;35,DO146+DN147-DW146,IF(A147&lt;'Données projet'!$A$166,$DL$205^A147,IF(A147='Données projet'!$A$166,'Données projet'!$B$166,DO146+DN147-DW146)))</f>
        <v>379.91999999999979</v>
      </c>
      <c r="DP147" s="17">
        <f>DO147*VLOOKUP('Données projet'!$B$14,Paramètres!$A$1:$I$89,3,0)*VLOOKUP('Données projet'!$B$14,Paramètres!$A$1:$I$89,5,0)</f>
        <v>367.45862399999976</v>
      </c>
      <c r="DQ147" s="13">
        <f t="shared" si="151"/>
        <v>85.147175545724309</v>
      </c>
      <c r="DR147" s="20">
        <f t="shared" si="124"/>
        <v>788.28843420880264</v>
      </c>
      <c r="DS147" s="59">
        <f t="shared" si="125"/>
        <v>1077.4177530894729</v>
      </c>
      <c r="DT147" s="59">
        <f ca="1">AVERAGE(OFFSET($DS$3,0,0,'Données projet'!$E$14+1,1))-AVERAGE(OFFSET($H$3,0,0,'Données projet'!$E$14+1,1))</f>
        <v>537.37164071064103</v>
      </c>
      <c r="DU147" s="59">
        <f t="shared" si="152"/>
        <v>263.29777321132235</v>
      </c>
      <c r="DV147" s="15">
        <f>IF(ISNA(VLOOKUP(A147,'Données projet'!$A$165:$I$185,3,0)),0,VLOOKUP(A147,'Données projet'!$A$165:$I$185,3,0))</f>
        <v>10</v>
      </c>
      <c r="DW147" s="15">
        <f>IF(ISNA(VLOOKUP(A147,'Données projet'!$A$165:$I$185,4,0)),0,VLOOKUP(A147,'Données projet'!$A$165:$I$185,4,0))</f>
        <v>60.949999999999989</v>
      </c>
      <c r="DX147" s="16">
        <f>IF(ISNA(VLOOKUP(A147,'Données projet'!$A$165:$I$185,5,0)),0%,VLOOKUP(A147,'Données projet'!$A$165:$I$185,5,0)*VLOOKUP('Données projet'!$B$14,Paramètres!$A$1:$I$89,7,0))</f>
        <v>0.1075</v>
      </c>
      <c r="DY147" s="16">
        <f>IF(ISNA(VLOOKUP(A147,'Données projet'!$A$165:$I$185,6,0)),0%,VLOOKUP(A147,'Données projet'!$A$165:$I$185,6,0)*VLOOKUP('Données projet'!$B$14,Paramètres!$A$1:$I$89,7,0))</f>
        <v>0.1075</v>
      </c>
      <c r="DZ147" s="16">
        <f>IF(ISNA(VLOOKUP(A147,'Données projet'!$A$165:$I$185,7,0)),0%,VLOOKUP(A147,'Données projet'!$A$165:$I$185,7,0))</f>
        <v>0.25</v>
      </c>
      <c r="EA147" s="21">
        <f>EXP(-LN(2)/35)*EA146+(1-EXP(-LN(2)/35))/(LN(2)/35)*DW147*DX147*VLOOKUP('Données projet'!$B$14,Paramètres!$A$1:$I$89,3,0)*0.475*44/12</f>
        <v>22.673687276201417</v>
      </c>
      <c r="EB147" s="21">
        <f>EXP(-LN(2)/25)*EB146+(1-EXP(-LN(2)/25))/(LN(2)/25)*Calculateur!DW147*Calculateur!DY147*VLOOKUP('Données projet'!$B$14,Paramètres!$A$1:$I$89,3,0)*0.475*44/12</f>
        <v>21.4587214339989</v>
      </c>
      <c r="EC147" s="21">
        <f>EXP(-LN(2)/2)*EC146+(1-EXP(-LN(2)/2))/(LN(2)/2)*DW147*DZ147*VLOOKUP('Données projet'!$B$14,Paramètres!$A$1:$I$89,3,0)*0.475*44/12</f>
        <v>14.084349389018065</v>
      </c>
      <c r="ED147" s="22">
        <f t="shared" si="126"/>
        <v>58.216758099218382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68.853450603819155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68.853450603819155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68.853450603819155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68.853450603819155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45">
      <c r="A148" s="10">
        <f t="shared" si="139"/>
        <v>145</v>
      </c>
      <c r="B148" s="73">
        <f>'Scénario référence'!$B$16*5+'Scénario référence'!$B$17*0+'Scénario référence'!$B$18*5</f>
        <v>2.8499999999999996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10.449999999999998</v>
      </c>
      <c r="H148" s="67">
        <f t="shared" si="110"/>
        <v>214.86666666666667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68.873340672542454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10.875</v>
      </c>
      <c r="N148" s="13">
        <f>IF('Données projet'!$A$36&gt;35,N147+M148-V147,IF(A148&lt;'Données projet'!$A$36,$K$205^A148,IF(A148='Données projet'!$A$36,'Données projet'!$B$36,N147+M148-V147)))</f>
        <v>618.75500000000045</v>
      </c>
      <c r="O148" s="13">
        <f>N148*VLOOKUP('Données projet'!$B$9,Paramètres!$A$1:$I$89,3,0)*VLOOKUP('Données projet'!$B$9,Paramètres!$A$1:$I$89,5,0)</f>
        <v>559.84952400000043</v>
      </c>
      <c r="P148" s="13">
        <f t="shared" si="141"/>
        <v>123.52301321945187</v>
      </c>
      <c r="Q148" s="20">
        <f t="shared" si="108"/>
        <v>1190.2071689905461</v>
      </c>
      <c r="R148" s="59">
        <f t="shared" si="109"/>
        <v>1479.4094181232017</v>
      </c>
      <c r="S148" s="59">
        <f ca="1">AVERAGE(OFFSET($R$3,0,0,'Données projet'!$E$9+1,1))-AVERAGE(OFFSET($H$3,0,0,'Données projet'!$E$9+1,1))</f>
        <v>719.20816951277925</v>
      </c>
      <c r="T148" s="59">
        <f t="shared" si="142"/>
        <v>237.1127421841087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64.341166129164222</v>
      </c>
      <c r="AA148" s="21">
        <f>EXP(-LN(2)/25)*AA147+(1-EXP(-LN(2)/25))/(LN(2)/25)*Calculateur!V148*Calculateur!X148*VLOOKUP('Données projet'!$B$9,Paramètres!$A$1:$I$89,3,0)*0.475*44/12</f>
        <v>25.103976532487373</v>
      </c>
      <c r="AB148" s="21">
        <f>EXP(-LN(2)/2)*AB147+(1-EXP(-LN(2)/2))/(LN(2)/2)*V148*Y148*VLOOKUP('Données projet'!$B$9,Paramètres!$A$1:$I$89,3,0)*0.475*44/12</f>
        <v>3.260214268914033E-8</v>
      </c>
      <c r="AC148" s="22">
        <f t="shared" si="111"/>
        <v>89.445142694253747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68.873340672542454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5.6843418860808015E-14</v>
      </c>
      <c r="AJ148" s="13">
        <f>AI148*VLOOKUP('Données projet'!$B$10,Paramètres!$A$1:$I$89,3,0)*VLOOKUP('Données projet'!$B$10,Paramètres!$A$1:$I$89,5,0)</f>
        <v>4.7884896048344674E-14</v>
      </c>
      <c r="AK148" s="13">
        <f t="shared" si="143"/>
        <v>7.8374629847779921E-13</v>
      </c>
      <c r="AL148" s="20">
        <f t="shared" si="112"/>
        <v>1.4484243304663672E-12</v>
      </c>
      <c r="AM148" s="59">
        <f t="shared" si="113"/>
        <v>289.20224913265707</v>
      </c>
      <c r="AN148" s="59">
        <f ca="1">AVERAGE(OFFSET($AM$3,0,0,'Données projet'!$E$10+1,1))-AVERAGE(OFFSET($H$3,0,0,'Données projet'!$E$10+1,1))</f>
        <v>442.79037205372367</v>
      </c>
      <c r="AO148" s="59">
        <f t="shared" si="144"/>
        <v>288.23553637727969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56.51198821673249</v>
      </c>
      <c r="AV148" s="21">
        <f>EXP(-LN(2)/25)*AV147+(1-EXP(-LN(2)/25))/(LN(2)/25)*Calculateur!AQ148*Calculateur!AS148*VLOOKUP('Données projet'!$B$10,Paramètres!$A$1:$I$89,3,0)*0.475*44/12</f>
        <v>9.4893859744762601</v>
      </c>
      <c r="AW148" s="21">
        <f>EXP(-LN(2)/2)*AW147+(1-EXP(-LN(2)/2))/(LN(2)/2)*AQ148*AT148*VLOOKUP('Données projet'!$B$10,Paramètres!$A$1:$I$89,3,0)*0.475*44/12</f>
        <v>1.001142553597907E-5</v>
      </c>
      <c r="AX148" s="21">
        <f t="shared" si="114"/>
        <v>66.001384202634284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68.873340672542454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7.5191666666666634</v>
      </c>
      <c r="BD148" s="12">
        <f>IF('Données projet'!$A$88&gt;35,BD147+BC148-BL147,IF(A148&lt;'Données projet'!$A$88,$BA$205^A148,IF(A148='Données projet'!$A$88,'Données projet'!$B$88,BD147+BC148-BL147)))</f>
        <v>326.48916666666645</v>
      </c>
      <c r="BE148" s="13">
        <f>BD148*VLOOKUP('Données projet'!$B$11,Paramètres!$A$1:$I$89,3,0)*VLOOKUP('Données projet'!$B$11,Paramètres!$A$1:$I$89,5,0)</f>
        <v>331.06001499999979</v>
      </c>
      <c r="BF148" s="13">
        <f t="shared" si="145"/>
        <v>77.650034289681813</v>
      </c>
      <c r="BG148" s="20">
        <f t="shared" si="115"/>
        <v>711.83666917952871</v>
      </c>
      <c r="BH148" s="59">
        <f t="shared" si="116"/>
        <v>1001.0389183121844</v>
      </c>
      <c r="BI148" s="59">
        <f ca="1">AVERAGE(OFFSET($BH$3,0,0,'Données projet'!$E$11+1,1))-AVERAGE(OFFSET($H$3,0,0,'Données projet'!$E$11+1,1))</f>
        <v>559.91818701710872</v>
      </c>
      <c r="BJ148" s="59">
        <f t="shared" si="146"/>
        <v>273.47272623465915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32.626538370083701</v>
      </c>
      <c r="BQ148" s="21">
        <f>EXP(-LN(2)/25)*BQ147+(1-EXP(-LN(2)/25))/(LN(2)/25)*Calculateur!BL148*Calculateur!BN148*VLOOKUP('Données projet'!$B$11,Paramètres!$A$1:$I$89,3,0)*0.475*44/12</f>
        <v>22.457070242827225</v>
      </c>
      <c r="BR148" s="21">
        <f>EXP(-LN(2)/2)*BR147+(1-EXP(-LN(2)/2))/(LN(2)/2)*BL148*BO148*VLOOKUP('Données projet'!$B$11,Paramètres!$A$1:$I$89,3,0)*0.475*44/12</f>
        <v>4.1764131131235489</v>
      </c>
      <c r="BS148" s="22">
        <f t="shared" si="117"/>
        <v>59.260021726034473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68.873340672542454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-1.1368683772161603E-13</v>
      </c>
      <c r="BZ148" s="13">
        <f>BY148*VLOOKUP('Données projet'!$B$12,Paramètres!$A$1:$I$89,3,0)*VLOOKUP('Données projet'!$B$12,Paramètres!$A$1:$I$89,5,0)</f>
        <v>-8.8675733422860506E-14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208.92677786250815</v>
      </c>
      <c r="CE148" s="59">
        <f t="shared" si="148"/>
        <v>207.54290142772214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6.1187735804954979</v>
      </c>
      <c r="CL148" s="21">
        <f>EXP(-LN(2)/25)*CL147+(1-EXP(-LN(2)/25))/(LN(2)/25)*Calculateur!CG148*Calculateur!CI148*VLOOKUP('Données projet'!$B$12,Paramètres!$A$1:$I$89,3,0)*0.475*44/12</f>
        <v>3.299481101293678</v>
      </c>
      <c r="CM148" s="21">
        <f>EXP(-LN(2)/2)*CM147+(1-EXP(-LN(2)/2))/(LN(2)/2)*CG148*CJ148*VLOOKUP('Données projet'!$B$12,Paramètres!$A$1:$I$89,3,0)*0.475*44/12</f>
        <v>1.4168533280631428E-10</v>
      </c>
      <c r="CN148" s="22">
        <f t="shared" si="120"/>
        <v>9.4182546819308612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68.873340672542454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2.5579538487363607E-13</v>
      </c>
      <c r="CU148" s="17">
        <f>CT148*VLOOKUP('Données projet'!$B$13,Paramètres!$A$1:$I$89,3,0)*VLOOKUP('Données projet'!$B$13,Paramètres!$A$1:$I$89,5,0)</f>
        <v>2.4341488824575211E-13</v>
      </c>
      <c r="CV148" s="13">
        <f t="shared" si="149"/>
        <v>3.2970717324875541E-12</v>
      </c>
      <c r="CW148" s="20">
        <f t="shared" si="121"/>
        <v>6.1663475311105072E-12</v>
      </c>
      <c r="CX148" s="59">
        <f t="shared" si="122"/>
        <v>289.20224913266179</v>
      </c>
      <c r="CY148" s="59">
        <f ca="1">AVERAGE(OFFSET($CX$3,0,0,'Données projet'!$E$13+1,1))-AVERAGE(OFFSET($H$3,0,0,'Données projet'!$E$13+1,1))</f>
        <v>470.42022791389275</v>
      </c>
      <c r="CZ148" s="59">
        <f t="shared" si="150"/>
        <v>300.26117330627346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49.148425667287682</v>
      </c>
      <c r="DG148" s="21">
        <f>EXP(-LN(2)/25)*DG147+(1-EXP(-LN(2)/25))/(LN(2)/25)*Calculateur!DB148*Calculateur!DD148*VLOOKUP('Données projet'!$B$13,Paramètres!$A$1:$I$89,3,0)*0.475*44/12</f>
        <v>39.719364179124042</v>
      </c>
      <c r="DH148" s="21">
        <f>EXP(-LN(2)/2)*DH147+(1-EXP(-LN(2)/2))/(LN(2)/2)*DB148*DE148*VLOOKUP('Données projet'!$B$13,Paramètres!$A$1:$I$89,3,0)*0.475*44/12</f>
        <v>0.19805148427641356</v>
      </c>
      <c r="DI148" s="22">
        <f t="shared" si="123"/>
        <v>89.065841330688144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68.873340672542454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7.5191666666666634</v>
      </c>
      <c r="DO148" s="12">
        <f>IF('Données projet'!$A$166&gt;35,DO147+DN148-DW147,IF(A148&lt;'Données projet'!$A$166,$DL$205^A148,IF(A148='Données projet'!$A$166,'Données projet'!$B$166,DO147+DN148-DW147)))</f>
        <v>326.48916666666645</v>
      </c>
      <c r="DP148" s="17">
        <f>DO148*VLOOKUP('Données projet'!$B$14,Paramètres!$A$1:$I$89,3,0)*VLOOKUP('Données projet'!$B$14,Paramètres!$A$1:$I$89,5,0)</f>
        <v>315.78032199999979</v>
      </c>
      <c r="DQ148" s="13">
        <f t="shared" si="151"/>
        <v>74.474690447846996</v>
      </c>
      <c r="DR148" s="20">
        <f t="shared" si="124"/>
        <v>679.69414667999979</v>
      </c>
      <c r="DS148" s="59">
        <f t="shared" si="125"/>
        <v>968.89639581265544</v>
      </c>
      <c r="DT148" s="59">
        <f ca="1">AVERAGE(OFFSET($DS$3,0,0,'Données projet'!$E$14+1,1))-AVERAGE(OFFSET($H$3,0,0,'Données projet'!$E$14+1,1))</f>
        <v>537.37164071064103</v>
      </c>
      <c r="DU148" s="59">
        <f t="shared" si="152"/>
        <v>263.29777321132235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22.229070098298788</v>
      </c>
      <c r="EB148" s="21">
        <f>EXP(-LN(2)/25)*EB147+(1-EXP(-LN(2)/25))/(LN(2)/25)*Calculateur!DW148*Calculateur!DY148*VLOOKUP('Données projet'!$B$14,Paramètres!$A$1:$I$89,3,0)*0.475*44/12</f>
        <v>20.871931567921084</v>
      </c>
      <c r="EC148" s="21">
        <f>EXP(-LN(2)/2)*EC147+(1-EXP(-LN(2)/2))/(LN(2)/2)*DW148*DZ148*VLOOKUP('Données projet'!$B$14,Paramètres!$A$1:$I$89,3,0)*0.475*44/12</f>
        <v>9.9591389615752828</v>
      </c>
      <c r="ED148" s="22">
        <f t="shared" si="126"/>
        <v>53.060140627795157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68.873340672542454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68.873340672542454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68.873340672542454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68.873340672542454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45">
      <c r="A149" s="10">
        <f t="shared" si="139"/>
        <v>146</v>
      </c>
      <c r="B149" s="73">
        <f>'Scénario référence'!$B$16*5+'Scénario référence'!$B$17*0+'Scénario référence'!$B$18*5</f>
        <v>2.8499999999999996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10.449999999999998</v>
      </c>
      <c r="H149" s="67">
        <f t="shared" si="110"/>
        <v>214.86666666666667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68.892885693040938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10.875</v>
      </c>
      <c r="N149" s="13">
        <f>IF('Données projet'!$A$36&gt;35,N148+M149-V148,IF(A149&lt;'Données projet'!$A$36,$K$205^A149,IF(A149='Données projet'!$A$36,'Données projet'!$B$36,N148+M149-V148)))</f>
        <v>629.63000000000045</v>
      </c>
      <c r="O149" s="13">
        <f>N149*VLOOKUP('Données projet'!$B$9,Paramètres!$A$1:$I$89,3,0)*VLOOKUP('Données projet'!$B$9,Paramètres!$A$1:$I$89,5,0)</f>
        <v>569.68922400000042</v>
      </c>
      <c r="P149" s="13">
        <f t="shared" si="141"/>
        <v>125.43935312315148</v>
      </c>
      <c r="Q149" s="20">
        <f t="shared" si="108"/>
        <v>1210.6822718228229</v>
      </c>
      <c r="R149" s="59">
        <f t="shared" si="109"/>
        <v>1499.9561860306396</v>
      </c>
      <c r="S149" s="59">
        <f ca="1">AVERAGE(OFFSET($R$3,0,0,'Données projet'!$E$9+1,1))-AVERAGE(OFFSET($H$3,0,0,'Données projet'!$E$9+1,1))</f>
        <v>719.20816951277925</v>
      </c>
      <c r="T149" s="59">
        <f t="shared" si="142"/>
        <v>237.1127421841087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63.079475105607607</v>
      </c>
      <c r="AA149" s="21">
        <f>EXP(-LN(2)/25)*AA148+(1-EXP(-LN(2)/25))/(LN(2)/25)*Calculateur!V149*Calculateur!X149*VLOOKUP('Données projet'!$B$9,Paramètres!$A$1:$I$89,3,0)*0.475*44/12</f>
        <v>24.417506974045757</v>
      </c>
      <c r="AB149" s="21">
        <f>EXP(-LN(2)/2)*AB148+(1-EXP(-LN(2)/2))/(LN(2)/2)*V149*Y149*VLOOKUP('Données projet'!$B$9,Paramètres!$A$1:$I$89,3,0)*0.475*44/12</f>
        <v>2.3053196176702552E-8</v>
      </c>
      <c r="AC149" s="22">
        <f t="shared" si="111"/>
        <v>87.496982102706554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68.892885693040938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5.6843418860808015E-14</v>
      </c>
      <c r="AJ149" s="13">
        <f>AI149*VLOOKUP('Données projet'!$B$10,Paramètres!$A$1:$I$89,3,0)*VLOOKUP('Données projet'!$B$10,Paramètres!$A$1:$I$89,5,0)</f>
        <v>4.7884896048344674E-14</v>
      </c>
      <c r="AK149" s="13">
        <f t="shared" si="143"/>
        <v>7.8374629847779921E-13</v>
      </c>
      <c r="AL149" s="20">
        <f t="shared" si="112"/>
        <v>1.4484243304663672E-12</v>
      </c>
      <c r="AM149" s="59">
        <f t="shared" si="113"/>
        <v>289.27391420781817</v>
      </c>
      <c r="AN149" s="59">
        <f ca="1">AVERAGE(OFFSET($AM$3,0,0,'Données projet'!$E$10+1,1))-AVERAGE(OFFSET($H$3,0,0,'Données projet'!$E$10+1,1))</f>
        <v>442.79037205372367</v>
      </c>
      <c r="AO149" s="59">
        <f t="shared" si="144"/>
        <v>288.23553637727969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55.403822596711656</v>
      </c>
      <c r="AV149" s="21">
        <f>EXP(-LN(2)/25)*AV148+(1-EXP(-LN(2)/25))/(LN(2)/25)*Calculateur!AQ149*Calculateur!AS149*VLOOKUP('Données projet'!$B$10,Paramètres!$A$1:$I$89,3,0)*0.475*44/12</f>
        <v>9.2298982159790874</v>
      </c>
      <c r="AW149" s="21">
        <f>EXP(-LN(2)/2)*AW148+(1-EXP(-LN(2)/2))/(LN(2)/2)*AQ149*AT149*VLOOKUP('Données projet'!$B$10,Paramètres!$A$1:$I$89,3,0)*0.475*44/12</f>
        <v>7.0791468858349664E-6</v>
      </c>
      <c r="AX149" s="21">
        <f t="shared" si="114"/>
        <v>64.633727891837623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68.892885693040938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7.5191666666666634</v>
      </c>
      <c r="BD149" s="12">
        <f>IF('Données projet'!$A$88&gt;35,BD148+BC149-BL148,IF(A149&lt;'Données projet'!$A$88,$BA$205^A149,IF(A149='Données projet'!$A$88,'Données projet'!$B$88,BD148+BC149-BL148)))</f>
        <v>334.0083333333331</v>
      </c>
      <c r="BE149" s="13">
        <f>BD149*VLOOKUP('Données projet'!$B$11,Paramètres!$A$1:$I$89,3,0)*VLOOKUP('Données projet'!$B$11,Paramètres!$A$1:$I$89,5,0)</f>
        <v>338.6844499999998</v>
      </c>
      <c r="BF149" s="13">
        <f t="shared" si="145"/>
        <v>79.228084167092831</v>
      </c>
      <c r="BG149" s="20">
        <f t="shared" si="115"/>
        <v>727.86433034101958</v>
      </c>
      <c r="BH149" s="59">
        <f t="shared" si="116"/>
        <v>1017.1382445488364</v>
      </c>
      <c r="BI149" s="59">
        <f ca="1">AVERAGE(OFFSET($BH$3,0,0,'Données projet'!$E$11+1,1))-AVERAGE(OFFSET($H$3,0,0,'Données projet'!$E$11+1,1))</f>
        <v>559.91818701710872</v>
      </c>
      <c r="BJ149" s="59">
        <f t="shared" si="146"/>
        <v>273.47272623465915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31.98675185286978</v>
      </c>
      <c r="BQ149" s="21">
        <f>EXP(-LN(2)/25)*BQ148+(1-EXP(-LN(2)/25))/(LN(2)/25)*Calculateur!BL149*Calculateur!BN149*VLOOKUP('Données projet'!$B$11,Paramètres!$A$1:$I$89,3,0)*0.475*44/12</f>
        <v>21.842980476071116</v>
      </c>
      <c r="BR149" s="21">
        <f>EXP(-LN(2)/2)*BR148+(1-EXP(-LN(2)/2))/(LN(2)/2)*BL149*BO149*VLOOKUP('Données projet'!$B$11,Paramètres!$A$1:$I$89,3,0)*0.475*44/12</f>
        <v>2.9531700333260811</v>
      </c>
      <c r="BS149" s="22">
        <f t="shared" si="117"/>
        <v>56.782902362266974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68.892885693040938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-1.1368683772161603E-13</v>
      </c>
      <c r="BZ149" s="13">
        <f>BY149*VLOOKUP('Données projet'!$B$12,Paramètres!$A$1:$I$89,3,0)*VLOOKUP('Données projet'!$B$12,Paramètres!$A$1:$I$89,5,0)</f>
        <v>-8.8675733422860506E-14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208.92677786250815</v>
      </c>
      <c r="CE149" s="59">
        <f t="shared" si="148"/>
        <v>207.54290142772214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5.9987881626653525</v>
      </c>
      <c r="CL149" s="21">
        <f>EXP(-LN(2)/25)*CL148+(1-EXP(-LN(2)/25))/(LN(2)/25)*Calculateur!CG149*Calculateur!CI149*VLOOKUP('Données projet'!$B$12,Paramètres!$A$1:$I$89,3,0)*0.475*44/12</f>
        <v>3.2092566170666323</v>
      </c>
      <c r="CM149" s="21">
        <f>EXP(-LN(2)/2)*CM148+(1-EXP(-LN(2)/2))/(LN(2)/2)*CG149*CJ149*VLOOKUP('Données projet'!$B$12,Paramètres!$A$1:$I$89,3,0)*0.475*44/12</f>
        <v>1.0018665962201764E-10</v>
      </c>
      <c r="CN149" s="22">
        <f t="shared" si="120"/>
        <v>9.2080447798321714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68.892885693040938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2.5579538487363607E-13</v>
      </c>
      <c r="CU149" s="17">
        <f>CT149*VLOOKUP('Données projet'!$B$13,Paramètres!$A$1:$I$89,3,0)*VLOOKUP('Données projet'!$B$13,Paramètres!$A$1:$I$89,5,0)</f>
        <v>2.4341488824575211E-13</v>
      </c>
      <c r="CV149" s="13">
        <f t="shared" si="149"/>
        <v>3.2970717324875541E-12</v>
      </c>
      <c r="CW149" s="20">
        <f t="shared" si="121"/>
        <v>6.1663475311105072E-12</v>
      </c>
      <c r="CX149" s="59">
        <f t="shared" si="122"/>
        <v>289.27391420782288</v>
      </c>
      <c r="CY149" s="59">
        <f ca="1">AVERAGE(OFFSET($CX$3,0,0,'Données projet'!$E$13+1,1))-AVERAGE(OFFSET($H$3,0,0,'Données projet'!$E$13+1,1))</f>
        <v>470.42022791389275</v>
      </c>
      <c r="CZ149" s="59">
        <f t="shared" si="150"/>
        <v>300.26117330627346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48.184655017531789</v>
      </c>
      <c r="DG149" s="21">
        <f>EXP(-LN(2)/25)*DG148+(1-EXP(-LN(2)/25))/(LN(2)/25)*Calculateur!DB149*Calculateur!DD149*VLOOKUP('Données projet'!$B$13,Paramètres!$A$1:$I$89,3,0)*0.475*44/12</f>
        <v>38.633236076895315</v>
      </c>
      <c r="DH149" s="21">
        <f>EXP(-LN(2)/2)*DH148+(1-EXP(-LN(2)/2))/(LN(2)/2)*DB149*DE149*VLOOKUP('Données projet'!$B$13,Paramètres!$A$1:$I$89,3,0)*0.475*44/12</f>
        <v>0.14004354755591292</v>
      </c>
      <c r="DI149" s="22">
        <f t="shared" si="123"/>
        <v>86.957934641983016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68.892885693040938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7.5191666666666634</v>
      </c>
      <c r="DO149" s="12">
        <f>IF('Données projet'!$A$166&gt;35,DO148+DN149-DW148,IF(A149&lt;'Données projet'!$A$166,$DL$205^A149,IF(A149='Données projet'!$A$166,'Données projet'!$B$166,DO148+DN149-DW148)))</f>
        <v>334.0083333333331</v>
      </c>
      <c r="DP149" s="17">
        <f>DO149*VLOOKUP('Données projet'!$B$14,Paramètres!$A$1:$I$89,3,0)*VLOOKUP('Données projet'!$B$14,Paramètres!$A$1:$I$89,5,0)</f>
        <v>323.05285999999978</v>
      </c>
      <c r="DQ149" s="13">
        <f t="shared" si="151"/>
        <v>75.988209111509335</v>
      </c>
      <c r="DR149" s="20">
        <f t="shared" si="124"/>
        <v>694.99652870254488</v>
      </c>
      <c r="DS149" s="59">
        <f t="shared" si="125"/>
        <v>984.27044291036168</v>
      </c>
      <c r="DT149" s="59">
        <f ca="1">AVERAGE(OFFSET($DS$3,0,0,'Données projet'!$E$14+1,1))-AVERAGE(OFFSET($H$3,0,0,'Données projet'!$E$14+1,1))</f>
        <v>537.37164071064103</v>
      </c>
      <c r="DU149" s="59">
        <f t="shared" si="152"/>
        <v>263.29777321132235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21.793171592065129</v>
      </c>
      <c r="EB149" s="21">
        <f>EXP(-LN(2)/25)*EB148+(1-EXP(-LN(2)/25))/(LN(2)/25)*Calculateur!DW149*Calculateur!DY149*VLOOKUP('Données projet'!$B$14,Paramètres!$A$1:$I$89,3,0)*0.475*44/12</f>
        <v>20.301187501589105</v>
      </c>
      <c r="EC149" s="21">
        <f>EXP(-LN(2)/2)*EC148+(1-EXP(-LN(2)/2))/(LN(2)/2)*DW149*DZ149*VLOOKUP('Données projet'!$B$14,Paramètres!$A$1:$I$89,3,0)*0.475*44/12</f>
        <v>7.0421746945090344</v>
      </c>
      <c r="ED149" s="22">
        <f t="shared" si="126"/>
        <v>49.13653378816327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68.892885693040938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68.892885693040938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68.892885693040938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68.892885693040938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45">
      <c r="A150" s="10">
        <f t="shared" si="139"/>
        <v>147</v>
      </c>
      <c r="B150" s="73">
        <f>'Scénario référence'!$B$16*5+'Scénario référence'!$B$17*0+'Scénario référence'!$B$18*5</f>
        <v>2.8499999999999996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10.449999999999998</v>
      </c>
      <c r="H150" s="67">
        <f t="shared" si="110"/>
        <v>214.86666666666667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68.912091651129884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10.875</v>
      </c>
      <c r="N150" s="13">
        <f>IF('Données projet'!$A$36&gt;35,N149+M150-V149,IF(A150&lt;'Données projet'!$A$36,$K$205^A150,IF(A150='Données projet'!$A$36,'Données projet'!$B$36,N149+M150-V149)))</f>
        <v>640.50500000000045</v>
      </c>
      <c r="O150" s="13">
        <f>N150*VLOOKUP('Données projet'!$B$9,Paramètres!$A$1:$I$89,3,0)*VLOOKUP('Données projet'!$B$9,Paramètres!$A$1:$I$89,5,0)</f>
        <v>579.52892400000042</v>
      </c>
      <c r="P150" s="13">
        <f t="shared" si="141"/>
        <v>127.35184395771817</v>
      </c>
      <c r="Q150" s="20">
        <f t="shared" si="108"/>
        <v>1231.1506708596933</v>
      </c>
      <c r="R150" s="59">
        <f t="shared" si="109"/>
        <v>1520.4950069138363</v>
      </c>
      <c r="S150" s="59">
        <f ca="1">AVERAGE(OFFSET($R$3,0,0,'Données projet'!$E$9+1,1))-AVERAGE(OFFSET($H$3,0,0,'Données projet'!$E$9+1,1))</f>
        <v>719.20816951277925</v>
      </c>
      <c r="T150" s="59">
        <f t="shared" si="142"/>
        <v>237.1127421841087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61.842525073467399</v>
      </c>
      <c r="AA150" s="21">
        <f>EXP(-LN(2)/25)*AA149+(1-EXP(-LN(2)/25))/(LN(2)/25)*Calculateur!V150*Calculateur!X150*VLOOKUP('Données projet'!$B$9,Paramètres!$A$1:$I$89,3,0)*0.475*44/12</f>
        <v>23.749808961779593</v>
      </c>
      <c r="AB150" s="21">
        <f>EXP(-LN(2)/2)*AB149+(1-EXP(-LN(2)/2))/(LN(2)/2)*V150*Y150*VLOOKUP('Données projet'!$B$9,Paramètres!$A$1:$I$89,3,0)*0.475*44/12</f>
        <v>1.6301071344570165E-8</v>
      </c>
      <c r="AC150" s="22">
        <f t="shared" si="111"/>
        <v>85.592334051548065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68.912091651129884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5.6843418860808015E-14</v>
      </c>
      <c r="AJ150" s="13">
        <f>AI150*VLOOKUP('Données projet'!$B$10,Paramètres!$A$1:$I$89,3,0)*VLOOKUP('Données projet'!$B$10,Paramètres!$A$1:$I$89,5,0)</f>
        <v>4.7884896048344674E-14</v>
      </c>
      <c r="AK150" s="13">
        <f t="shared" si="143"/>
        <v>7.8374629847779921E-13</v>
      </c>
      <c r="AL150" s="20">
        <f t="shared" si="112"/>
        <v>1.4484243304663672E-12</v>
      </c>
      <c r="AM150" s="59">
        <f t="shared" si="113"/>
        <v>289.34433605414432</v>
      </c>
      <c r="AN150" s="59">
        <f ca="1">AVERAGE(OFFSET($AM$3,0,0,'Données projet'!$E$10+1,1))-AVERAGE(OFFSET($H$3,0,0,'Données projet'!$E$10+1,1))</f>
        <v>442.79037205372367</v>
      </c>
      <c r="AO150" s="59">
        <f t="shared" si="144"/>
        <v>288.23553637727969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54.317387428585143</v>
      </c>
      <c r="AV150" s="21">
        <f>EXP(-LN(2)/25)*AV149+(1-EXP(-LN(2)/25))/(LN(2)/25)*Calculateur!AQ150*Calculateur!AS150*VLOOKUP('Données projet'!$B$10,Paramètres!$A$1:$I$89,3,0)*0.475*44/12</f>
        <v>8.9775061638838878</v>
      </c>
      <c r="AW150" s="21">
        <f>EXP(-LN(2)/2)*AW149+(1-EXP(-LN(2)/2))/(LN(2)/2)*AQ150*AT150*VLOOKUP('Données projet'!$B$10,Paramètres!$A$1:$I$89,3,0)*0.475*44/12</f>
        <v>5.0057127679895348E-6</v>
      </c>
      <c r="AX150" s="21">
        <f t="shared" si="114"/>
        <v>63.294898598181796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68.912091651129884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7.5191666666666634</v>
      </c>
      <c r="BD150" s="12">
        <f>IF('Données projet'!$A$88&gt;35,BD149+BC150-BL149,IF(A150&lt;'Données projet'!$A$88,$BA$205^A150,IF(A150='Données projet'!$A$88,'Données projet'!$B$88,BD149+BC150-BL149)))</f>
        <v>341.52749999999975</v>
      </c>
      <c r="BE150" s="13">
        <f>BD150*VLOOKUP('Données projet'!$B$11,Paramètres!$A$1:$I$89,3,0)*VLOOKUP('Données projet'!$B$11,Paramètres!$A$1:$I$89,5,0)</f>
        <v>346.3088849999998</v>
      </c>
      <c r="BF150" s="13">
        <f t="shared" si="145"/>
        <v>80.802003987912002</v>
      </c>
      <c r="BG150" s="20">
        <f t="shared" si="115"/>
        <v>743.88479832061319</v>
      </c>
      <c r="BH150" s="59">
        <f t="shared" si="116"/>
        <v>1033.2291343747561</v>
      </c>
      <c r="BI150" s="59">
        <f ca="1">AVERAGE(OFFSET($BH$3,0,0,'Données projet'!$E$11+1,1))-AVERAGE(OFFSET($H$3,0,0,'Données projet'!$E$11+1,1))</f>
        <v>559.91818701710872</v>
      </c>
      <c r="BJ150" s="59">
        <f t="shared" si="146"/>
        <v>273.47272623465915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31.359511159027182</v>
      </c>
      <c r="BQ150" s="21">
        <f>EXP(-LN(2)/25)*BQ149+(1-EXP(-LN(2)/25))/(LN(2)/25)*Calculateur!BL150*Calculateur!BN150*VLOOKUP('Données projet'!$B$11,Paramètres!$A$1:$I$89,3,0)*0.475*44/12</f>
        <v>21.245683026280531</v>
      </c>
      <c r="BR150" s="21">
        <f>EXP(-LN(2)/2)*BR149+(1-EXP(-LN(2)/2))/(LN(2)/2)*BL150*BO150*VLOOKUP('Données projet'!$B$11,Paramètres!$A$1:$I$89,3,0)*0.475*44/12</f>
        <v>2.0882065565617745</v>
      </c>
      <c r="BS150" s="22">
        <f t="shared" si="117"/>
        <v>54.693400741869482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68.912091651129884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-1.1368683772161603E-13</v>
      </c>
      <c r="BZ150" s="13">
        <f>BY150*VLOOKUP('Données projet'!$B$12,Paramètres!$A$1:$I$89,3,0)*VLOOKUP('Données projet'!$B$12,Paramètres!$A$1:$I$89,5,0)</f>
        <v>-8.8675733422860506E-14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208.92677786250815</v>
      </c>
      <c r="CE150" s="59">
        <f t="shared" si="148"/>
        <v>207.54290142772214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5.8811555856949775</v>
      </c>
      <c r="CL150" s="21">
        <f>EXP(-LN(2)/25)*CL149+(1-EXP(-LN(2)/25))/(LN(2)/25)*Calculateur!CG150*Calculateur!CI150*VLOOKUP('Données projet'!$B$12,Paramètres!$A$1:$I$89,3,0)*0.475*44/12</f>
        <v>3.1214993261054746</v>
      </c>
      <c r="CM150" s="21">
        <f>EXP(-LN(2)/2)*CM149+(1-EXP(-LN(2)/2))/(LN(2)/2)*CG150*CJ150*VLOOKUP('Données projet'!$B$12,Paramètres!$A$1:$I$89,3,0)*0.475*44/12</f>
        <v>7.0842666403157141E-11</v>
      </c>
      <c r="CN150" s="22">
        <f t="shared" si="120"/>
        <v>9.0026549118712946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68.912091651129884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2.5579538487363607E-13</v>
      </c>
      <c r="CU150" s="17">
        <f>CT150*VLOOKUP('Données projet'!$B$13,Paramètres!$A$1:$I$89,3,0)*VLOOKUP('Données projet'!$B$13,Paramètres!$A$1:$I$89,5,0)</f>
        <v>2.4341488824575211E-13</v>
      </c>
      <c r="CV150" s="13">
        <f t="shared" si="149"/>
        <v>3.2970717324875541E-12</v>
      </c>
      <c r="CW150" s="20">
        <f t="shared" si="121"/>
        <v>6.1663475311105072E-12</v>
      </c>
      <c r="CX150" s="59">
        <f t="shared" si="122"/>
        <v>289.34433605414904</v>
      </c>
      <c r="CY150" s="59">
        <f ca="1">AVERAGE(OFFSET($CX$3,0,0,'Données projet'!$E$13+1,1))-AVERAGE(OFFSET($H$3,0,0,'Données projet'!$E$13+1,1))</f>
        <v>470.42022791389275</v>
      </c>
      <c r="CZ150" s="59">
        <f t="shared" si="150"/>
        <v>300.26117330627346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47.239783322375558</v>
      </c>
      <c r="DG150" s="21">
        <f>EXP(-LN(2)/25)*DG149+(1-EXP(-LN(2)/25))/(LN(2)/25)*Calculateur!DB150*Calculateur!DD150*VLOOKUP('Données projet'!$B$13,Paramètres!$A$1:$I$89,3,0)*0.475*44/12</f>
        <v>37.576808204739024</v>
      </c>
      <c r="DH150" s="21">
        <f>EXP(-LN(2)/2)*DH149+(1-EXP(-LN(2)/2))/(LN(2)/2)*DB150*DE150*VLOOKUP('Données projet'!$B$13,Paramètres!$A$1:$I$89,3,0)*0.475*44/12</f>
        <v>9.9025742138206779E-2</v>
      </c>
      <c r="DI150" s="22">
        <f t="shared" si="123"/>
        <v>84.915617269252792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68.912091651129884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7.5191666666666634</v>
      </c>
      <c r="DO150" s="12">
        <f>IF('Données projet'!$A$166&gt;35,DO149+DN150-DW149,IF(A150&lt;'Données projet'!$A$166,$DL$205^A150,IF(A150='Données projet'!$A$166,'Données projet'!$B$166,DO149+DN150-DW149)))</f>
        <v>341.52749999999975</v>
      </c>
      <c r="DP150" s="17">
        <f>DO150*VLOOKUP('Données projet'!$B$14,Paramètres!$A$1:$I$89,3,0)*VLOOKUP('Données projet'!$B$14,Paramètres!$A$1:$I$89,5,0)</f>
        <v>330.32539799999972</v>
      </c>
      <c r="DQ150" s="13">
        <f t="shared" si="151"/>
        <v>77.497766609036603</v>
      </c>
      <c r="DR150" s="20">
        <f t="shared" si="124"/>
        <v>710.29201169407168</v>
      </c>
      <c r="DS150" s="59">
        <f t="shared" si="125"/>
        <v>999.63634774821458</v>
      </c>
      <c r="DT150" s="59">
        <f ca="1">AVERAGE(OFFSET($DS$3,0,0,'Données projet'!$E$14+1,1))-AVERAGE(OFFSET($H$3,0,0,'Données projet'!$E$14+1,1))</f>
        <v>537.37164071064103</v>
      </c>
      <c r="DU150" s="59">
        <f t="shared" si="152"/>
        <v>263.29777321132235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21.365820789666873</v>
      </c>
      <c r="EB150" s="21">
        <f>EXP(-LN(2)/25)*EB149+(1-EXP(-LN(2)/25))/(LN(2)/25)*Calculateur!DW150*Calculateur!DY150*VLOOKUP('Données projet'!$B$14,Paramètres!$A$1:$I$89,3,0)*0.475*44/12</f>
        <v>19.746050461765098</v>
      </c>
      <c r="EC150" s="21">
        <f>EXP(-LN(2)/2)*EC149+(1-EXP(-LN(2)/2))/(LN(2)/2)*DW150*DZ150*VLOOKUP('Données projet'!$B$14,Paramètres!$A$1:$I$89,3,0)*0.475*44/12</f>
        <v>4.9795694807876423</v>
      </c>
      <c r="ED150" s="22">
        <f t="shared" si="126"/>
        <v>46.09144073221961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68.912091651129884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68.912091651129884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68.912091651129884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68.912091651129884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45">
      <c r="A151" s="10">
        <f t="shared" si="139"/>
        <v>148</v>
      </c>
      <c r="B151" s="73">
        <f>'Scénario référence'!$B$16*5+'Scénario référence'!$B$17*0+'Scénario référence'!$B$18*5</f>
        <v>2.8499999999999996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10.449999999999998</v>
      </c>
      <c r="H151" s="67">
        <f t="shared" si="110"/>
        <v>214.86666666666667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68.93096442878408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10.875</v>
      </c>
      <c r="N151" s="13">
        <f>IF('Données projet'!$A$36&gt;35,N150+M151-V150,IF(A151&lt;'Données projet'!$A$36,$K$205^A151,IF(A151='Données projet'!$A$36,'Données projet'!$B$36,N150+M151-V150)))</f>
        <v>651.38000000000045</v>
      </c>
      <c r="O151" s="13">
        <f>N151*VLOOKUP('Données projet'!$B$9,Paramètres!$A$1:$I$89,3,0)*VLOOKUP('Données projet'!$B$9,Paramètres!$A$1:$I$89,5,0)</f>
        <v>589.36862400000041</v>
      </c>
      <c r="P151" s="13">
        <f t="shared" si="141"/>
        <v>129.26055861773426</v>
      </c>
      <c r="Q151" s="20">
        <f t="shared" si="108"/>
        <v>1251.6124930592212</v>
      </c>
      <c r="R151" s="59">
        <f t="shared" si="109"/>
        <v>1541.0260292980961</v>
      </c>
      <c r="S151" s="59">
        <f ca="1">AVERAGE(OFFSET($R$3,0,0,'Données projet'!$E$9+1,1))-AVERAGE(OFFSET($H$3,0,0,'Données projet'!$E$9+1,1))</f>
        <v>719.20816951277925</v>
      </c>
      <c r="T151" s="59">
        <f t="shared" si="142"/>
        <v>237.1127421841087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60.629830876992436</v>
      </c>
      <c r="AA151" s="21">
        <f>EXP(-LN(2)/25)*AA150+(1-EXP(-LN(2)/25))/(LN(2)/25)*Calculateur!V151*Calculateur!X151*VLOOKUP('Données projet'!$B$9,Paramètres!$A$1:$I$89,3,0)*0.475*44/12</f>
        <v>23.100369186771559</v>
      </c>
      <c r="AB151" s="21">
        <f>EXP(-LN(2)/2)*AB150+(1-EXP(-LN(2)/2))/(LN(2)/2)*V151*Y151*VLOOKUP('Données projet'!$B$9,Paramètres!$A$1:$I$89,3,0)*0.475*44/12</f>
        <v>1.1526598088351276E-8</v>
      </c>
      <c r="AC151" s="22">
        <f t="shared" si="111"/>
        <v>83.730200075290583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68.93096442878408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5.6843418860808015E-14</v>
      </c>
      <c r="AJ151" s="13">
        <f>AI151*VLOOKUP('Données projet'!$B$10,Paramètres!$A$1:$I$89,3,0)*VLOOKUP('Données projet'!$B$10,Paramètres!$A$1:$I$89,5,0)</f>
        <v>4.7884896048344674E-14</v>
      </c>
      <c r="AK151" s="13">
        <f t="shared" si="143"/>
        <v>7.8374629847779921E-13</v>
      </c>
      <c r="AL151" s="20">
        <f t="shared" si="112"/>
        <v>1.4484243304663672E-12</v>
      </c>
      <c r="AM151" s="59">
        <f t="shared" si="113"/>
        <v>289.41353623887636</v>
      </c>
      <c r="AN151" s="59">
        <f ca="1">AVERAGE(OFFSET($AM$3,0,0,'Données projet'!$E$10+1,1))-AVERAGE(OFFSET($H$3,0,0,'Données projet'!$E$10+1,1))</f>
        <v>442.79037205372367</v>
      </c>
      <c r="AO151" s="59">
        <f t="shared" si="144"/>
        <v>288.23553637727969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53.252256591445573</v>
      </c>
      <c r="AV151" s="21">
        <f>EXP(-LN(2)/25)*AV150+(1-EXP(-LN(2)/25))/(LN(2)/25)*Calculateur!AQ151*Calculateur!AS151*VLOOKUP('Données projet'!$B$10,Paramètres!$A$1:$I$89,3,0)*0.475*44/12</f>
        <v>8.7320157857259524</v>
      </c>
      <c r="AW151" s="21">
        <f>EXP(-LN(2)/2)*AW150+(1-EXP(-LN(2)/2))/(LN(2)/2)*AQ151*AT151*VLOOKUP('Données projet'!$B$10,Paramètres!$A$1:$I$89,3,0)*0.475*44/12</f>
        <v>3.5395734429174832E-6</v>
      </c>
      <c r="AX151" s="21">
        <f t="shared" si="114"/>
        <v>61.984275916744963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68.93096442878408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7.5191666666666634</v>
      </c>
      <c r="BD151" s="12">
        <f>IF('Données projet'!$A$88&gt;35,BD150+BC151-BL150,IF(A151&lt;'Données projet'!$A$88,$BA$205^A151,IF(A151='Données projet'!$A$88,'Données projet'!$B$88,BD150+BC151-BL150)))</f>
        <v>349.0466666666664</v>
      </c>
      <c r="BE151" s="13">
        <f>BD151*VLOOKUP('Données projet'!$B$11,Paramètres!$A$1:$I$89,3,0)*VLOOKUP('Données projet'!$B$11,Paramètres!$A$1:$I$89,5,0)</f>
        <v>353.93331999999975</v>
      </c>
      <c r="BF151" s="13">
        <f t="shared" si="145"/>
        <v>82.371895151305182</v>
      </c>
      <c r="BG151" s="20">
        <f t="shared" si="115"/>
        <v>759.89824972185613</v>
      </c>
      <c r="BH151" s="59">
        <f t="shared" si="116"/>
        <v>1049.311785960731</v>
      </c>
      <c r="BI151" s="59">
        <f ca="1">AVERAGE(OFFSET($BH$3,0,0,'Données projet'!$E$11+1,1))-AVERAGE(OFFSET($H$3,0,0,'Données projet'!$E$11+1,1))</f>
        <v>559.91818701710872</v>
      </c>
      <c r="BJ151" s="59">
        <f t="shared" si="146"/>
        <v>273.47272623465915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30.744570272611792</v>
      </c>
      <c r="BQ151" s="21">
        <f>EXP(-LN(2)/25)*BQ150+(1-EXP(-LN(2)/25))/(LN(2)/25)*Calculateur!BL151*Calculateur!BN151*VLOOKUP('Données projet'!$B$11,Paramètres!$A$1:$I$89,3,0)*0.475*44/12</f>
        <v>20.664718706664978</v>
      </c>
      <c r="BR151" s="21">
        <f>EXP(-LN(2)/2)*BR150+(1-EXP(-LN(2)/2))/(LN(2)/2)*BL151*BO151*VLOOKUP('Données projet'!$B$11,Paramètres!$A$1:$I$89,3,0)*0.475*44/12</f>
        <v>1.4765850166630405</v>
      </c>
      <c r="BS151" s="22">
        <f t="shared" si="117"/>
        <v>52.885873995939804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68.93096442878408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-1.1368683772161603E-13</v>
      </c>
      <c r="BZ151" s="13">
        <f>BY151*VLOOKUP('Données projet'!$B$12,Paramètres!$A$1:$I$89,3,0)*VLOOKUP('Données projet'!$B$12,Paramètres!$A$1:$I$89,5,0)</f>
        <v>-8.8675733422860506E-14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208.92677786250815</v>
      </c>
      <c r="CE151" s="59">
        <f t="shared" si="148"/>
        <v>207.54290142772214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5.7658297118102046</v>
      </c>
      <c r="CL151" s="21">
        <f>EXP(-LN(2)/25)*CL150+(1-EXP(-LN(2)/25))/(LN(2)/25)*Calculateur!CG151*Calculateur!CI151*VLOOKUP('Données projet'!$B$12,Paramètres!$A$1:$I$89,3,0)*0.475*44/12</f>
        <v>3.0361417628806051</v>
      </c>
      <c r="CM151" s="21">
        <f>EXP(-LN(2)/2)*CM150+(1-EXP(-LN(2)/2))/(LN(2)/2)*CG151*CJ151*VLOOKUP('Données projet'!$B$12,Paramètres!$A$1:$I$89,3,0)*0.475*44/12</f>
        <v>5.0093329811008819E-11</v>
      </c>
      <c r="CN151" s="22">
        <f t="shared" si="120"/>
        <v>8.8019714747409026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68.93096442878408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2.5579538487363607E-13</v>
      </c>
      <c r="CU151" s="17">
        <f>CT151*VLOOKUP('Données projet'!$B$13,Paramètres!$A$1:$I$89,3,0)*VLOOKUP('Données projet'!$B$13,Paramètres!$A$1:$I$89,5,0)</f>
        <v>2.4341488824575211E-13</v>
      </c>
      <c r="CV151" s="13">
        <f t="shared" si="149"/>
        <v>3.2970717324875541E-12</v>
      </c>
      <c r="CW151" s="20">
        <f t="shared" si="121"/>
        <v>6.1663475311105072E-12</v>
      </c>
      <c r="CX151" s="59">
        <f t="shared" si="122"/>
        <v>289.41353623888108</v>
      </c>
      <c r="CY151" s="59">
        <f ca="1">AVERAGE(OFFSET($CX$3,0,0,'Données projet'!$E$13+1,1))-AVERAGE(OFFSET($H$3,0,0,'Données projet'!$E$13+1,1))</f>
        <v>470.42022791389275</v>
      </c>
      <c r="CZ151" s="59">
        <f t="shared" si="150"/>
        <v>300.26117330627346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46.313439984846511</v>
      </c>
      <c r="DG151" s="21">
        <f>EXP(-LN(2)/25)*DG150+(1-EXP(-LN(2)/25))/(LN(2)/25)*Calculateur!DB151*Calculateur!DD151*VLOOKUP('Données projet'!$B$13,Paramètres!$A$1:$I$89,3,0)*0.475*44/12</f>
        <v>36.549268408301977</v>
      </c>
      <c r="DH151" s="21">
        <f>EXP(-LN(2)/2)*DH150+(1-EXP(-LN(2)/2))/(LN(2)/2)*DB151*DE151*VLOOKUP('Données projet'!$B$13,Paramètres!$A$1:$I$89,3,0)*0.475*44/12</f>
        <v>7.0021773777956459E-2</v>
      </c>
      <c r="DI151" s="22">
        <f t="shared" si="123"/>
        <v>82.932730166926447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68.93096442878408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7.5191666666666634</v>
      </c>
      <c r="DO151" s="12">
        <f>IF('Données projet'!$A$166&gt;35,DO150+DN151-DW150,IF(A151&lt;'Données projet'!$A$166,$DL$205^A151,IF(A151='Données projet'!$A$166,'Données projet'!$B$166,DO150+DN151-DW150)))</f>
        <v>349.0466666666664</v>
      </c>
      <c r="DP151" s="17">
        <f>DO151*VLOOKUP('Données projet'!$B$14,Paramètres!$A$1:$I$89,3,0)*VLOOKUP('Données projet'!$B$14,Paramètres!$A$1:$I$89,5,0)</f>
        <v>337.59793599999972</v>
      </c>
      <c r="DQ151" s="13">
        <f t="shared" si="151"/>
        <v>79.003460193077288</v>
      </c>
      <c r="DR151" s="20">
        <f t="shared" si="124"/>
        <v>725.58076503627569</v>
      </c>
      <c r="DS151" s="59">
        <f t="shared" si="125"/>
        <v>1014.9943012751506</v>
      </c>
      <c r="DT151" s="59">
        <f ca="1">AVERAGE(OFFSET($DS$3,0,0,'Données projet'!$E$14+1,1))-AVERAGE(OFFSET($H$3,0,0,'Données projet'!$E$14+1,1))</f>
        <v>537.37164071064103</v>
      </c>
      <c r="DU151" s="59">
        <f t="shared" si="152"/>
        <v>263.29777321132235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20.946850075845397</v>
      </c>
      <c r="EB151" s="21">
        <f>EXP(-LN(2)/25)*EB150+(1-EXP(-LN(2)/25))/(LN(2)/25)*Calculateur!DW151*Calculateur!DY151*VLOOKUP('Données projet'!$B$14,Paramètres!$A$1:$I$89,3,0)*0.475*44/12</f>
        <v>19.206093673488468</v>
      </c>
      <c r="EC151" s="21">
        <f>EXP(-LN(2)/2)*EC150+(1-EXP(-LN(2)/2))/(LN(2)/2)*DW151*DZ151*VLOOKUP('Données projet'!$B$14,Paramètres!$A$1:$I$89,3,0)*0.475*44/12</f>
        <v>3.5210873472545177</v>
      </c>
      <c r="ED151" s="22">
        <f t="shared" si="126"/>
        <v>43.674031096588379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68.93096442878408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68.93096442878408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68.93096442878408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68.93096442878408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45">
      <c r="A152" s="10">
        <f t="shared" si="139"/>
        <v>149</v>
      </c>
      <c r="B152" s="73">
        <f>'Scénario référence'!$B$16*5+'Scénario référence'!$B$17*0+'Scénario référence'!$B$18*5</f>
        <v>2.8499999999999996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10.449999999999998</v>
      </c>
      <c r="H152" s="67">
        <f t="shared" si="110"/>
        <v>214.86666666666667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68.949509805939186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10.875</v>
      </c>
      <c r="N152" s="13">
        <f>IF('Données projet'!$A$36&gt;35,N151+M152-V151,IF(A152&lt;'Données projet'!$A$36,$K$205^A152,IF(A152='Données projet'!$A$36,'Données projet'!$B$36,N151+M152-V151)))</f>
        <v>662.25500000000045</v>
      </c>
      <c r="O152" s="13">
        <f>N152*VLOOKUP('Données projet'!$B$9,Paramètres!$A$1:$I$89,3,0)*VLOOKUP('Données projet'!$B$9,Paramètres!$A$1:$I$89,5,0)</f>
        <v>599.2083240000004</v>
      </c>
      <c r="P152" s="13">
        <f t="shared" si="141"/>
        <v>131.16556742426994</v>
      </c>
      <c r="Q152" s="20">
        <f t="shared" si="108"/>
        <v>1272.0678608972707</v>
      </c>
      <c r="R152" s="59">
        <f t="shared" si="109"/>
        <v>1561.5493968523811</v>
      </c>
      <c r="S152" s="59">
        <f ca="1">AVERAGE(OFFSET($R$3,0,0,'Données projet'!$E$9+1,1))-AVERAGE(OFFSET($H$3,0,0,'Données projet'!$E$9+1,1))</f>
        <v>719.20816951277925</v>
      </c>
      <c r="T152" s="59">
        <f t="shared" si="142"/>
        <v>237.1127421841087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59.440916874039921</v>
      </c>
      <c r="AA152" s="21">
        <f>EXP(-LN(2)/25)*AA151+(1-EXP(-LN(2)/25))/(LN(2)/25)*Calculateur!V152*Calculateur!X152*VLOOKUP('Données projet'!$B$9,Paramètres!$A$1:$I$89,3,0)*0.475*44/12</f>
        <v>22.468688376563673</v>
      </c>
      <c r="AB152" s="21">
        <f>EXP(-LN(2)/2)*AB151+(1-EXP(-LN(2)/2))/(LN(2)/2)*V152*Y152*VLOOKUP('Données projet'!$B$9,Paramètres!$A$1:$I$89,3,0)*0.475*44/12</f>
        <v>8.1505356722850825E-9</v>
      </c>
      <c r="AC152" s="22">
        <f t="shared" si="111"/>
        <v>81.909605258754127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68.949509805939186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5.6843418860808015E-14</v>
      </c>
      <c r="AJ152" s="13">
        <f>AI152*VLOOKUP('Données projet'!$B$10,Paramètres!$A$1:$I$89,3,0)*VLOOKUP('Données projet'!$B$10,Paramètres!$A$1:$I$89,5,0)</f>
        <v>4.7884896048344674E-14</v>
      </c>
      <c r="AK152" s="13">
        <f t="shared" si="143"/>
        <v>7.8374629847779921E-13</v>
      </c>
      <c r="AL152" s="20">
        <f t="shared" si="112"/>
        <v>1.4484243304663672E-12</v>
      </c>
      <c r="AM152" s="59">
        <f t="shared" si="113"/>
        <v>289.48153595511178</v>
      </c>
      <c r="AN152" s="59">
        <f ca="1">AVERAGE(OFFSET($AM$3,0,0,'Données projet'!$E$10+1,1))-AVERAGE(OFFSET($H$3,0,0,'Données projet'!$E$10+1,1))</f>
        <v>442.79037205372367</v>
      </c>
      <c r="AO152" s="59">
        <f t="shared" si="144"/>
        <v>288.23553637727969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52.208012320356644</v>
      </c>
      <c r="AV152" s="21">
        <f>EXP(-LN(2)/25)*AV151+(1-EXP(-LN(2)/25))/(LN(2)/25)*Calculateur!AQ152*Calculateur!AS152*VLOOKUP('Données projet'!$B$10,Paramètres!$A$1:$I$89,3,0)*0.475*44/12</f>
        <v>8.4932383548685237</v>
      </c>
      <c r="AW152" s="21">
        <f>EXP(-LN(2)/2)*AW151+(1-EXP(-LN(2)/2))/(LN(2)/2)*AQ152*AT152*VLOOKUP('Données projet'!$B$10,Paramètres!$A$1:$I$89,3,0)*0.475*44/12</f>
        <v>2.5028563839947674E-6</v>
      </c>
      <c r="AX152" s="21">
        <f t="shared" si="114"/>
        <v>60.701253178081551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68.949509805939186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7.5191666666666634</v>
      </c>
      <c r="BD152" s="12">
        <f>IF('Données projet'!$A$88&gt;35,BD151+BC152-BL151,IF(A152&lt;'Données projet'!$A$88,$BA$205^A152,IF(A152='Données projet'!$A$88,'Données projet'!$B$88,BD151+BC152-BL151)))</f>
        <v>356.56583333333305</v>
      </c>
      <c r="BE152" s="13">
        <f>BD152*VLOOKUP('Données projet'!$B$11,Paramètres!$A$1:$I$89,3,0)*VLOOKUP('Données projet'!$B$11,Paramètres!$A$1:$I$89,5,0)</f>
        <v>361.5577549999997</v>
      </c>
      <c r="BF152" s="13">
        <f t="shared" si="145"/>
        <v>83.937854438215282</v>
      </c>
      <c r="BG152" s="20">
        <f t="shared" si="115"/>
        <v>775.904853104891</v>
      </c>
      <c r="BH152" s="59">
        <f t="shared" si="116"/>
        <v>1065.3863890600014</v>
      </c>
      <c r="BI152" s="59">
        <f ca="1">AVERAGE(OFFSET($BH$3,0,0,'Données projet'!$E$11+1,1))-AVERAGE(OFFSET($H$3,0,0,'Données projet'!$E$11+1,1))</f>
        <v>559.91818701710872</v>
      </c>
      <c r="BJ152" s="59">
        <f t="shared" si="146"/>
        <v>273.47272623465915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30.141688001902104</v>
      </c>
      <c r="BQ152" s="21">
        <f>EXP(-LN(2)/25)*BQ151+(1-EXP(-LN(2)/25))/(LN(2)/25)*Calculateur!BL152*Calculateur!BN152*VLOOKUP('Données projet'!$B$11,Paramètres!$A$1:$I$89,3,0)*0.475*44/12</f>
        <v>20.099640886920898</v>
      </c>
      <c r="BR152" s="21">
        <f>EXP(-LN(2)/2)*BR151+(1-EXP(-LN(2)/2))/(LN(2)/2)*BL152*BO152*VLOOKUP('Données projet'!$B$11,Paramètres!$A$1:$I$89,3,0)*0.475*44/12</f>
        <v>1.0441032782808872</v>
      </c>
      <c r="BS152" s="22">
        <f t="shared" si="117"/>
        <v>51.285432167103892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68.949509805939186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-1.1368683772161603E-13</v>
      </c>
      <c r="BZ152" s="13">
        <f>BY152*VLOOKUP('Données projet'!$B$12,Paramètres!$A$1:$I$89,3,0)*VLOOKUP('Données projet'!$B$12,Paramètres!$A$1:$I$89,5,0)</f>
        <v>-8.8675733422860506E-14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208.92677786250815</v>
      </c>
      <c r="CE152" s="59">
        <f t="shared" si="148"/>
        <v>207.54290142772214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5.6527653079704745</v>
      </c>
      <c r="CL152" s="21">
        <f>EXP(-LN(2)/25)*CL151+(1-EXP(-LN(2)/25))/(LN(2)/25)*Calculateur!CG152*Calculateur!CI152*VLOOKUP('Données projet'!$B$12,Paramètres!$A$1:$I$89,3,0)*0.475*44/12</f>
        <v>2.9531183067108788</v>
      </c>
      <c r="CM152" s="21">
        <f>EXP(-LN(2)/2)*CM151+(1-EXP(-LN(2)/2))/(LN(2)/2)*CG152*CJ152*VLOOKUP('Données projet'!$B$12,Paramètres!$A$1:$I$89,3,0)*0.475*44/12</f>
        <v>3.542133320157857E-11</v>
      </c>
      <c r="CN152" s="22">
        <f t="shared" si="120"/>
        <v>8.6058836147167739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68.949509805939186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2.5579538487363607E-13</v>
      </c>
      <c r="CU152" s="17">
        <f>CT152*VLOOKUP('Données projet'!$B$13,Paramètres!$A$1:$I$89,3,0)*VLOOKUP('Données projet'!$B$13,Paramètres!$A$1:$I$89,5,0)</f>
        <v>2.4341488824575211E-13</v>
      </c>
      <c r="CV152" s="13">
        <f t="shared" si="149"/>
        <v>3.2970717324875541E-12</v>
      </c>
      <c r="CW152" s="20">
        <f t="shared" si="121"/>
        <v>6.1663475311105072E-12</v>
      </c>
      <c r="CX152" s="59">
        <f t="shared" si="122"/>
        <v>289.4815359551165</v>
      </c>
      <c r="CY152" s="59">
        <f ca="1">AVERAGE(OFFSET($CX$3,0,0,'Données projet'!$E$13+1,1))-AVERAGE(OFFSET($H$3,0,0,'Données projet'!$E$13+1,1))</f>
        <v>470.42022791389275</v>
      </c>
      <c r="CZ152" s="59">
        <f t="shared" si="150"/>
        <v>300.26117330627346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45.405261675152765</v>
      </c>
      <c r="DG152" s="21">
        <f>EXP(-LN(2)/25)*DG151+(1-EXP(-LN(2)/25))/(LN(2)/25)*Calculateur!DB152*Calculateur!DD152*VLOOKUP('Données projet'!$B$13,Paramètres!$A$1:$I$89,3,0)*0.475*44/12</f>
        <v>35.549826741634469</v>
      </c>
      <c r="DH152" s="21">
        <f>EXP(-LN(2)/2)*DH151+(1-EXP(-LN(2)/2))/(LN(2)/2)*DB152*DE152*VLOOKUP('Données projet'!$B$13,Paramètres!$A$1:$I$89,3,0)*0.475*44/12</f>
        <v>4.951287106910339E-2</v>
      </c>
      <c r="DI152" s="22">
        <f t="shared" si="123"/>
        <v>81.004601287856332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68.949509805939186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7.5191666666666634</v>
      </c>
      <c r="DO152" s="12">
        <f>IF('Données projet'!$A$166&gt;35,DO151+DN152-DW151,IF(A152&lt;'Données projet'!$A$166,$DL$205^A152,IF(A152='Données projet'!$A$166,'Données projet'!$B$166,DO151+DN152-DW151)))</f>
        <v>356.56583333333305</v>
      </c>
      <c r="DP152" s="17">
        <f>DO152*VLOOKUP('Données projet'!$B$14,Paramètres!$A$1:$I$89,3,0)*VLOOKUP('Données projet'!$B$14,Paramètres!$A$1:$I$89,5,0)</f>
        <v>344.87047399999972</v>
      </c>
      <c r="DQ152" s="13">
        <f t="shared" si="151"/>
        <v>80.505382686910082</v>
      </c>
      <c r="DR152" s="20">
        <f t="shared" si="124"/>
        <v>740.86295039636786</v>
      </c>
      <c r="DS152" s="59">
        <f t="shared" si="125"/>
        <v>1030.3444863514783</v>
      </c>
      <c r="DT152" s="59">
        <f ca="1">AVERAGE(OFFSET($DS$3,0,0,'Données projet'!$E$14+1,1))-AVERAGE(OFFSET($H$3,0,0,'Données projet'!$E$14+1,1))</f>
        <v>537.37164071064103</v>
      </c>
      <c r="DU152" s="59">
        <f t="shared" si="152"/>
        <v>263.29777321132235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20.536095122175059</v>
      </c>
      <c r="EB152" s="21">
        <f>EXP(-LN(2)/25)*EB151+(1-EXP(-LN(2)/25))/(LN(2)/25)*Calculateur!DW152*Calculateur!DY152*VLOOKUP('Données projet'!$B$14,Paramètres!$A$1:$I$89,3,0)*0.475*44/12</f>
        <v>18.680902031982356</v>
      </c>
      <c r="EC152" s="21">
        <f>EXP(-LN(2)/2)*EC151+(1-EXP(-LN(2)/2))/(LN(2)/2)*DW152*DZ152*VLOOKUP('Données projet'!$B$14,Paramètres!$A$1:$I$89,3,0)*0.475*44/12</f>
        <v>2.4897847403938216</v>
      </c>
      <c r="ED152" s="22">
        <f t="shared" si="126"/>
        <v>41.706781894551234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68.949509805939186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68.949509805939186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68.949509805939186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68.949509805939186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45">
      <c r="A153" s="10">
        <f>A152+1</f>
        <v>150</v>
      </c>
      <c r="B153" s="73">
        <f>'Scénario référence'!$B$16*5+'Scénario référence'!$B$17*0+'Scénario référence'!$B$18*5</f>
        <v>2.8499999999999996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10.449999999999998</v>
      </c>
      <c r="H153" s="67">
        <f t="shared" si="110"/>
        <v>214.86666666666667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68.967733462261918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>
        <f>VLOOKUP(A153,'Données projet'!$A$35:$I$55,2,0)</f>
        <v>673.13</v>
      </c>
      <c r="L153" s="12">
        <f>VLOOKUP(A153,'Données projet'!$A$35:$I$55,9,0)</f>
        <v>10.875</v>
      </c>
      <c r="M153" s="12">
        <f t="array" ref="M153">INDEX(L:L,MIN(IF(ISNUMBER(L153:L349),ROW(L153:L349),"")))</f>
        <v>10.875</v>
      </c>
      <c r="N153" s="13">
        <f>IF('Données projet'!$A$36&gt;35,N152+M153-V152,IF(A153&lt;'Données projet'!$A$36,$K$205^A153,IF(A153='Données projet'!$A$36,'Données projet'!$B$36,N152+M153-V152)))</f>
        <v>673.13000000000045</v>
      </c>
      <c r="O153" s="13">
        <f>N153*VLOOKUP('Données projet'!$B$9,Paramètres!$A$1:$I$89,3,0)*VLOOKUP('Données projet'!$B$9,Paramètres!$A$1:$I$89,5,0)</f>
        <v>609.0480240000004</v>
      </c>
      <c r="P153" s="13">
        <f t="shared" si="141"/>
        <v>133.06693825648006</v>
      </c>
      <c r="Q153" s="20">
        <f t="shared" si="108"/>
        <v>1292.5168925967034</v>
      </c>
      <c r="R153" s="59">
        <f t="shared" si="109"/>
        <v>1582.0652486249971</v>
      </c>
      <c r="S153" s="59">
        <f ca="1">AVERAGE(OFFSET($R$3,0,0,'Données projet'!$E$9+1,1))-AVERAGE(OFFSET($H$3,0,0,'Données projet'!$E$9+1,1))</f>
        <v>719.20816951277925</v>
      </c>
      <c r="T153" s="59">
        <f t="shared" si="142"/>
        <v>237.1127421841087</v>
      </c>
      <c r="U153" s="15">
        <f>IF(ISNA(VLOOKUP(A153,'Données projet'!$A$35:$I$55,3,0)),0,VLOOKUP(A153,'Données projet'!$A$35:$I$55,3,0))</f>
        <v>14</v>
      </c>
      <c r="V153" s="15">
        <f>IF(ISNA(VLOOKUP(A153,'Données projet'!$A$35:$I$55,4,0)),0,VLOOKUP(A153,'Données projet'!$A$35:$I$55,4,0))</f>
        <v>259.52</v>
      </c>
      <c r="W153" s="16">
        <f>IF(ISNA(VLOOKUP(A153,'Données projet'!$A$35:$I$55,5,0)),0%,VLOOKUP(A153,'Données projet'!$A$35:$I$55,5,0)*VLOOKUP('Données projet'!$B$9,Paramètres!$A$1:$I$89,7,0))</f>
        <v>0.19350000000000001</v>
      </c>
      <c r="X153" s="16">
        <f>IF(ISNA(VLOOKUP(A153,'Données projet'!$A$35:$I$55,6,0)),0%,VLOOKUP(A153,'Données projet'!$A$35:$I$55,6,0)*VLOOKUP('Données projet'!$B$9,Paramètres!$A$1:$I$89,7,0))</f>
        <v>2.1500000000000002E-2</v>
      </c>
      <c r="Y153" s="16">
        <f>IF(ISNA(VLOOKUP(A153,'Données projet'!$A$35:$I$55,7,0)),0%,VLOOKUP(A153,'Données projet'!$A$35:$I$55,7,0))</f>
        <v>0.05</v>
      </c>
      <c r="Z153" s="21">
        <f>EXP(-LN(2)/35)*Z152+(1-EXP(-LN(2)/35))/(LN(2)/35)*V153*W153*VLOOKUP('Données projet'!$B$9,Paramètres!$A$1:$I$89,3,0)*0.475*44/12</f>
        <v>108.50396657021207</v>
      </c>
      <c r="AA153" s="21">
        <f>EXP(-LN(2)/25)*AA152+(1-EXP(-LN(2)/25))/(LN(2)/25)*Calculateur!V153*Calculateur!X153*VLOOKUP('Données projet'!$B$9,Paramètres!$A$1:$I$89,3,0)*0.475*44/12</f>
        <v>27.413267632188749</v>
      </c>
      <c r="AB153" s="21">
        <f>EXP(-LN(2)/2)*AB152+(1-EXP(-LN(2)/2))/(LN(2)/2)*V153*Y153*VLOOKUP('Données projet'!$B$9,Paramètres!$A$1:$I$89,3,0)*0.475*44/12</f>
        <v>11.077652110461678</v>
      </c>
      <c r="AC153" s="22">
        <f t="shared" si="111"/>
        <v>146.99488631286252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68.967733462261918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5.6843418860808015E-14</v>
      </c>
      <c r="AJ153" s="13">
        <f>AI153*VLOOKUP('Données projet'!$B$10,Paramètres!$A$1:$I$89,3,0)*VLOOKUP('Données projet'!$B$10,Paramètres!$A$1:$I$89,5,0)</f>
        <v>4.7884896048344674E-14</v>
      </c>
      <c r="AK153" s="13">
        <f t="shared" si="143"/>
        <v>7.8374629847779921E-13</v>
      </c>
      <c r="AL153" s="20">
        <f t="shared" si="112"/>
        <v>1.4484243304663672E-12</v>
      </c>
      <c r="AM153" s="59">
        <f t="shared" si="113"/>
        <v>289.54835602829513</v>
      </c>
      <c r="AN153" s="59">
        <f ca="1">AVERAGE(OFFSET($AM$3,0,0,'Données projet'!$E$10+1,1))-AVERAGE(OFFSET($H$3,0,0,'Données projet'!$E$10+1,1))</f>
        <v>442.79037205372367</v>
      </c>
      <c r="AO153" s="59">
        <f t="shared" si="144"/>
        <v>288.23553637727969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51.184245042497658</v>
      </c>
      <c r="AV153" s="21">
        <f>EXP(-LN(2)/25)*AV152+(1-EXP(-LN(2)/25))/(LN(2)/25)*Calculateur!AQ153*Calculateur!AS153*VLOOKUP('Données projet'!$B$10,Paramètres!$A$1:$I$89,3,0)*0.475*44/12</f>
        <v>8.2609903054146496</v>
      </c>
      <c r="AW153" s="21">
        <f>EXP(-LN(2)/2)*AW152+(1-EXP(-LN(2)/2))/(LN(2)/2)*AQ153*AT153*VLOOKUP('Données projet'!$B$10,Paramètres!$A$1:$I$89,3,0)*0.475*44/12</f>
        <v>1.7697867214587416E-6</v>
      </c>
      <c r="AX153" s="21">
        <f t="shared" si="114"/>
        <v>59.44523711769903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68.967733462261918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7.5191666666666634</v>
      </c>
      <c r="BD153" s="12">
        <f>IF('Données projet'!$A$88&gt;35,BD152+BC153-BL152,IF(A153&lt;'Données projet'!$A$88,$BA$205^A153,IF(A153='Données projet'!$A$88,'Données projet'!$B$88,BD152+BC153-BL152)))</f>
        <v>364.0849999999997</v>
      </c>
      <c r="BE153" s="13">
        <f>BD153*VLOOKUP('Données projet'!$B$11,Paramètres!$A$1:$I$89,3,0)*VLOOKUP('Données projet'!$B$11,Paramètres!$A$1:$I$89,5,0)</f>
        <v>369.18218999999971</v>
      </c>
      <c r="BF153" s="13">
        <f t="shared" si="145"/>
        <v>85.499974314579831</v>
      </c>
      <c r="BG153" s="20">
        <f t="shared" si="115"/>
        <v>791.90476951455923</v>
      </c>
      <c r="BH153" s="59">
        <f t="shared" si="116"/>
        <v>1081.4531255428528</v>
      </c>
      <c r="BI153" s="59">
        <f ca="1">AVERAGE(OFFSET($BH$3,0,0,'Données projet'!$E$11+1,1))-AVERAGE(OFFSET($H$3,0,0,'Données projet'!$E$11+1,1))</f>
        <v>559.91818701710872</v>
      </c>
      <c r="BJ153" s="59">
        <f t="shared" si="146"/>
        <v>273.47272623465915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29.550627884799155</v>
      </c>
      <c r="BQ153" s="21">
        <f>EXP(-LN(2)/25)*BQ152+(1-EXP(-LN(2)/25))/(LN(2)/25)*Calculateur!BL153*Calculateur!BN153*VLOOKUP('Données projet'!$B$11,Paramètres!$A$1:$I$89,3,0)*0.475*44/12</f>
        <v>19.550015149873872</v>
      </c>
      <c r="BR153" s="21">
        <f>EXP(-LN(2)/2)*BR152+(1-EXP(-LN(2)/2))/(LN(2)/2)*BL153*BO153*VLOOKUP('Données projet'!$B$11,Paramètres!$A$1:$I$89,3,0)*0.475*44/12</f>
        <v>0.73829250833152027</v>
      </c>
      <c r="BS153" s="22">
        <f t="shared" si="117"/>
        <v>49.838935543004546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68.967733462261918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-1.1368683772161603E-13</v>
      </c>
      <c r="BZ153" s="13">
        <f>BY153*VLOOKUP('Données projet'!$B$12,Paramètres!$A$1:$I$89,3,0)*VLOOKUP('Données projet'!$B$12,Paramètres!$A$1:$I$89,5,0)</f>
        <v>-8.8675733422860506E-14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208.92677786250815</v>
      </c>
      <c r="CE153" s="59">
        <f t="shared" si="148"/>
        <v>207.54290142772214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5.5419180281275651</v>
      </c>
      <c r="CL153" s="21">
        <f>EXP(-LN(2)/25)*CL152+(1-EXP(-LN(2)/25))/(LN(2)/25)*Calculateur!CG153*Calculateur!CI153*VLOOKUP('Données projet'!$B$12,Paramètres!$A$1:$I$89,3,0)*0.475*44/12</f>
        <v>2.8723651313161276</v>
      </c>
      <c r="CM153" s="21">
        <f>EXP(-LN(2)/2)*CM152+(1-EXP(-LN(2)/2))/(LN(2)/2)*CG153*CJ153*VLOOKUP('Données projet'!$B$12,Paramètres!$A$1:$I$89,3,0)*0.475*44/12</f>
        <v>2.5046664905504409E-11</v>
      </c>
      <c r="CN153" s="22">
        <f t="shared" si="120"/>
        <v>8.4142831594687397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68.967733462261918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2.5579538487363607E-13</v>
      </c>
      <c r="CU153" s="17">
        <f>CT153*VLOOKUP('Données projet'!$B$13,Paramètres!$A$1:$I$89,3,0)*VLOOKUP('Données projet'!$B$13,Paramètres!$A$1:$I$89,5,0)</f>
        <v>2.4341488824575211E-13</v>
      </c>
      <c r="CV153" s="13">
        <f t="shared" si="149"/>
        <v>3.2970717324875541E-12</v>
      </c>
      <c r="CW153" s="20">
        <f t="shared" si="121"/>
        <v>6.1663475311105072E-12</v>
      </c>
      <c r="CX153" s="59">
        <f t="shared" si="122"/>
        <v>289.54835602829985</v>
      </c>
      <c r="CY153" s="59">
        <f ca="1">AVERAGE(OFFSET($CX$3,0,0,'Données projet'!$E$13+1,1))-AVERAGE(OFFSET($H$3,0,0,'Données projet'!$E$13+1,1))</f>
        <v>470.42022791389275</v>
      </c>
      <c r="CZ153" s="59">
        <f t="shared" si="150"/>
        <v>300.26117330627346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44.514892188178038</v>
      </c>
      <c r="DG153" s="21">
        <f>EXP(-LN(2)/25)*DG152+(1-EXP(-LN(2)/25))/(LN(2)/25)*Calculateur!DB153*Calculateur!DD153*VLOOKUP('Données projet'!$B$13,Paramètres!$A$1:$I$89,3,0)*0.475*44/12</f>
        <v>34.57771485990034</v>
      </c>
      <c r="DH153" s="21">
        <f>EXP(-LN(2)/2)*DH152+(1-EXP(-LN(2)/2))/(LN(2)/2)*DB153*DE153*VLOOKUP('Données projet'!$B$13,Paramètres!$A$1:$I$89,3,0)*0.475*44/12</f>
        <v>3.5010886888978229E-2</v>
      </c>
      <c r="DI153" s="22">
        <f t="shared" si="123"/>
        <v>79.127617934967361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68.967733462261918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7.5191666666666634</v>
      </c>
      <c r="DO153" s="12">
        <f>IF('Données projet'!$A$166&gt;35,DO152+DN153-DW152,IF(A153&lt;'Données projet'!$A$166,$DL$205^A153,IF(A153='Données projet'!$A$166,'Données projet'!$B$166,DO152+DN153-DW152)))</f>
        <v>364.0849999999997</v>
      </c>
      <c r="DP153" s="17">
        <f>DO153*VLOOKUP('Données projet'!$B$14,Paramètres!$A$1:$I$89,3,0)*VLOOKUP('Données projet'!$B$14,Paramètres!$A$1:$I$89,5,0)</f>
        <v>352.14301199999971</v>
      </c>
      <c r="DQ153" s="13">
        <f t="shared" si="151"/>
        <v>82.003622775261761</v>
      </c>
      <c r="DR153" s="20">
        <f t="shared" si="124"/>
        <v>756.13872223358032</v>
      </c>
      <c r="DS153" s="59">
        <f t="shared" si="125"/>
        <v>1045.6870782618739</v>
      </c>
      <c r="DT153" s="59">
        <f ca="1">AVERAGE(OFFSET($DS$3,0,0,'Données projet'!$E$14+1,1))-AVERAGE(OFFSET($H$3,0,0,'Données projet'!$E$14+1,1))</f>
        <v>537.37164071064103</v>
      </c>
      <c r="DU153" s="59">
        <f t="shared" si="152"/>
        <v>263.29777321132235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20.133394822610413</v>
      </c>
      <c r="EB153" s="21">
        <f>EXP(-LN(2)/25)*EB152+(1-EXP(-LN(2)/25))/(LN(2)/25)*Calculateur!DW153*Calculateur!DY153*VLOOKUP('Données projet'!$B$14,Paramètres!$A$1:$I$89,3,0)*0.475*44/12</f>
        <v>18.170071783531856</v>
      </c>
      <c r="EC153" s="21">
        <f>EXP(-LN(2)/2)*EC152+(1-EXP(-LN(2)/2))/(LN(2)/2)*DW153*DZ153*VLOOKUP('Données projet'!$B$14,Paramètres!$A$1:$I$89,3,0)*0.475*44/12</f>
        <v>1.7605436736272591</v>
      </c>
      <c r="ED153" s="22">
        <f t="shared" si="126"/>
        <v>40.064010279769526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68.967733462261918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68.967733462261918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68.967733462261918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68.967733462261918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45">
      <c r="A154" s="10">
        <f t="shared" ref="A154:A202" si="161">A153+1</f>
        <v>151</v>
      </c>
      <c r="B154" s="73">
        <f>'Scénario référence'!$B$16*5+'Scénario référence'!$B$17*0+'Scénario référence'!$B$18*5</f>
        <v>2.8499999999999996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10.449999999999998</v>
      </c>
      <c r="H154" s="67">
        <f t="shared" si="110"/>
        <v>214.86666666666667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68.985640978889421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7.1200000000000045</v>
      </c>
      <c r="N154" s="13">
        <f>IF('Données projet'!$A$36&gt;35,N153+M154-V153,IF(A154&lt;'Données projet'!$A$36,$K$205^A154,IF(A154='Données projet'!$A$36,'Données projet'!$B$36,N153+M154-V153)))</f>
        <v>420.73000000000047</v>
      </c>
      <c r="O154" s="13">
        <f>N154*VLOOKUP('Données projet'!$B$9,Paramètres!$A$1:$I$89,3,0)*VLOOKUP('Données projet'!$B$9,Paramètres!$A$1:$I$89,5,0)</f>
        <v>380.67650400000042</v>
      </c>
      <c r="P154" s="13">
        <f t="shared" si="141"/>
        <v>87.847905288115243</v>
      </c>
      <c r="Q154" s="20">
        <f t="shared" ref="Q154:Q203" si="162">(O154+P154)*0.475*44/12</f>
        <v>816.01334617680141</v>
      </c>
      <c r="R154" s="59">
        <f t="shared" si="109"/>
        <v>1105.627363099396</v>
      </c>
      <c r="S154" s="59">
        <f ca="1">AVERAGE(OFFSET($R$3,0,0,'Données projet'!$E$9+1,1))-AVERAGE(OFFSET($H$3,0,0,'Données projet'!$E$9+1,1))</f>
        <v>719.20816951277925</v>
      </c>
      <c r="T154" s="59">
        <f t="shared" si="142"/>
        <v>237.1127421841087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106.376269966655</v>
      </c>
      <c r="AA154" s="21">
        <f>EXP(-LN(2)/25)*AA153+(1-EXP(-LN(2)/25))/(LN(2)/25)*Calculateur!V154*Calculateur!X154*VLOOKUP('Données projet'!$B$9,Paramètres!$A$1:$I$89,3,0)*0.475*44/12</f>
        <v>26.663650387185456</v>
      </c>
      <c r="AB154" s="21">
        <f>EXP(-LN(2)/2)*AB153+(1-EXP(-LN(2)/2))/(LN(2)/2)*V154*Y154*VLOOKUP('Données projet'!$B$9,Paramètres!$A$1:$I$89,3,0)*0.475*44/12</f>
        <v>7.8330829269329225</v>
      </c>
      <c r="AC154" s="22">
        <f t="shared" ref="AC154:AC203" si="163">SUM(Z154:AB154)</f>
        <v>140.87300328077336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68.985640978889421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5.6843418860808015E-14</v>
      </c>
      <c r="AJ154" s="13">
        <f>AI154*VLOOKUP('Données projet'!$B$10,Paramètres!$A$1:$I$89,3,0)*VLOOKUP('Données projet'!$B$10,Paramètres!$A$1:$I$89,5,0)</f>
        <v>4.7884896048344674E-14</v>
      </c>
      <c r="AK154" s="13">
        <f t="shared" ref="AK154:AK203" si="164">EXP(-1.0587+0.8836*LN(AJ154)+0.284)</f>
        <v>7.8374629847779921E-13</v>
      </c>
      <c r="AL154" s="20">
        <f t="shared" ref="AL154:AL203" si="165">(AJ154+AK154)*0.475*44/12</f>
        <v>1.4484243304663672E-12</v>
      </c>
      <c r="AM154" s="59">
        <f t="shared" si="113"/>
        <v>289.61401692259597</v>
      </c>
      <c r="AN154" s="59">
        <f ca="1">AVERAGE(OFFSET($AM$3,0,0,'Données projet'!$E$10+1,1))-AVERAGE(OFFSET($H$3,0,0,'Données projet'!$E$10+1,1))</f>
        <v>442.79037205372367</v>
      </c>
      <c r="AO154" s="59">
        <f t="shared" si="144"/>
        <v>288.23553637727969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50.180553216521105</v>
      </c>
      <c r="AV154" s="21">
        <f>EXP(-LN(2)/25)*AV153+(1-EXP(-LN(2)/25))/(LN(2)/25)*Calculateur!AQ154*Calculateur!AS154*VLOOKUP('Données projet'!$B$10,Paramètres!$A$1:$I$89,3,0)*0.475*44/12</f>
        <v>8.0350930910864875</v>
      </c>
      <c r="AW154" s="21">
        <f>EXP(-LN(2)/2)*AW153+(1-EXP(-LN(2)/2))/(LN(2)/2)*AQ154*AT154*VLOOKUP('Données projet'!$B$10,Paramètres!$A$1:$I$89,3,0)*0.475*44/12</f>
        <v>1.2514281919973837E-6</v>
      </c>
      <c r="AX154" s="21">
        <f t="shared" ref="AX154:AX203" si="166">SUM(AU154:AW154)</f>
        <v>58.215647559035787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68.985640978889421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7.5191666666666634</v>
      </c>
      <c r="BD154" s="12">
        <f>IF('Données projet'!$A$88&gt;35,BD153+BC154-BL153,IF(A154&lt;'Données projet'!$A$88,$BA$205^A154,IF(A154='Données projet'!$A$88,'Données projet'!$B$88,BD153+BC154-BL153)))</f>
        <v>371.60416666666634</v>
      </c>
      <c r="BE154" s="13">
        <f>BD154*VLOOKUP('Données projet'!$B$11,Paramètres!$A$1:$I$89,3,0)*VLOOKUP('Données projet'!$B$11,Paramètres!$A$1:$I$89,5,0)</f>
        <v>376.80662499999971</v>
      </c>
      <c r="BF154" s="13">
        <f t="shared" ref="BF154:BF203" si="167">EXP(-1.0587+0.8836*LN(BE154)+0.284)</f>
        <v>87.058343208792692</v>
      </c>
      <c r="BG154" s="20">
        <f t="shared" ref="BG154:BG203" si="168">(BE154+BF154)*0.475*44/12</f>
        <v>807.89815296364668</v>
      </c>
      <c r="BH154" s="59">
        <f t="shared" si="116"/>
        <v>1097.5121698862413</v>
      </c>
      <c r="BI154" s="59">
        <f ca="1">AVERAGE(OFFSET($BH$3,0,0,'Données projet'!$E$11+1,1))-AVERAGE(OFFSET($H$3,0,0,'Données projet'!$E$11+1,1))</f>
        <v>559.91818701710872</v>
      </c>
      <c r="BJ154" s="59">
        <f t="shared" si="146"/>
        <v>273.47272623465915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28.97115809608152</v>
      </c>
      <c r="BQ154" s="21">
        <f>EXP(-LN(2)/25)*BQ153+(1-EXP(-LN(2)/25))/(LN(2)/25)*Calculateur!BL154*Calculateur!BN154*VLOOKUP('Données projet'!$B$11,Paramètres!$A$1:$I$89,3,0)*0.475*44/12</f>
        <v>19.015418957509954</v>
      </c>
      <c r="BR154" s="21">
        <f>EXP(-LN(2)/2)*BR153+(1-EXP(-LN(2)/2))/(LN(2)/2)*BL154*BO154*VLOOKUP('Données projet'!$B$11,Paramètres!$A$1:$I$89,3,0)*0.475*44/12</f>
        <v>0.52205163914044361</v>
      </c>
      <c r="BS154" s="22">
        <f t="shared" ref="BS154:BS203" si="169">SUM(BP154:BR154)</f>
        <v>48.508628692731918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68.985640978889421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-1.1368683772161603E-13</v>
      </c>
      <c r="BZ154" s="13">
        <f>BY154*VLOOKUP('Données projet'!$B$12,Paramètres!$A$1:$I$89,3,0)*VLOOKUP('Données projet'!$B$12,Paramètres!$A$1:$I$89,5,0)</f>
        <v>-8.8675733422860506E-14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208.92677786250815</v>
      </c>
      <c r="CE154" s="59">
        <f t="shared" si="148"/>
        <v>207.54290142772214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5.4332443958322099</v>
      </c>
      <c r="CL154" s="21">
        <f>EXP(-LN(2)/25)*CL153+(1-EXP(-LN(2)/25))/(LN(2)/25)*Calculateur!CG154*Calculateur!CI154*VLOOKUP('Données projet'!$B$12,Paramètres!$A$1:$I$89,3,0)*0.475*44/12</f>
        <v>2.7938201557491706</v>
      </c>
      <c r="CM154" s="21">
        <f>EXP(-LN(2)/2)*CM153+(1-EXP(-LN(2)/2))/(LN(2)/2)*CG154*CJ154*VLOOKUP('Données projet'!$B$12,Paramètres!$A$1:$I$89,3,0)*0.475*44/12</f>
        <v>1.7710666600789285E-11</v>
      </c>
      <c r="CN154" s="22">
        <f t="shared" ref="CN154:CN203" si="172">SUM(CK154:CM154)</f>
        <v>8.2270645515990903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68.985640978889421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2.5579538487363607E-13</v>
      </c>
      <c r="CU154" s="17">
        <f>CT154*VLOOKUP('Données projet'!$B$13,Paramètres!$A$1:$I$89,3,0)*VLOOKUP('Données projet'!$B$13,Paramètres!$A$1:$I$89,5,0)</f>
        <v>2.4341488824575211E-13</v>
      </c>
      <c r="CV154" s="13">
        <f t="shared" ref="CV154:CV203" si="173">EXP(-1.0587+0.8836*LN(CU154)+0.284)</f>
        <v>3.2970717324875541E-12</v>
      </c>
      <c r="CW154" s="20">
        <f t="shared" ref="CW154:CW203" si="174">(CU154+CV154)*0.475*44/12</f>
        <v>6.1663475311105072E-12</v>
      </c>
      <c r="CX154" s="59">
        <f t="shared" si="122"/>
        <v>289.61401692260068</v>
      </c>
      <c r="CY154" s="59">
        <f ca="1">AVERAGE(OFFSET($CX$3,0,0,'Données projet'!$E$13+1,1))-AVERAGE(OFFSET($H$3,0,0,'Données projet'!$E$13+1,1))</f>
        <v>470.42022791389275</v>
      </c>
      <c r="CZ154" s="59">
        <f t="shared" si="150"/>
        <v>300.26117330627346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43.641982303771123</v>
      </c>
      <c r="DG154" s="21">
        <f>EXP(-LN(2)/25)*DG153+(1-EXP(-LN(2)/25))/(LN(2)/25)*Calculateur!DB154*Calculateur!DD154*VLOOKUP('Données projet'!$B$13,Paramètres!$A$1:$I$89,3,0)*0.475*44/12</f>
        <v>33.632185428693369</v>
      </c>
      <c r="DH154" s="21">
        <f>EXP(-LN(2)/2)*DH153+(1-EXP(-LN(2)/2))/(LN(2)/2)*DB154*DE154*VLOOKUP('Données projet'!$B$13,Paramètres!$A$1:$I$89,3,0)*0.475*44/12</f>
        <v>2.4756435534551695E-2</v>
      </c>
      <c r="DI154" s="22">
        <f t="shared" ref="DI154:DI203" si="175">SUM(DF154:DH154)</f>
        <v>77.298924167999047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68.985640978889421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7.5191666666666634</v>
      </c>
      <c r="DO154" s="12">
        <f>IF('Données projet'!$A$166&gt;35,DO153+DN154-DW153,IF(A154&lt;'Données projet'!$A$166,$DL$205^A154,IF(A154='Données projet'!$A$166,'Données projet'!$B$166,DO153+DN154-DW153)))</f>
        <v>371.60416666666634</v>
      </c>
      <c r="DP154" s="17">
        <f>DO154*VLOOKUP('Données projet'!$B$14,Paramètres!$A$1:$I$89,3,0)*VLOOKUP('Données projet'!$B$14,Paramètres!$A$1:$I$89,5,0)</f>
        <v>359.41554999999971</v>
      </c>
      <c r="DQ154" s="13">
        <f t="shared" ref="DQ154:DQ203" si="176">EXP(-1.0587+0.8836*LN(DP154)+0.284)</f>
        <v>83.498265270422635</v>
      </c>
      <c r="DR154" s="20">
        <f t="shared" ref="DR154:DR203" si="177">(DP154+DQ154)*0.475*44/12</f>
        <v>771.40822826265219</v>
      </c>
      <c r="DS154" s="59">
        <f t="shared" si="125"/>
        <v>1061.0222451852467</v>
      </c>
      <c r="DT154" s="59">
        <f ca="1">AVERAGE(OFFSET($DS$3,0,0,'Données projet'!$E$14+1,1))-AVERAGE(OFFSET($H$3,0,0,'Données projet'!$E$14+1,1))</f>
        <v>537.37164071064103</v>
      </c>
      <c r="DU154" s="59">
        <f t="shared" si="152"/>
        <v>263.29777321132235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19.738591230297299</v>
      </c>
      <c r="EB154" s="21">
        <f>EXP(-LN(2)/25)*EB153+(1-EXP(-LN(2)/25))/(LN(2)/25)*Calculateur!DW154*Calculateur!DY154*VLOOKUP('Données projet'!$B$14,Paramètres!$A$1:$I$89,3,0)*0.475*44/12</f>
        <v>17.673210215088631</v>
      </c>
      <c r="EC154" s="21">
        <f>EXP(-LN(2)/2)*EC153+(1-EXP(-LN(2)/2))/(LN(2)/2)*DW154*DZ154*VLOOKUP('Données projet'!$B$14,Paramètres!$A$1:$I$89,3,0)*0.475*44/12</f>
        <v>1.2448923701969108</v>
      </c>
      <c r="ED154" s="22">
        <f t="shared" ref="ED154:ED203" si="178">SUM(EA154:EC154)</f>
        <v>38.656693815582841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68.985640978889421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68.985640978889421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68.985640978889421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68.985640978889421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45">
      <c r="A155" s="10">
        <f t="shared" si="161"/>
        <v>152</v>
      </c>
      <c r="B155" s="73">
        <f>'Scénario référence'!$B$16*5+'Scénario référence'!$B$17*0+'Scénario référence'!$B$18*5</f>
        <v>2.8499999999999996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10.449999999999998</v>
      </c>
      <c r="H155" s="67">
        <f t="shared" si="110"/>
        <v>214.86666666666667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69.003237840138652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7.1200000000000045</v>
      </c>
      <c r="N155" s="13">
        <f>IF('Données projet'!$A$36&gt;35,N154+M155-V154,IF(A155&lt;'Données projet'!$A$36,$K$205^A155,IF(A155='Données projet'!$A$36,'Données projet'!$B$36,N154+M155-V154)))</f>
        <v>427.85000000000048</v>
      </c>
      <c r="O155" s="13">
        <f>N155*VLOOKUP('Données projet'!$B$9,Paramètres!$A$1:$I$89,3,0)*VLOOKUP('Données projet'!$B$9,Paramètres!$A$1:$I$89,5,0)</f>
        <v>387.11868000000038</v>
      </c>
      <c r="P155" s="13">
        <f t="shared" si="141"/>
        <v>89.160221060882904</v>
      </c>
      <c r="Q155" s="20">
        <f t="shared" si="162"/>
        <v>829.51908601437174</v>
      </c>
      <c r="R155" s="59">
        <f t="shared" si="109"/>
        <v>1119.1976247615469</v>
      </c>
      <c r="S155" s="59">
        <f ca="1">AVERAGE(OFFSET($R$3,0,0,'Données projet'!$E$9+1,1))-AVERAGE(OFFSET($H$3,0,0,'Données projet'!$E$9+1,1))</f>
        <v>719.20816951277925</v>
      </c>
      <c r="T155" s="59">
        <f t="shared" si="142"/>
        <v>237.1127421841087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104.2902961957269</v>
      </c>
      <c r="AA155" s="21">
        <f>EXP(-LN(2)/25)*AA154+(1-EXP(-LN(2)/25))/(LN(2)/25)*Calculateur!V155*Calculateur!X155*VLOOKUP('Données projet'!$B$9,Paramètres!$A$1:$I$89,3,0)*0.475*44/12</f>
        <v>25.934531465167435</v>
      </c>
      <c r="AB155" s="21">
        <f>EXP(-LN(2)/2)*AB154+(1-EXP(-LN(2)/2))/(LN(2)/2)*V155*Y155*VLOOKUP('Données projet'!$B$9,Paramètres!$A$1:$I$89,3,0)*0.475*44/12</f>
        <v>5.5388260552308397</v>
      </c>
      <c r="AC155" s="22">
        <f t="shared" si="163"/>
        <v>135.76365371612516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69.003237840138652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5.6843418860808015E-14</v>
      </c>
      <c r="AJ155" s="13">
        <f>AI155*VLOOKUP('Données projet'!$B$10,Paramètres!$A$1:$I$89,3,0)*VLOOKUP('Données projet'!$B$10,Paramètres!$A$1:$I$89,5,0)</f>
        <v>4.7884896048344674E-14</v>
      </c>
      <c r="AK155" s="13">
        <f t="shared" si="164"/>
        <v>7.8374629847779921E-13</v>
      </c>
      <c r="AL155" s="20">
        <f t="shared" si="165"/>
        <v>1.4484243304663672E-12</v>
      </c>
      <c r="AM155" s="59">
        <f t="shared" si="113"/>
        <v>289.6785387471765</v>
      </c>
      <c r="AN155" s="59">
        <f ca="1">AVERAGE(OFFSET($AM$3,0,0,'Données projet'!$E$10+1,1))-AVERAGE(OFFSET($H$3,0,0,'Données projet'!$E$10+1,1))</f>
        <v>442.79037205372367</v>
      </c>
      <c r="AO155" s="59">
        <f t="shared" si="144"/>
        <v>288.23553637727969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49.196543175060384</v>
      </c>
      <c r="AV155" s="21">
        <f>EXP(-LN(2)/25)*AV154+(1-EXP(-LN(2)/25))/(LN(2)/25)*Calculateur!AQ155*Calculateur!AS155*VLOOKUP('Données projet'!$B$10,Paramètres!$A$1:$I$89,3,0)*0.475*44/12</f>
        <v>7.8153730479635461</v>
      </c>
      <c r="AW155" s="21">
        <f>EXP(-LN(2)/2)*AW154+(1-EXP(-LN(2)/2))/(LN(2)/2)*AQ155*AT155*VLOOKUP('Données projet'!$B$10,Paramètres!$A$1:$I$89,3,0)*0.475*44/12</f>
        <v>8.848933607293708E-7</v>
      </c>
      <c r="AX155" s="21">
        <f t="shared" si="166"/>
        <v>57.011917107917292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69.003237840138652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7.5191666666666634</v>
      </c>
      <c r="BD155" s="12">
        <f>IF('Données projet'!$A$88&gt;35,BD154+BC155-BL154,IF(A155&lt;'Données projet'!$A$88,$BA$205^A155,IF(A155='Données projet'!$A$88,'Données projet'!$B$88,BD154+BC155-BL154)))</f>
        <v>379.12333333333299</v>
      </c>
      <c r="BE155" s="13">
        <f>BD155*VLOOKUP('Données projet'!$B$11,Paramètres!$A$1:$I$89,3,0)*VLOOKUP('Données projet'!$B$11,Paramètres!$A$1:$I$89,5,0)</f>
        <v>384.43105999999966</v>
      </c>
      <c r="BF155" s="13">
        <f t="shared" si="167"/>
        <v>88.613045766074748</v>
      </c>
      <c r="BG155" s="20">
        <f t="shared" si="168"/>
        <v>823.88515087591293</v>
      </c>
      <c r="BH155" s="59">
        <f t="shared" si="116"/>
        <v>1113.5636896230881</v>
      </c>
      <c r="BI155" s="59">
        <f ca="1">AVERAGE(OFFSET($BH$3,0,0,'Données projet'!$E$11+1,1))-AVERAGE(OFFSET($H$3,0,0,'Données projet'!$E$11+1,1))</f>
        <v>559.91818701710872</v>
      </c>
      <c r="BJ155" s="59">
        <f t="shared" si="146"/>
        <v>273.47272623465915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28.403051356478969</v>
      </c>
      <c r="BQ155" s="21">
        <f>EXP(-LN(2)/25)*BQ154+(1-EXP(-LN(2)/25))/(LN(2)/25)*Calculateur!BL155*Calculateur!BN155*VLOOKUP('Données projet'!$B$11,Paramètres!$A$1:$I$89,3,0)*0.475*44/12</f>
        <v>18.495441326139421</v>
      </c>
      <c r="BR155" s="21">
        <f>EXP(-LN(2)/2)*BR154+(1-EXP(-LN(2)/2))/(LN(2)/2)*BL155*BO155*VLOOKUP('Données projet'!$B$11,Paramètres!$A$1:$I$89,3,0)*0.475*44/12</f>
        <v>0.36914625416576013</v>
      </c>
      <c r="BS155" s="22">
        <f t="shared" si="169"/>
        <v>47.267638936784152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69.003237840138652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-1.1368683772161603E-13</v>
      </c>
      <c r="BZ155" s="13">
        <f>BY155*VLOOKUP('Données projet'!$B$12,Paramètres!$A$1:$I$89,3,0)*VLOOKUP('Données projet'!$B$12,Paramètres!$A$1:$I$89,5,0)</f>
        <v>-8.8675733422860506E-14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208.92677786250815</v>
      </c>
      <c r="CE155" s="59">
        <f t="shared" si="148"/>
        <v>207.54290142772214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5.3267017871817961</v>
      </c>
      <c r="CL155" s="21">
        <f>EXP(-LN(2)/25)*CL154+(1-EXP(-LN(2)/25))/(LN(2)/25)*Calculateur!CG155*Calculateur!CI155*VLOOKUP('Données projet'!$B$12,Paramètres!$A$1:$I$89,3,0)*0.475*44/12</f>
        <v>2.7174229966695931</v>
      </c>
      <c r="CM155" s="21">
        <f>EXP(-LN(2)/2)*CM154+(1-EXP(-LN(2)/2))/(LN(2)/2)*CG155*CJ155*VLOOKUP('Données projet'!$B$12,Paramètres!$A$1:$I$89,3,0)*0.475*44/12</f>
        <v>1.2523332452752205E-11</v>
      </c>
      <c r="CN155" s="22">
        <f t="shared" si="172"/>
        <v>8.0441247838639125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69.003237840138652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2.5579538487363607E-13</v>
      </c>
      <c r="CU155" s="17">
        <f>CT155*VLOOKUP('Données projet'!$B$13,Paramètres!$A$1:$I$89,3,0)*VLOOKUP('Données projet'!$B$13,Paramètres!$A$1:$I$89,5,0)</f>
        <v>2.4341488824575211E-13</v>
      </c>
      <c r="CV155" s="13">
        <f t="shared" si="173"/>
        <v>3.2970717324875541E-12</v>
      </c>
      <c r="CW155" s="20">
        <f t="shared" si="174"/>
        <v>6.1663475311105072E-12</v>
      </c>
      <c r="CX155" s="59">
        <f t="shared" si="122"/>
        <v>289.67853874718122</v>
      </c>
      <c r="CY155" s="59">
        <f ca="1">AVERAGE(OFFSET($CX$3,0,0,'Données projet'!$E$13+1,1))-AVERAGE(OFFSET($H$3,0,0,'Données projet'!$E$13+1,1))</f>
        <v>470.42022791389275</v>
      </c>
      <c r="CZ155" s="59">
        <f t="shared" si="150"/>
        <v>300.26117330627346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42.786189649774968</v>
      </c>
      <c r="DG155" s="21">
        <f>EXP(-LN(2)/25)*DG154+(1-EXP(-LN(2)/25))/(LN(2)/25)*Calculateur!DB155*Calculateur!DD155*VLOOKUP('Données projet'!$B$13,Paramètres!$A$1:$I$89,3,0)*0.475*44/12</f>
        <v>32.712511549505983</v>
      </c>
      <c r="DH155" s="21">
        <f>EXP(-LN(2)/2)*DH154+(1-EXP(-LN(2)/2))/(LN(2)/2)*DB155*DE155*VLOOKUP('Données projet'!$B$13,Paramètres!$A$1:$I$89,3,0)*0.475*44/12</f>
        <v>1.7505443444489115E-2</v>
      </c>
      <c r="DI155" s="22">
        <f t="shared" si="175"/>
        <v>75.51620664272545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69.003237840138652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7.5191666666666634</v>
      </c>
      <c r="DO155" s="12">
        <f>IF('Données projet'!$A$166&gt;35,DO154+DN155-DW154,IF(A155&lt;'Données projet'!$A$166,$DL$205^A155,IF(A155='Données projet'!$A$166,'Données projet'!$B$166,DO154+DN155-DW154)))</f>
        <v>379.12333333333299</v>
      </c>
      <c r="DP155" s="17">
        <f>DO155*VLOOKUP('Données projet'!$B$14,Paramètres!$A$1:$I$89,3,0)*VLOOKUP('Données projet'!$B$14,Paramètres!$A$1:$I$89,5,0)</f>
        <v>366.68808799999971</v>
      </c>
      <c r="DQ155" s="13">
        <f t="shared" si="176"/>
        <v>84.989391356215521</v>
      </c>
      <c r="DR155" s="20">
        <f t="shared" si="177"/>
        <v>786.67160987874149</v>
      </c>
      <c r="DS155" s="59">
        <f t="shared" si="125"/>
        <v>1076.3501486259165</v>
      </c>
      <c r="DT155" s="59">
        <f ca="1">AVERAGE(OFFSET($DS$3,0,0,'Données projet'!$E$14+1,1))-AVERAGE(OFFSET($H$3,0,0,'Données projet'!$E$14+1,1))</f>
        <v>537.37164071064103</v>
      </c>
      <c r="DU155" s="59">
        <f t="shared" si="152"/>
        <v>263.29777321132235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19.351529495623033</v>
      </c>
      <c r="EB155" s="21">
        <f>EXP(-LN(2)/25)*EB154+(1-EXP(-LN(2)/25))/(LN(2)/25)*Calculateur!DW155*Calculateur!DY155*VLOOKUP('Données projet'!$B$14,Paramètres!$A$1:$I$89,3,0)*0.475*44/12</f>
        <v>17.1899353523633</v>
      </c>
      <c r="EC155" s="21">
        <f>EXP(-LN(2)/2)*EC154+(1-EXP(-LN(2)/2))/(LN(2)/2)*DW155*DZ155*VLOOKUP('Données projet'!$B$14,Paramètres!$A$1:$I$89,3,0)*0.475*44/12</f>
        <v>0.88027183681362953</v>
      </c>
      <c r="ED155" s="22">
        <f t="shared" si="178"/>
        <v>37.42173668479996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69.003237840138652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69.003237840138652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69.003237840138652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69.003237840138652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45">
      <c r="A156" s="10">
        <f t="shared" si="161"/>
        <v>153</v>
      </c>
      <c r="B156" s="73">
        <f>'Scénario référence'!$B$16*5+'Scénario référence'!$B$17*0+'Scénario référence'!$B$18*5</f>
        <v>2.8499999999999996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10.449999999999998</v>
      </c>
      <c r="H156" s="67">
        <f t="shared" si="110"/>
        <v>214.86666666666667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69.020529435185907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>
        <f>VLOOKUP(A156,'Données projet'!$A$35:$I$55,2,0)</f>
        <v>434.97</v>
      </c>
      <c r="L156" s="12">
        <f>VLOOKUP(A156,'Données projet'!$A$35:$I$55,9,0)</f>
        <v>7.1200000000000045</v>
      </c>
      <c r="M156" s="12">
        <f t="array" ref="M156">INDEX(L:L,MIN(IF(ISNUMBER(L156:L352),ROW(L156:L352),"")))</f>
        <v>7.1200000000000045</v>
      </c>
      <c r="N156" s="13">
        <f>IF('Données projet'!$A$36&gt;35,N155+M156-V155,IF(A156&lt;'Données projet'!$A$36,$K$205^A156,IF(A156='Données projet'!$A$36,'Données projet'!$B$36,N155+M156-V155)))</f>
        <v>434.97000000000048</v>
      </c>
      <c r="O156" s="13">
        <f>N156*VLOOKUP('Données projet'!$B$9,Paramètres!$A$1:$I$89,3,0)*VLOOKUP('Données projet'!$B$9,Paramètres!$A$1:$I$89,5,0)</f>
        <v>393.5608560000004</v>
      </c>
      <c r="P156" s="13">
        <f t="shared" si="141"/>
        <v>90.469997145330012</v>
      </c>
      <c r="Q156" s="20">
        <f t="shared" si="162"/>
        <v>843.0204025614504</v>
      </c>
      <c r="R156" s="59">
        <f t="shared" si="109"/>
        <v>1132.7623438237988</v>
      </c>
      <c r="S156" s="59">
        <f ca="1">AVERAGE(OFFSET($R$3,0,0,'Données projet'!$E$9+1,1))-AVERAGE(OFFSET($H$3,0,0,'Données projet'!$E$9+1,1))</f>
        <v>719.20816951277925</v>
      </c>
      <c r="T156" s="59">
        <f t="shared" si="142"/>
        <v>237.1127421841087</v>
      </c>
      <c r="U156" s="15">
        <f>IF(ISNA(VLOOKUP(A156,'Données projet'!$A$35:$I$55,3,0)),0,VLOOKUP(A156,'Données projet'!$A$35:$I$55,3,0))</f>
        <v>15</v>
      </c>
      <c r="V156" s="15">
        <f>IF(ISNA(VLOOKUP(A156,'Données projet'!$A$35:$I$55,4,0)),0,VLOOKUP(A156,'Données projet'!$A$35:$I$55,4,0))</f>
        <v>156.29000000000002</v>
      </c>
      <c r="W156" s="16">
        <f>IF(ISNA(VLOOKUP(A156,'Données projet'!$A$35:$I$55,5,0)),0%,VLOOKUP(A156,'Données projet'!$A$35:$I$55,5,0)*VLOOKUP('Données projet'!$B$9,Paramètres!$A$1:$I$89,7,0))</f>
        <v>0.19350000000000001</v>
      </c>
      <c r="X156" s="16">
        <f>IF(ISNA(VLOOKUP(A156,'Données projet'!$A$35:$I$55,6,0)),0%,VLOOKUP(A156,'Données projet'!$A$35:$I$55,6,0)*VLOOKUP('Données projet'!$B$9,Paramètres!$A$1:$I$89,7,0))</f>
        <v>2.1500000000000002E-2</v>
      </c>
      <c r="Y156" s="16">
        <f>IF(ISNA(VLOOKUP(A156,'Données projet'!$A$35:$I$55,7,0)),0%,VLOOKUP(A156,'Données projet'!$A$35:$I$55,7,0))</f>
        <v>0.05</v>
      </c>
      <c r="Z156" s="21">
        <f>EXP(-LN(2)/35)*Z155+(1-EXP(-LN(2)/35))/(LN(2)/35)*V156*W156*VLOOKUP('Données projet'!$B$9,Paramètres!$A$1:$I$89,3,0)*0.475*44/12</f>
        <v>132.49428566962979</v>
      </c>
      <c r="AA156" s="21">
        <f>EXP(-LN(2)/25)*AA155+(1-EXP(-LN(2)/25))/(LN(2)/25)*Calculateur!V156*Calculateur!X156*VLOOKUP('Données projet'!$B$9,Paramètres!$A$1:$I$89,3,0)*0.475*44/12</f>
        <v>28.573123283093647</v>
      </c>
      <c r="AB156" s="21">
        <f>EXP(-LN(2)/2)*AB155+(1-EXP(-LN(2)/2))/(LN(2)/2)*V156*Y156*VLOOKUP('Données projet'!$B$9,Paramètres!$A$1:$I$89,3,0)*0.475*44/12</f>
        <v>10.58780474738797</v>
      </c>
      <c r="AC156" s="22">
        <f t="shared" si="163"/>
        <v>171.6552137001114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69.020529435185907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5.6843418860808015E-14</v>
      </c>
      <c r="AJ156" s="13">
        <f>AI156*VLOOKUP('Données projet'!$B$10,Paramètres!$A$1:$I$89,3,0)*VLOOKUP('Données projet'!$B$10,Paramètres!$A$1:$I$89,5,0)</f>
        <v>4.7884896048344674E-14</v>
      </c>
      <c r="AK156" s="13">
        <f t="shared" si="164"/>
        <v>7.8374629847779921E-13</v>
      </c>
      <c r="AL156" s="20">
        <f t="shared" si="165"/>
        <v>1.4484243304663672E-12</v>
      </c>
      <c r="AM156" s="59">
        <f t="shared" si="113"/>
        <v>289.74194126234977</v>
      </c>
      <c r="AN156" s="59">
        <f ca="1">AVERAGE(OFFSET($AM$3,0,0,'Données projet'!$E$10+1,1))-AVERAGE(OFFSET($H$3,0,0,'Données projet'!$E$10+1,1))</f>
        <v>442.79037205372367</v>
      </c>
      <c r="AO156" s="59">
        <f t="shared" si="144"/>
        <v>288.23553637727969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48.23182897032585</v>
      </c>
      <c r="AV156" s="21">
        <f>EXP(-LN(2)/25)*AV155+(1-EXP(-LN(2)/25))/(LN(2)/25)*Calculateur!AQ156*Calculateur!AS156*VLOOKUP('Données projet'!$B$10,Paramètres!$A$1:$I$89,3,0)*0.475*44/12</f>
        <v>7.6016612609743763</v>
      </c>
      <c r="AW156" s="21">
        <f>EXP(-LN(2)/2)*AW155+(1-EXP(-LN(2)/2))/(LN(2)/2)*AQ156*AT156*VLOOKUP('Données projet'!$B$10,Paramètres!$A$1:$I$89,3,0)*0.475*44/12</f>
        <v>6.2571409599869185E-7</v>
      </c>
      <c r="AX156" s="21">
        <f t="shared" si="166"/>
        <v>55.833490857014318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69.020529435185907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7.5191666666666634</v>
      </c>
      <c r="BD156" s="12">
        <f>IF('Données projet'!$A$88&gt;35,BD155+BC156-BL155,IF(A156&lt;'Données projet'!$A$88,$BA$205^A156,IF(A156='Données projet'!$A$88,'Données projet'!$B$88,BD155+BC156-BL155)))</f>
        <v>386.64249999999964</v>
      </c>
      <c r="BE156" s="13">
        <f>BD156*VLOOKUP('Données projet'!$B$11,Paramètres!$A$1:$I$89,3,0)*VLOOKUP('Données projet'!$B$11,Paramètres!$A$1:$I$89,5,0)</f>
        <v>392.05549499999967</v>
      </c>
      <c r="BF156" s="13">
        <f t="shared" si="167"/>
        <v>90.164163082094575</v>
      </c>
      <c r="BG156" s="20">
        <f t="shared" si="168"/>
        <v>839.8659044929808</v>
      </c>
      <c r="BH156" s="59">
        <f t="shared" si="116"/>
        <v>1129.6078457553292</v>
      </c>
      <c r="BI156" s="59">
        <f ca="1">AVERAGE(OFFSET($BH$3,0,0,'Données projet'!$E$11+1,1))-AVERAGE(OFFSET($H$3,0,0,'Données projet'!$E$11+1,1))</f>
        <v>559.91818701710872</v>
      </c>
      <c r="BJ156" s="59">
        <f t="shared" si="146"/>
        <v>273.47272623465915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27.846084843529127</v>
      </c>
      <c r="BQ156" s="21">
        <f>EXP(-LN(2)/25)*BQ155+(1-EXP(-LN(2)/25))/(LN(2)/25)*Calculateur!BL156*Calculateur!BN156*VLOOKUP('Données projet'!$B$11,Paramètres!$A$1:$I$89,3,0)*0.475*44/12</f>
        <v>17.989682510443149</v>
      </c>
      <c r="BR156" s="21">
        <f>EXP(-LN(2)/2)*BR155+(1-EXP(-LN(2)/2))/(LN(2)/2)*BL156*BO156*VLOOKUP('Données projet'!$B$11,Paramètres!$A$1:$I$89,3,0)*0.475*44/12</f>
        <v>0.26102581957022181</v>
      </c>
      <c r="BS156" s="22">
        <f t="shared" si="169"/>
        <v>46.096793173542494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69.020529435185907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-1.1368683772161603E-13</v>
      </c>
      <c r="BZ156" s="13">
        <f>BY156*VLOOKUP('Données projet'!$B$12,Paramètres!$A$1:$I$89,3,0)*VLOOKUP('Données projet'!$B$12,Paramètres!$A$1:$I$89,5,0)</f>
        <v>-8.8675733422860506E-14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208.92677786250815</v>
      </c>
      <c r="CE156" s="59">
        <f t="shared" si="148"/>
        <v>207.54290142772214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5.2222484141024426</v>
      </c>
      <c r="CL156" s="21">
        <f>EXP(-LN(2)/25)*CL155+(1-EXP(-LN(2)/25))/(LN(2)/25)*Calculateur!CG156*Calculateur!CI156*VLOOKUP('Données projet'!$B$12,Paramètres!$A$1:$I$89,3,0)*0.475*44/12</f>
        <v>2.6431149219225984</v>
      </c>
      <c r="CM156" s="21">
        <f>EXP(-LN(2)/2)*CM155+(1-EXP(-LN(2)/2))/(LN(2)/2)*CG156*CJ156*VLOOKUP('Données projet'!$B$12,Paramètres!$A$1:$I$89,3,0)*0.475*44/12</f>
        <v>8.8553333003946426E-12</v>
      </c>
      <c r="CN156" s="22">
        <f t="shared" si="172"/>
        <v>7.8653633360338961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69.020529435185907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2.5579538487363607E-13</v>
      </c>
      <c r="CU156" s="17">
        <f>CT156*VLOOKUP('Données projet'!$B$13,Paramètres!$A$1:$I$89,3,0)*VLOOKUP('Données projet'!$B$13,Paramètres!$A$1:$I$89,5,0)</f>
        <v>2.4341488824575211E-13</v>
      </c>
      <c r="CV156" s="13">
        <f t="shared" si="173"/>
        <v>3.2970717324875541E-12</v>
      </c>
      <c r="CW156" s="20">
        <f t="shared" si="174"/>
        <v>6.1663475311105072E-12</v>
      </c>
      <c r="CX156" s="59">
        <f t="shared" si="122"/>
        <v>289.74194126235449</v>
      </c>
      <c r="CY156" s="59">
        <f ca="1">AVERAGE(OFFSET($CX$3,0,0,'Données projet'!$E$13+1,1))-AVERAGE(OFFSET($H$3,0,0,'Données projet'!$E$13+1,1))</f>
        <v>470.42022791389275</v>
      </c>
      <c r="CZ156" s="59">
        <f t="shared" si="150"/>
        <v>300.26117330627346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41.947178567741702</v>
      </c>
      <c r="DG156" s="21">
        <f>EXP(-LN(2)/25)*DG155+(1-EXP(-LN(2)/25))/(LN(2)/25)*Calculateur!DB156*Calculateur!DD156*VLOOKUP('Données projet'!$B$13,Paramètres!$A$1:$I$89,3,0)*0.475*44/12</f>
        <v>31.817986200908525</v>
      </c>
      <c r="DH156" s="21">
        <f>EXP(-LN(2)/2)*DH155+(1-EXP(-LN(2)/2))/(LN(2)/2)*DB156*DE156*VLOOKUP('Données projet'!$B$13,Paramètres!$A$1:$I$89,3,0)*0.475*44/12</f>
        <v>1.2378217767275847E-2</v>
      </c>
      <c r="DI156" s="22">
        <f t="shared" si="175"/>
        <v>73.777542986417501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69.020529435185907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7.5191666666666634</v>
      </c>
      <c r="DO156" s="12">
        <f>IF('Données projet'!$A$166&gt;35,DO155+DN156-DW155,IF(A156&lt;'Données projet'!$A$166,$DL$205^A156,IF(A156='Données projet'!$A$166,'Données projet'!$B$166,DO155+DN156-DW155)))</f>
        <v>386.64249999999964</v>
      </c>
      <c r="DP156" s="17">
        <f>DO156*VLOOKUP('Données projet'!$B$14,Paramètres!$A$1:$I$89,3,0)*VLOOKUP('Données projet'!$B$14,Paramètres!$A$1:$I$89,5,0)</f>
        <v>373.96062599999971</v>
      </c>
      <c r="DQ156" s="13">
        <f t="shared" si="176"/>
        <v>86.477078812062814</v>
      </c>
      <c r="DR156" s="20">
        <f t="shared" si="177"/>
        <v>801.92900254767562</v>
      </c>
      <c r="DS156" s="59">
        <f t="shared" si="125"/>
        <v>1091.670943810024</v>
      </c>
      <c r="DT156" s="59">
        <f ca="1">AVERAGE(OFFSET($DS$3,0,0,'Données projet'!$E$14+1,1))-AVERAGE(OFFSET($H$3,0,0,'Données projet'!$E$14+1,1))</f>
        <v>537.37164071064103</v>
      </c>
      <c r="DU156" s="59">
        <f t="shared" si="152"/>
        <v>263.29777321132235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18.972057805481381</v>
      </c>
      <c r="EB156" s="21">
        <f>EXP(-LN(2)/25)*EB155+(1-EXP(-LN(2)/25))/(LN(2)/25)*Calculateur!DW156*Calculateur!DY156*VLOOKUP('Données projet'!$B$14,Paramètres!$A$1:$I$89,3,0)*0.475*44/12</f>
        <v>16.719875666173515</v>
      </c>
      <c r="EC156" s="21">
        <f>EXP(-LN(2)/2)*EC155+(1-EXP(-LN(2)/2))/(LN(2)/2)*DW156*DZ156*VLOOKUP('Données projet'!$B$14,Paramètres!$A$1:$I$89,3,0)*0.475*44/12</f>
        <v>0.6224461850984554</v>
      </c>
      <c r="ED156" s="22">
        <f t="shared" si="178"/>
        <v>36.314379656753346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69.020529435185907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69.020529435185907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69.020529435185907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69.020529435185907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45">
      <c r="A157" s="10">
        <f t="shared" si="161"/>
        <v>154</v>
      </c>
      <c r="B157" s="73">
        <f>'Scénario référence'!$B$16*5+'Scénario référence'!$B$17*0+'Scénario référence'!$B$18*5</f>
        <v>2.8499999999999996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10.449999999999998</v>
      </c>
      <c r="H157" s="67">
        <f t="shared" si="110"/>
        <v>214.86666666666667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69.037521059717292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4.083333333333333</v>
      </c>
      <c r="N157" s="13">
        <f>IF('Données projet'!$A$36&gt;35,N156+M157-V156,IF(A157&lt;'Données projet'!$A$36,$K$205^A157,IF(A157='Données projet'!$A$36,'Données projet'!$B$36,N156+M157-V156)))</f>
        <v>282.76333333333378</v>
      </c>
      <c r="O157" s="13">
        <f>N157*VLOOKUP('Données projet'!$B$9,Paramètres!$A$1:$I$89,3,0)*VLOOKUP('Données projet'!$B$9,Paramètres!$A$1:$I$89,5,0)</f>
        <v>255.84426400000038</v>
      </c>
      <c r="P157" s="13">
        <f t="shared" si="141"/>
        <v>61.835713990730305</v>
      </c>
      <c r="Q157" s="20">
        <f t="shared" si="162"/>
        <v>553.29262833385587</v>
      </c>
      <c r="R157" s="59">
        <f t="shared" si="109"/>
        <v>843.09687221948593</v>
      </c>
      <c r="S157" s="59">
        <f ca="1">AVERAGE(OFFSET($R$3,0,0,'Données projet'!$E$9+1,1))-AVERAGE(OFFSET($H$3,0,0,'Données projet'!$E$9+1,1))</f>
        <v>719.20816951277925</v>
      </c>
      <c r="T157" s="59">
        <f t="shared" si="142"/>
        <v>237.1127421841087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129.89615354118294</v>
      </c>
      <c r="AA157" s="21">
        <f>EXP(-LN(2)/25)*AA156+(1-EXP(-LN(2)/25))/(LN(2)/25)*Calculateur!V157*Calculateur!X157*VLOOKUP('Données projet'!$B$9,Paramètres!$A$1:$I$89,3,0)*0.475*44/12</f>
        <v>27.791789724322204</v>
      </c>
      <c r="AB157" s="21">
        <f>EXP(-LN(2)/2)*AB156+(1-EXP(-LN(2)/2))/(LN(2)/2)*V157*Y157*VLOOKUP('Données projet'!$B$9,Paramètres!$A$1:$I$89,3,0)*0.475*44/12</f>
        <v>7.4867085347571551</v>
      </c>
      <c r="AC157" s="22">
        <f t="shared" si="163"/>
        <v>165.1746518002623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69.037521059717292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5.6843418860808015E-14</v>
      </c>
      <c r="AJ157" s="13">
        <f>AI157*VLOOKUP('Données projet'!$B$10,Paramètres!$A$1:$I$89,3,0)*VLOOKUP('Données projet'!$B$10,Paramètres!$A$1:$I$89,5,0)</f>
        <v>4.7884896048344674E-14</v>
      </c>
      <c r="AK157" s="13">
        <f t="shared" si="164"/>
        <v>7.8374629847779921E-13</v>
      </c>
      <c r="AL157" s="20">
        <f t="shared" si="165"/>
        <v>1.4484243304663672E-12</v>
      </c>
      <c r="AM157" s="59">
        <f t="shared" si="113"/>
        <v>289.80424388563148</v>
      </c>
      <c r="AN157" s="59">
        <f ca="1">AVERAGE(OFFSET($AM$3,0,0,'Données projet'!$E$10+1,1))-AVERAGE(OFFSET($H$3,0,0,'Données projet'!$E$10+1,1))</f>
        <v>442.79037205372367</v>
      </c>
      <c r="AO157" s="59">
        <f t="shared" si="144"/>
        <v>288.23553637727969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47.286032222728593</v>
      </c>
      <c r="AV157" s="21">
        <f>EXP(-LN(2)/25)*AV156+(1-EXP(-LN(2)/25))/(LN(2)/25)*Calculateur!AQ157*Calculateur!AS157*VLOOKUP('Données projet'!$B$10,Paramètres!$A$1:$I$89,3,0)*0.475*44/12</f>
        <v>7.3937934340390399</v>
      </c>
      <c r="AW157" s="21">
        <f>EXP(-LN(2)/2)*AW156+(1-EXP(-LN(2)/2))/(LN(2)/2)*AQ157*AT157*VLOOKUP('Données projet'!$B$10,Paramètres!$A$1:$I$89,3,0)*0.475*44/12</f>
        <v>4.424466803646854E-7</v>
      </c>
      <c r="AX157" s="21">
        <f t="shared" si="166"/>
        <v>54.679826099214317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69.037521059717292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7.5191666666666634</v>
      </c>
      <c r="BD157" s="12">
        <f>IF('Données projet'!$A$88&gt;35,BD156+BC157-BL156,IF(A157&lt;'Données projet'!$A$88,$BA$205^A157,IF(A157='Données projet'!$A$88,'Données projet'!$B$88,BD156+BC157-BL156)))</f>
        <v>394.16166666666629</v>
      </c>
      <c r="BE157" s="13">
        <f>BD157*VLOOKUP('Données projet'!$B$11,Paramètres!$A$1:$I$89,3,0)*VLOOKUP('Données projet'!$B$11,Paramètres!$A$1:$I$89,5,0)</f>
        <v>399.67992999999967</v>
      </c>
      <c r="BF157" s="13">
        <f t="shared" si="167"/>
        <v>91.711772917902209</v>
      </c>
      <c r="BG157" s="20">
        <f t="shared" si="168"/>
        <v>855.84054924867905</v>
      </c>
      <c r="BH157" s="59">
        <f t="shared" si="116"/>
        <v>1145.6447931343091</v>
      </c>
      <c r="BI157" s="59">
        <f ca="1">AVERAGE(OFFSET($BH$3,0,0,'Données projet'!$E$11+1,1))-AVERAGE(OFFSET($H$3,0,0,'Données projet'!$E$11+1,1))</f>
        <v>559.91818701710872</v>
      </c>
      <c r="BJ157" s="59">
        <f t="shared" si="146"/>
        <v>273.47272623465915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27.300040104182202</v>
      </c>
      <c r="BQ157" s="21">
        <f>EXP(-LN(2)/25)*BQ156+(1-EXP(-LN(2)/25))/(LN(2)/25)*Calculateur!BL157*Calculateur!BN157*VLOOKUP('Données projet'!$B$11,Paramètres!$A$1:$I$89,3,0)*0.475*44/12</f>
        <v>17.497753696158796</v>
      </c>
      <c r="BR157" s="21">
        <f>EXP(-LN(2)/2)*BR156+(1-EXP(-LN(2)/2))/(LN(2)/2)*BL157*BO157*VLOOKUP('Données projet'!$B$11,Paramètres!$A$1:$I$89,3,0)*0.475*44/12</f>
        <v>0.18457312708288007</v>
      </c>
      <c r="BS157" s="22">
        <f t="shared" si="169"/>
        <v>44.982366927423875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69.037521059717292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-1.1368683772161603E-13</v>
      </c>
      <c r="BZ157" s="13">
        <f>BY157*VLOOKUP('Données projet'!$B$12,Paramètres!$A$1:$I$89,3,0)*VLOOKUP('Données projet'!$B$12,Paramètres!$A$1:$I$89,5,0)</f>
        <v>-8.8675733422860506E-14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208.92677786250815</v>
      </c>
      <c r="CE157" s="59">
        <f t="shared" si="148"/>
        <v>207.54290142772214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5.1198433079589085</v>
      </c>
      <c r="CL157" s="21">
        <f>EXP(-LN(2)/25)*CL156+(1-EXP(-LN(2)/25))/(LN(2)/25)*Calculateur!CG157*Calculateur!CI157*VLOOKUP('Données projet'!$B$12,Paramètres!$A$1:$I$89,3,0)*0.475*44/12</f>
        <v>2.5708388053872522</v>
      </c>
      <c r="CM157" s="21">
        <f>EXP(-LN(2)/2)*CM156+(1-EXP(-LN(2)/2))/(LN(2)/2)*CG157*CJ157*VLOOKUP('Données projet'!$B$12,Paramètres!$A$1:$I$89,3,0)*0.475*44/12</f>
        <v>6.2616662263761023E-12</v>
      </c>
      <c r="CN157" s="22">
        <f t="shared" si="172"/>
        <v>7.6906821133524224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69.037521059717292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2.5579538487363607E-13</v>
      </c>
      <c r="CU157" s="17">
        <f>CT157*VLOOKUP('Données projet'!$B$13,Paramètres!$A$1:$I$89,3,0)*VLOOKUP('Données projet'!$B$13,Paramètres!$A$1:$I$89,5,0)</f>
        <v>2.4341488824575211E-13</v>
      </c>
      <c r="CV157" s="13">
        <f t="shared" si="173"/>
        <v>3.2970717324875541E-12</v>
      </c>
      <c r="CW157" s="20">
        <f t="shared" si="174"/>
        <v>6.1663475311105072E-12</v>
      </c>
      <c r="CX157" s="59">
        <f t="shared" si="122"/>
        <v>289.8042438856362</v>
      </c>
      <c r="CY157" s="59">
        <f ca="1">AVERAGE(OFFSET($CX$3,0,0,'Données projet'!$E$13+1,1))-AVERAGE(OFFSET($H$3,0,0,'Données projet'!$E$13+1,1))</f>
        <v>470.42022791389275</v>
      </c>
      <c r="CZ157" s="59">
        <f t="shared" si="150"/>
        <v>300.26117330627346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41.12461998128088</v>
      </c>
      <c r="DG157" s="21">
        <f>EXP(-LN(2)/25)*DG156+(1-EXP(-LN(2)/25))/(LN(2)/25)*Calculateur!DB157*Calculateur!DD157*VLOOKUP('Données projet'!$B$13,Paramètres!$A$1:$I$89,3,0)*0.475*44/12</f>
        <v>30.947921695009509</v>
      </c>
      <c r="DH157" s="21">
        <f>EXP(-LN(2)/2)*DH156+(1-EXP(-LN(2)/2))/(LN(2)/2)*DB157*DE157*VLOOKUP('Données projet'!$B$13,Paramètres!$A$1:$I$89,3,0)*0.475*44/12</f>
        <v>8.7527217222445573E-3</v>
      </c>
      <c r="DI157" s="22">
        <f t="shared" si="175"/>
        <v>72.081294398012631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69.037521059717292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7.5191666666666634</v>
      </c>
      <c r="DO157" s="12">
        <f>IF('Données projet'!$A$166&gt;35,DO156+DN157-DW156,IF(A157&lt;'Données projet'!$A$166,$DL$205^A157,IF(A157='Données projet'!$A$166,'Données projet'!$B$166,DO156+DN157-DW156)))</f>
        <v>394.16166666666629</v>
      </c>
      <c r="DP157" s="17">
        <f>DO157*VLOOKUP('Données projet'!$B$14,Paramètres!$A$1:$I$89,3,0)*VLOOKUP('Données projet'!$B$14,Paramètres!$A$1:$I$89,5,0)</f>
        <v>381.23316399999965</v>
      </c>
      <c r="DQ157" s="13">
        <f t="shared" si="176"/>
        <v>87.961402219130861</v>
      </c>
      <c r="DR157" s="20">
        <f t="shared" si="177"/>
        <v>817.18053616498548</v>
      </c>
      <c r="DS157" s="59">
        <f t="shared" si="125"/>
        <v>1106.9847800506154</v>
      </c>
      <c r="DT157" s="59">
        <f ca="1">AVERAGE(OFFSET($DS$3,0,0,'Données projet'!$E$14+1,1))-AVERAGE(OFFSET($H$3,0,0,'Données projet'!$E$14+1,1))</f>
        <v>537.37164071064103</v>
      </c>
      <c r="DU157" s="59">
        <f t="shared" si="152"/>
        <v>263.29777321132235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18.600027323728529</v>
      </c>
      <c r="EB157" s="21">
        <f>EXP(-LN(2)/25)*EB156+(1-EXP(-LN(2)/25))/(LN(2)/25)*Calculateur!DW157*Calculateur!DY157*VLOOKUP('Données projet'!$B$14,Paramètres!$A$1:$I$89,3,0)*0.475*44/12</f>
        <v>16.262669786821952</v>
      </c>
      <c r="EC157" s="21">
        <f>EXP(-LN(2)/2)*EC156+(1-EXP(-LN(2)/2))/(LN(2)/2)*DW157*DZ157*VLOOKUP('Données projet'!$B$14,Paramètres!$A$1:$I$89,3,0)*0.475*44/12</f>
        <v>0.44013591840681476</v>
      </c>
      <c r="ED157" s="22">
        <f t="shared" si="178"/>
        <v>35.302833028957302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69.037521059717292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69.037521059717292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69.037521059717292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69.037521059717292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45">
      <c r="A158" s="10">
        <f t="shared" si="161"/>
        <v>155</v>
      </c>
      <c r="B158" s="73">
        <f>'Scénario référence'!$B$16*5+'Scénario référence'!$B$17*0+'Scénario référence'!$B$18*5</f>
        <v>2.8499999999999996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10.449999999999998</v>
      </c>
      <c r="H158" s="67">
        <f t="shared" si="110"/>
        <v>214.86666666666667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69.054217917550645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4.083333333333333</v>
      </c>
      <c r="N158" s="13">
        <f>IF('Données projet'!$A$36&gt;35,N157+M158-V157,IF(A158&lt;'Données projet'!$A$36,$K$205^A158,IF(A158='Données projet'!$A$36,'Données projet'!$B$36,N157+M158-V157)))</f>
        <v>286.84666666666709</v>
      </c>
      <c r="O158" s="13">
        <f>N158*VLOOKUP('Données projet'!$B$9,Paramètres!$A$1:$I$89,3,0)*VLOOKUP('Données projet'!$B$9,Paramètres!$A$1:$I$89,5,0)</f>
        <v>259.53886400000039</v>
      </c>
      <c r="P158" s="13">
        <f t="shared" si="141"/>
        <v>62.624072242773707</v>
      </c>
      <c r="Q158" s="20">
        <f t="shared" si="162"/>
        <v>561.10044728949822</v>
      </c>
      <c r="R158" s="59">
        <f t="shared" si="109"/>
        <v>850.96591298718386</v>
      </c>
      <c r="S158" s="59">
        <f ca="1">AVERAGE(OFFSET($R$3,0,0,'Données projet'!$E$9+1,1))-AVERAGE(OFFSET($H$3,0,0,'Données projet'!$E$9+1,1))</f>
        <v>719.20816951277925</v>
      </c>
      <c r="T158" s="59">
        <f t="shared" si="142"/>
        <v>237.1127421841087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127.34896919907081</v>
      </c>
      <c r="AA158" s="21">
        <f>EXP(-LN(2)/25)*AA157+(1-EXP(-LN(2)/25))/(LN(2)/25)*Calculateur!V158*Calculateur!X158*VLOOKUP('Données projet'!$B$9,Paramètres!$A$1:$I$89,3,0)*0.475*44/12</f>
        <v>27.031821772803909</v>
      </c>
      <c r="AB158" s="21">
        <f>EXP(-LN(2)/2)*AB157+(1-EXP(-LN(2)/2))/(LN(2)/2)*V158*Y158*VLOOKUP('Données projet'!$B$9,Paramètres!$A$1:$I$89,3,0)*0.475*44/12</f>
        <v>5.2939023736939861</v>
      </c>
      <c r="AC158" s="22">
        <f t="shared" si="163"/>
        <v>159.6746933455687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69.054217917550645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5.6843418860808015E-14</v>
      </c>
      <c r="AJ158" s="13">
        <f>AI158*VLOOKUP('Données projet'!$B$10,Paramètres!$A$1:$I$89,3,0)*VLOOKUP('Données projet'!$B$10,Paramètres!$A$1:$I$89,5,0)</f>
        <v>4.7884896048344674E-14</v>
      </c>
      <c r="AK158" s="13">
        <f t="shared" si="164"/>
        <v>7.8374629847779921E-13</v>
      </c>
      <c r="AL158" s="20">
        <f t="shared" si="165"/>
        <v>1.4484243304663672E-12</v>
      </c>
      <c r="AM158" s="59">
        <f t="shared" si="113"/>
        <v>289.86546569768711</v>
      </c>
      <c r="AN158" s="59">
        <f ca="1">AVERAGE(OFFSET($AM$3,0,0,'Données projet'!$E$10+1,1))-AVERAGE(OFFSET($H$3,0,0,'Données projet'!$E$10+1,1))</f>
        <v>442.79037205372367</v>
      </c>
      <c r="AO158" s="59">
        <f t="shared" si="144"/>
        <v>288.23553637727969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46.35878197247267</v>
      </c>
      <c r="AV158" s="21">
        <f>EXP(-LN(2)/25)*AV157+(1-EXP(-LN(2)/25))/(LN(2)/25)*Calculateur!AQ158*Calculateur!AS158*VLOOKUP('Données projet'!$B$10,Paramètres!$A$1:$I$89,3,0)*0.475*44/12</f>
        <v>7.1916097637625445</v>
      </c>
      <c r="AW158" s="21">
        <f>EXP(-LN(2)/2)*AW157+(1-EXP(-LN(2)/2))/(LN(2)/2)*AQ158*AT158*VLOOKUP('Données projet'!$B$10,Paramètres!$A$1:$I$89,3,0)*0.475*44/12</f>
        <v>3.1285704799934593E-7</v>
      </c>
      <c r="AX158" s="21">
        <f t="shared" si="166"/>
        <v>53.55039204909226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69.054217917550645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7.5191666666666634</v>
      </c>
      <c r="BD158" s="12">
        <f>IF('Données projet'!$A$88&gt;35,BD157+BC158-BL157,IF(A158&lt;'Données projet'!$A$88,$BA$205^A158,IF(A158='Données projet'!$A$88,'Données projet'!$B$88,BD157+BC158-BL157)))</f>
        <v>401.68083333333294</v>
      </c>
      <c r="BE158" s="13">
        <f>BD158*VLOOKUP('Données projet'!$B$11,Paramètres!$A$1:$I$89,3,0)*VLOOKUP('Données projet'!$B$11,Paramètres!$A$1:$I$89,5,0)</f>
        <v>407.30436499999962</v>
      </c>
      <c r="BF158" s="13">
        <f t="shared" si="167"/>
        <v>93.255949897998832</v>
      </c>
      <c r="BG158" s="20">
        <f t="shared" si="168"/>
        <v>871.80921511401391</v>
      </c>
      <c r="BH158" s="59">
        <f t="shared" si="116"/>
        <v>1161.6746808116995</v>
      </c>
      <c r="BI158" s="59">
        <f ca="1">AVERAGE(OFFSET($BH$3,0,0,'Données projet'!$E$11+1,1))-AVERAGE(OFFSET($H$3,0,0,'Données projet'!$E$11+1,1))</f>
        <v>559.91818701710872</v>
      </c>
      <c r="BJ158" s="59">
        <f t="shared" si="146"/>
        <v>273.47272623465915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26.764702969119465</v>
      </c>
      <c r="BQ158" s="21">
        <f>EXP(-LN(2)/25)*BQ157+(1-EXP(-LN(2)/25))/(LN(2)/25)*Calculateur!BL158*Calculateur!BN158*VLOOKUP('Données projet'!$B$11,Paramètres!$A$1:$I$89,3,0)*0.475*44/12</f>
        <v>17.019276701170458</v>
      </c>
      <c r="BR158" s="21">
        <f>EXP(-LN(2)/2)*BR157+(1-EXP(-LN(2)/2))/(LN(2)/2)*BL158*BO158*VLOOKUP('Données projet'!$B$11,Paramètres!$A$1:$I$89,3,0)*0.475*44/12</f>
        <v>0.1305129097851109</v>
      </c>
      <c r="BS158" s="22">
        <f t="shared" si="169"/>
        <v>43.914492580075034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69.054217917550645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-1.1368683772161603E-13</v>
      </c>
      <c r="BZ158" s="13">
        <f>BY158*VLOOKUP('Données projet'!$B$12,Paramètres!$A$1:$I$89,3,0)*VLOOKUP('Données projet'!$B$12,Paramètres!$A$1:$I$89,5,0)</f>
        <v>-8.8675733422860506E-14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208.92677786250815</v>
      </c>
      <c r="CE158" s="59">
        <f t="shared" si="148"/>
        <v>207.54290142772214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5.0194463034859016</v>
      </c>
      <c r="CL158" s="21">
        <f>EXP(-LN(2)/25)*CL157+(1-EXP(-LN(2)/25))/(LN(2)/25)*Calculateur!CG158*Calculateur!CI158*VLOOKUP('Données projet'!$B$12,Paramètres!$A$1:$I$89,3,0)*0.475*44/12</f>
        <v>2.5005390830594005</v>
      </c>
      <c r="CM158" s="21">
        <f>EXP(-LN(2)/2)*CM157+(1-EXP(-LN(2)/2))/(LN(2)/2)*CG158*CJ158*VLOOKUP('Données projet'!$B$12,Paramètres!$A$1:$I$89,3,0)*0.475*44/12</f>
        <v>4.4276666501973213E-12</v>
      </c>
      <c r="CN158" s="22">
        <f t="shared" si="172"/>
        <v>7.5199853865497301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69.054217917550645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2.5579538487363607E-13</v>
      </c>
      <c r="CU158" s="17">
        <f>CT158*VLOOKUP('Données projet'!$B$13,Paramètres!$A$1:$I$89,3,0)*VLOOKUP('Données projet'!$B$13,Paramètres!$A$1:$I$89,5,0)</f>
        <v>2.4341488824575211E-13</v>
      </c>
      <c r="CV158" s="13">
        <f t="shared" si="173"/>
        <v>3.2970717324875541E-12</v>
      </c>
      <c r="CW158" s="20">
        <f t="shared" si="174"/>
        <v>6.1663475311105072E-12</v>
      </c>
      <c r="CX158" s="59">
        <f t="shared" si="122"/>
        <v>289.86546569769183</v>
      </c>
      <c r="CY158" s="59">
        <f ca="1">AVERAGE(OFFSET($CX$3,0,0,'Données projet'!$E$13+1,1))-AVERAGE(OFFSET($H$3,0,0,'Données projet'!$E$13+1,1))</f>
        <v>470.42022791389275</v>
      </c>
      <c r="CZ158" s="59">
        <f t="shared" si="150"/>
        <v>300.26117330627346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40.318191266989359</v>
      </c>
      <c r="DG158" s="21">
        <f>EXP(-LN(2)/25)*DG157+(1-EXP(-LN(2)/25))/(LN(2)/25)*Calculateur!DB158*Calculateur!DD158*VLOOKUP('Données projet'!$B$13,Paramètres!$A$1:$I$89,3,0)*0.475*44/12</f>
        <v>30.101649148779003</v>
      </c>
      <c r="DH158" s="21">
        <f>EXP(-LN(2)/2)*DH157+(1-EXP(-LN(2)/2))/(LN(2)/2)*DB158*DE158*VLOOKUP('Données projet'!$B$13,Paramètres!$A$1:$I$89,3,0)*0.475*44/12</f>
        <v>6.1891088836379237E-3</v>
      </c>
      <c r="DI158" s="22">
        <f t="shared" si="175"/>
        <v>70.426029524651995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69.054217917550645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7.5191666666666634</v>
      </c>
      <c r="DO158" s="12">
        <f>IF('Données projet'!$A$166&gt;35,DO157+DN158-DW157,IF(A158&lt;'Données projet'!$A$166,$DL$205^A158,IF(A158='Données projet'!$A$166,'Données projet'!$B$166,DO157+DN158-DW157)))</f>
        <v>401.68083333333294</v>
      </c>
      <c r="DP158" s="17">
        <f>DO158*VLOOKUP('Données projet'!$B$14,Paramètres!$A$1:$I$89,3,0)*VLOOKUP('Données projet'!$B$14,Paramètres!$A$1:$I$89,5,0)</f>
        <v>388.50570199999964</v>
      </c>
      <c r="DQ158" s="13">
        <f t="shared" si="176"/>
        <v>89.442433150300388</v>
      </c>
      <c r="DR158" s="20">
        <f t="shared" si="177"/>
        <v>832.42633538677239</v>
      </c>
      <c r="DS158" s="59">
        <f t="shared" si="125"/>
        <v>1122.291801084458</v>
      </c>
      <c r="DT158" s="59">
        <f ca="1">AVERAGE(OFFSET($DS$3,0,0,'Données projet'!$E$14+1,1))-AVERAGE(OFFSET($H$3,0,0,'Données projet'!$E$14+1,1))</f>
        <v>537.37164071064103</v>
      </c>
      <c r="DU158" s="59">
        <f t="shared" si="152"/>
        <v>263.29777321132235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18.235292132806666</v>
      </c>
      <c r="EB158" s="21">
        <f>EXP(-LN(2)/25)*EB157+(1-EXP(-LN(2)/25))/(LN(2)/25)*Calculateur!DW158*Calculateur!DY158*VLOOKUP('Données projet'!$B$14,Paramètres!$A$1:$I$89,3,0)*0.475*44/12</f>
        <v>15.817966226284671</v>
      </c>
      <c r="EC158" s="21">
        <f>EXP(-LN(2)/2)*EC157+(1-EXP(-LN(2)/2))/(LN(2)/2)*DW158*DZ158*VLOOKUP('Données projet'!$B$14,Paramètres!$A$1:$I$89,3,0)*0.475*44/12</f>
        <v>0.3112230925492277</v>
      </c>
      <c r="ED158" s="22">
        <f t="shared" si="178"/>
        <v>34.364481451640565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69.054217917550645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69.054217917550645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69.054217917550645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69.054217917550645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45">
      <c r="A159" s="10">
        <f t="shared" si="161"/>
        <v>156</v>
      </c>
      <c r="B159" s="73">
        <f>'Scénario référence'!$B$16*5+'Scénario référence'!$B$17*0+'Scénario référence'!$B$18*5</f>
        <v>2.8499999999999996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10.449999999999998</v>
      </c>
      <c r="H159" s="67">
        <f t="shared" si="110"/>
        <v>214.86666666666667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69.070625122229174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>
        <f>VLOOKUP(A159,'Données projet'!$A$35:$I$55,2,0)</f>
        <v>290.93</v>
      </c>
      <c r="L159" s="12">
        <f>VLOOKUP(A159,'Données projet'!$A$35:$I$55,9,0)</f>
        <v>4.083333333333333</v>
      </c>
      <c r="M159" s="12">
        <f t="array" ref="M159">INDEX(L:L,MIN(IF(ISNUMBER(L159:L355),ROW(L159:L355),"")))</f>
        <v>4.083333333333333</v>
      </c>
      <c r="N159" s="13">
        <f>IF('Données projet'!$A$36&gt;35,N158+M159-V158,IF(A159&lt;'Données projet'!$A$36,$K$205^A159,IF(A159='Données projet'!$A$36,'Données projet'!$B$36,N158+M159-V158)))</f>
        <v>290.9300000000004</v>
      </c>
      <c r="O159" s="13">
        <f>N159*VLOOKUP('Données projet'!$B$9,Paramètres!$A$1:$I$89,3,0)*VLOOKUP('Données projet'!$B$9,Paramètres!$A$1:$I$89,5,0)</f>
        <v>263.23346400000037</v>
      </c>
      <c r="P159" s="13">
        <f t="shared" si="141"/>
        <v>63.411125233778499</v>
      </c>
      <c r="Q159" s="20">
        <f t="shared" si="162"/>
        <v>568.90599291549813</v>
      </c>
      <c r="R159" s="59">
        <f t="shared" si="109"/>
        <v>858.83161836367185</v>
      </c>
      <c r="S159" s="59">
        <f ca="1">AVERAGE(OFFSET($R$3,0,0,'Données projet'!$E$9+1,1))-AVERAGE(OFFSET($H$3,0,0,'Données projet'!$E$9+1,1))</f>
        <v>719.20816951277925</v>
      </c>
      <c r="T159" s="59">
        <f t="shared" si="142"/>
        <v>237.1127421841087</v>
      </c>
      <c r="U159" s="15">
        <f>IF(ISNA(VLOOKUP(A159,'Données projet'!$A$35:$I$55,3,0)),0,VLOOKUP(A159,'Données projet'!$A$35:$I$55,3,0))</f>
        <v>16</v>
      </c>
      <c r="V159" s="15">
        <f>IF(ISNA(VLOOKUP(A159,'Données projet'!$A$35:$I$55,4,0)),0,VLOOKUP(A159,'Données projet'!$A$35:$I$55,4,0))</f>
        <v>96.65</v>
      </c>
      <c r="W159" s="16">
        <f>IF(ISNA(VLOOKUP(A159,'Données projet'!$A$35:$I$55,5,0)),0%,VLOOKUP(A159,'Données projet'!$A$35:$I$55,5,0)*VLOOKUP('Données projet'!$B$9,Paramètres!$A$1:$I$89,7,0))</f>
        <v>0.19350000000000001</v>
      </c>
      <c r="X159" s="16">
        <f>IF(ISNA(VLOOKUP(A159,'Données projet'!$A$35:$I$55,6,0)),0%,VLOOKUP(A159,'Données projet'!$A$35:$I$55,6,0)*VLOOKUP('Données projet'!$B$9,Paramètres!$A$1:$I$89,7,0))</f>
        <v>2.1500000000000002E-2</v>
      </c>
      <c r="Y159" s="16">
        <f>IF(ISNA(VLOOKUP(A159,'Données projet'!$A$35:$I$55,7,0)),0%,VLOOKUP(A159,'Données projet'!$A$35:$I$55,7,0))</f>
        <v>0.05</v>
      </c>
      <c r="Z159" s="21">
        <f>EXP(-LN(2)/35)*Z158+(1-EXP(-LN(2)/35))/(LN(2)/35)*V159*W159*VLOOKUP('Données projet'!$B$9,Paramètres!$A$1:$I$89,3,0)*0.475*44/12</f>
        <v>143.55780250462382</v>
      </c>
      <c r="AA159" s="21">
        <f>EXP(-LN(2)/25)*AA158+(1-EXP(-LN(2)/25))/(LN(2)/25)*Calculateur!V159*Calculateur!X159*VLOOKUP('Données projet'!$B$9,Paramètres!$A$1:$I$89,3,0)*0.475*44/12</f>
        <v>28.362903628823826</v>
      </c>
      <c r="AB159" s="21">
        <f>EXP(-LN(2)/2)*AB158+(1-EXP(-LN(2)/2))/(LN(2)/2)*V159*Y159*VLOOKUP('Données projet'!$B$9,Paramètres!$A$1:$I$89,3,0)*0.475*44/12</f>
        <v>7.8688747510372492</v>
      </c>
      <c r="AC159" s="22">
        <f t="shared" si="163"/>
        <v>179.78958088448491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69.070625122229174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5.6843418860808015E-14</v>
      </c>
      <c r="AJ159" s="13">
        <f>AI159*VLOOKUP('Données projet'!$B$10,Paramètres!$A$1:$I$89,3,0)*VLOOKUP('Données projet'!$B$10,Paramètres!$A$1:$I$89,5,0)</f>
        <v>4.7884896048344674E-14</v>
      </c>
      <c r="AK159" s="13">
        <f t="shared" si="164"/>
        <v>7.8374629847779921E-13</v>
      </c>
      <c r="AL159" s="20">
        <f t="shared" si="165"/>
        <v>1.4484243304663672E-12</v>
      </c>
      <c r="AM159" s="59">
        <f t="shared" si="113"/>
        <v>289.92562544817508</v>
      </c>
      <c r="AN159" s="59">
        <f ca="1">AVERAGE(OFFSET($AM$3,0,0,'Données projet'!$E$10+1,1))-AVERAGE(OFFSET($H$3,0,0,'Données projet'!$E$10+1,1))</f>
        <v>442.79037205372367</v>
      </c>
      <c r="AO159" s="59">
        <f t="shared" si="144"/>
        <v>288.23553637727969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45.449714534057456</v>
      </c>
      <c r="AV159" s="21">
        <f>EXP(-LN(2)/25)*AV158+(1-EXP(-LN(2)/25))/(LN(2)/25)*Calculateur!AQ159*Calculateur!AS159*VLOOKUP('Données projet'!$B$10,Paramètres!$A$1:$I$89,3,0)*0.475*44/12</f>
        <v>6.9949548165821369</v>
      </c>
      <c r="AW159" s="21">
        <f>EXP(-LN(2)/2)*AW158+(1-EXP(-LN(2)/2))/(LN(2)/2)*AQ159*AT159*VLOOKUP('Données projet'!$B$10,Paramètres!$A$1:$I$89,3,0)*0.475*44/12</f>
        <v>2.212233401823427E-7</v>
      </c>
      <c r="AX159" s="21">
        <f t="shared" si="166"/>
        <v>52.444669571862931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69.070625122229174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>
        <f>VLOOKUP(A159,'Données projet'!$A$87:$I$107,2,0)</f>
        <v>409.2</v>
      </c>
      <c r="BB159" s="12">
        <f>VLOOKUP(A159,'Données projet'!$A$87:$I$107,9,0)</f>
        <v>7.5191666666666634</v>
      </c>
      <c r="BC159" s="12">
        <f t="array" ref="BC159">INDEX(BB:BB,MIN(IF(ISNUMBER(BB159:BB355),ROW(BB159:BB355),"")))</f>
        <v>7.5191666666666634</v>
      </c>
      <c r="BD159" s="12">
        <f>IF('Données projet'!$A$88&gt;35,BD158+BC159-BL158,IF(A159&lt;'Données projet'!$A$88,$BA$205^A159,IF(A159='Données projet'!$A$88,'Données projet'!$B$88,BD158+BC159-BL158)))</f>
        <v>409.19999999999959</v>
      </c>
      <c r="BE159" s="13">
        <f>BD159*VLOOKUP('Données projet'!$B$11,Paramètres!$A$1:$I$89,3,0)*VLOOKUP('Données projet'!$B$11,Paramètres!$A$1:$I$89,5,0)</f>
        <v>414.92879999999963</v>
      </c>
      <c r="BF159" s="13">
        <f t="shared" si="167"/>
        <v>94.796765693156289</v>
      </c>
      <c r="BG159" s="20">
        <f t="shared" si="168"/>
        <v>887.77202691557977</v>
      </c>
      <c r="BH159" s="59">
        <f t="shared" si="116"/>
        <v>1177.6976523637534</v>
      </c>
      <c r="BI159" s="59">
        <f ca="1">AVERAGE(OFFSET($BH$3,0,0,'Données projet'!$E$11+1,1))-AVERAGE(OFFSET($H$3,0,0,'Données projet'!$E$11+1,1))</f>
        <v>559.91818701710872</v>
      </c>
      <c r="BJ159" s="59">
        <f t="shared" si="146"/>
        <v>273.47272623465915</v>
      </c>
      <c r="BK159" s="15">
        <f>IF(ISNA(VLOOKUP(A159,'Données projet'!$A$87:$I$107,3,0)),0,VLOOKUP(A159,'Données projet'!$A$87:$I$107,3,0))</f>
        <v>11</v>
      </c>
      <c r="BL159" s="15">
        <f>IF(ISNA(VLOOKUP(A159,'Données projet'!$A$87:$I$107,4,0)),0,VLOOKUP(A159,'Données projet'!$A$87:$I$107,4,0))</f>
        <v>65.69</v>
      </c>
      <c r="BM159" s="16">
        <f>IF(ISNA(VLOOKUP(A159,'Données projet'!$A$87:$I$107,5,0)),0%,VLOOKUP(A159,'Données projet'!$A$87:$I$107,5,0)*VLOOKUP('Données projet'!$B$11,Paramètres!$A$1:$I$89,7,0))</f>
        <v>0.215</v>
      </c>
      <c r="BN159" s="16">
        <f>IF(ISNA(VLOOKUP(A159,'Données projet'!$A$87:$I$107,6,0)),0%,VLOOKUP(A159,'Données projet'!$A$87:$I$107,6,0)*VLOOKUP('Données projet'!$B$11,Paramètres!$A$1:$I$89,7,0))</f>
        <v>8.6000000000000007E-2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42.071389784715464</v>
      </c>
      <c r="BQ159" s="21">
        <f>EXP(-LN(2)/25)*BQ158+(1-EXP(-LN(2)/25))/(LN(2)/25)*Calculateur!BL159*Calculateur!BN159*VLOOKUP('Données projet'!$B$11,Paramètres!$A$1:$I$89,3,0)*0.475*44/12</f>
        <v>22.861560310601355</v>
      </c>
      <c r="BR159" s="21">
        <f>EXP(-LN(2)/2)*BR158+(1-EXP(-LN(2)/2))/(LN(2)/2)*BL159*BO159*VLOOKUP('Données projet'!$B$11,Paramètres!$A$1:$I$89,3,0)*0.475*44/12</f>
        <v>9.2286563541440034E-2</v>
      </c>
      <c r="BS159" s="22">
        <f t="shared" si="169"/>
        <v>65.025236658858248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69.070625122229174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-1.1368683772161603E-13</v>
      </c>
      <c r="BZ159" s="13">
        <f>BY159*VLOOKUP('Données projet'!$B$12,Paramètres!$A$1:$I$89,3,0)*VLOOKUP('Données projet'!$B$12,Paramètres!$A$1:$I$89,5,0)</f>
        <v>-8.8675733422860506E-14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208.92677786250815</v>
      </c>
      <c r="CE159" s="59">
        <f t="shared" si="148"/>
        <v>207.54290142772214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4.9210180230344847</v>
      </c>
      <c r="CL159" s="21">
        <f>EXP(-LN(2)/25)*CL158+(1-EXP(-LN(2)/25))/(LN(2)/25)*Calculateur!CG159*Calculateur!CI159*VLOOKUP('Données projet'!$B$12,Paramètres!$A$1:$I$89,3,0)*0.475*44/12</f>
        <v>2.4321617103355058</v>
      </c>
      <c r="CM159" s="21">
        <f>EXP(-LN(2)/2)*CM158+(1-EXP(-LN(2)/2))/(LN(2)/2)*CG159*CJ159*VLOOKUP('Données projet'!$B$12,Paramètres!$A$1:$I$89,3,0)*0.475*44/12</f>
        <v>3.1308331131880512E-12</v>
      </c>
      <c r="CN159" s="22">
        <f t="shared" si="172"/>
        <v>7.3531797333731213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69.070625122229174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2.5579538487363607E-13</v>
      </c>
      <c r="CU159" s="17">
        <f>CT159*VLOOKUP('Données projet'!$B$13,Paramètres!$A$1:$I$89,3,0)*VLOOKUP('Données projet'!$B$13,Paramètres!$A$1:$I$89,5,0)</f>
        <v>2.4341488824575211E-13</v>
      </c>
      <c r="CV159" s="13">
        <f t="shared" si="173"/>
        <v>3.2970717324875541E-12</v>
      </c>
      <c r="CW159" s="20">
        <f t="shared" si="174"/>
        <v>6.1663475311105072E-12</v>
      </c>
      <c r="CX159" s="59">
        <f t="shared" si="122"/>
        <v>289.9256254481798</v>
      </c>
      <c r="CY159" s="59">
        <f ca="1">AVERAGE(OFFSET($CX$3,0,0,'Données projet'!$E$13+1,1))-AVERAGE(OFFSET($H$3,0,0,'Données projet'!$E$13+1,1))</f>
        <v>470.42022791389275</v>
      </c>
      <c r="CZ159" s="59">
        <f t="shared" si="150"/>
        <v>300.26117330627346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39.527576127912148</v>
      </c>
      <c r="DG159" s="21">
        <f>EXP(-LN(2)/25)*DG158+(1-EXP(-LN(2)/25))/(LN(2)/25)*Calculateur!DB159*Calculateur!DD159*VLOOKUP('Données projet'!$B$13,Paramètres!$A$1:$I$89,3,0)*0.475*44/12</f>
        <v>29.278517969828712</v>
      </c>
      <c r="DH159" s="21">
        <f>EXP(-LN(2)/2)*DH158+(1-EXP(-LN(2)/2))/(LN(2)/2)*DB159*DE159*VLOOKUP('Données projet'!$B$13,Paramètres!$A$1:$I$89,3,0)*0.475*44/12</f>
        <v>4.3763608611222787E-3</v>
      </c>
      <c r="DI159" s="22">
        <f t="shared" si="175"/>
        <v>68.810470458601984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69.070625122229174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>
        <f>VLOOKUP(A159,'Données projet'!$A$165:$I$185,2,0)</f>
        <v>409.2</v>
      </c>
      <c r="DM159" s="12">
        <f>VLOOKUP(A159,'Données projet'!$A$165:$I$185,9,0)</f>
        <v>7.5191666666666634</v>
      </c>
      <c r="DN159" s="12">
        <f t="array" ref="DN159">INDEX(DM:DM,MIN(IF(ISNUMBER(DM159:DM355),ROW(DM159:DM355),"")))</f>
        <v>7.5191666666666634</v>
      </c>
      <c r="DO159" s="12">
        <f>IF('Données projet'!$A$166&gt;35,DO158+DN159-DW158,IF(A159&lt;'Données projet'!$A$166,$DL$205^A159,IF(A159='Données projet'!$A$166,'Données projet'!$B$166,DO158+DN159-DW158)))</f>
        <v>409.19999999999959</v>
      </c>
      <c r="DP159" s="17">
        <f>DO159*VLOOKUP('Données projet'!$B$14,Paramètres!$A$1:$I$89,3,0)*VLOOKUP('Données projet'!$B$14,Paramètres!$A$1:$I$89,5,0)</f>
        <v>395.77823999999964</v>
      </c>
      <c r="DQ159" s="13">
        <f t="shared" si="176"/>
        <v>90.920240345509228</v>
      </c>
      <c r="DR159" s="20">
        <f t="shared" si="177"/>
        <v>847.66651993509458</v>
      </c>
      <c r="DS159" s="59">
        <f t="shared" si="125"/>
        <v>1137.5921453832682</v>
      </c>
      <c r="DT159" s="59">
        <f ca="1">AVERAGE(OFFSET($DS$3,0,0,'Données projet'!$E$14+1,1))-AVERAGE(OFFSET($H$3,0,0,'Données projet'!$E$14+1,1))</f>
        <v>537.37164071064103</v>
      </c>
      <c r="DU159" s="59">
        <f t="shared" si="152"/>
        <v>263.29777321132235</v>
      </c>
      <c r="DV159" s="15">
        <f>IF(ISNA(VLOOKUP(A159,'Données projet'!$A$165:$I$185,3,0)),0,VLOOKUP(A159,'Données projet'!$A$165:$I$185,3,0))</f>
        <v>11</v>
      </c>
      <c r="DW159" s="15">
        <f>IF(ISNA(VLOOKUP(A159,'Données projet'!$A$165:$I$185,4,0)),0,VLOOKUP(A159,'Données projet'!$A$165:$I$185,4,0))</f>
        <v>65.69</v>
      </c>
      <c r="DX159" s="16">
        <f>IF(ISNA(VLOOKUP(A159,'Données projet'!$A$165:$I$185,5,0)),0%,VLOOKUP(A159,'Données projet'!$A$165:$I$185,5,0)*VLOOKUP('Données projet'!$B$14,Paramètres!$A$1:$I$89,7,0))</f>
        <v>0.1075</v>
      </c>
      <c r="DY159" s="16">
        <f>IF(ISNA(VLOOKUP(A159,'Données projet'!$A$165:$I$185,6,0)),0%,VLOOKUP(A159,'Données projet'!$A$165:$I$185,6,0)*VLOOKUP('Données projet'!$B$14,Paramètres!$A$1:$I$89,7,0))</f>
        <v>0.1075</v>
      </c>
      <c r="DZ159" s="16">
        <f>IF(ISNA(VLOOKUP(A159,'Données projet'!$A$165:$I$185,7,0)),0%,VLOOKUP(A159,'Données projet'!$A$165:$I$185,7,0))</f>
        <v>0.25</v>
      </c>
      <c r="EA159" s="21">
        <f>EXP(-LN(2)/35)*EA158+(1-EXP(-LN(2)/35))/(LN(2)/35)*DW159*DX159*VLOOKUP('Données projet'!$B$14,Paramètres!$A$1:$I$89,3,0)*0.475*44/12</f>
        <v>25.428129419510288</v>
      </c>
      <c r="EB159" s="21">
        <f>EXP(-LN(2)/25)*EB158+(1-EXP(-LN(2)/25))/(LN(2)/25)*Calculateur!DW159*Calculateur!DY159*VLOOKUP('Données projet'!$B$14,Paramètres!$A$1:$I$89,3,0)*0.475*44/12</f>
        <v>22.906114469561889</v>
      </c>
      <c r="EC159" s="21">
        <f>EXP(-LN(2)/2)*EC158+(1-EXP(-LN(2)/2))/(LN(2)/2)*DW159*DZ159*VLOOKUP('Données projet'!$B$14,Paramètres!$A$1:$I$89,3,0)*0.475*44/12</f>
        <v>15.206900393542885</v>
      </c>
      <c r="ED159" s="22">
        <f t="shared" si="178"/>
        <v>63.541144282615065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69.070625122229174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69.070625122229174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69.070625122229174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69.070625122229174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45">
      <c r="A160" s="10">
        <f t="shared" si="161"/>
        <v>157</v>
      </c>
      <c r="B160" s="73">
        <f>'Scénario référence'!$B$16*5+'Scénario référence'!$B$17*0+'Scénario référence'!$B$18*5</f>
        <v>2.8499999999999996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10.449999999999998</v>
      </c>
      <c r="H160" s="67">
        <f t="shared" si="110"/>
        <v>214.86666666666667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69.086747698587544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2.3999999999999964</v>
      </c>
      <c r="N160" s="13">
        <f>IF('Données projet'!$A$36&gt;35,N159+M160-V159,IF(A160&lt;'Données projet'!$A$36,$K$205^A160,IF(A160='Données projet'!$A$36,'Données projet'!$B$36,N159+M160-V159)))</f>
        <v>196.68000000000038</v>
      </c>
      <c r="O160" s="13">
        <f>N160*VLOOKUP('Données projet'!$B$9,Paramètres!$A$1:$I$89,3,0)*VLOOKUP('Données projet'!$B$9,Paramètres!$A$1:$I$89,5,0)</f>
        <v>177.95606400000034</v>
      </c>
      <c r="P160" s="13">
        <f t="shared" si="141"/>
        <v>44.867146262287271</v>
      </c>
      <c r="Q160" s="20">
        <f t="shared" si="162"/>
        <v>388.08375787348422</v>
      </c>
      <c r="R160" s="59">
        <f t="shared" si="109"/>
        <v>678.06849943497195</v>
      </c>
      <c r="S160" s="59">
        <f ca="1">AVERAGE(OFFSET($R$3,0,0,'Données projet'!$E$9+1,1))-AVERAGE(OFFSET($H$3,0,0,'Données projet'!$E$9+1,1))</f>
        <v>719.20816951277925</v>
      </c>
      <c r="T160" s="59">
        <f t="shared" si="142"/>
        <v>237.1127421841087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140.74272155912169</v>
      </c>
      <c r="AA160" s="21">
        <f>EXP(-LN(2)/25)*AA159+(1-EXP(-LN(2)/25))/(LN(2)/25)*Calculateur!V160*Calculateur!X160*VLOOKUP('Données projet'!$B$9,Paramètres!$A$1:$I$89,3,0)*0.475*44/12</f>
        <v>27.587318537553362</v>
      </c>
      <c r="AB160" s="21">
        <f>EXP(-LN(2)/2)*AB159+(1-EXP(-LN(2)/2))/(LN(2)/2)*V160*Y160*VLOOKUP('Données projet'!$B$9,Paramètres!$A$1:$I$89,3,0)*0.475*44/12</f>
        <v>5.564134696766045</v>
      </c>
      <c r="AC160" s="22">
        <f t="shared" si="163"/>
        <v>173.8941747934411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69.086747698587544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5.6843418860808015E-14</v>
      </c>
      <c r="AJ160" s="13">
        <f>AI160*VLOOKUP('Données projet'!$B$10,Paramètres!$A$1:$I$89,3,0)*VLOOKUP('Données projet'!$B$10,Paramètres!$A$1:$I$89,5,0)</f>
        <v>4.7884896048344674E-14</v>
      </c>
      <c r="AK160" s="13">
        <f t="shared" si="164"/>
        <v>7.8374629847779921E-13</v>
      </c>
      <c r="AL160" s="20">
        <f t="shared" si="165"/>
        <v>1.4484243304663672E-12</v>
      </c>
      <c r="AM160" s="59">
        <f t="shared" si="113"/>
        <v>289.9847415614891</v>
      </c>
      <c r="AN160" s="59">
        <f ca="1">AVERAGE(OFFSET($AM$3,0,0,'Données projet'!$E$10+1,1))-AVERAGE(OFFSET($H$3,0,0,'Données projet'!$E$10+1,1))</f>
        <v>442.79037205372367</v>
      </c>
      <c r="AO160" s="59">
        <f t="shared" si="144"/>
        <v>288.23553637727969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44.558473353633175</v>
      </c>
      <c r="AV160" s="21">
        <f>EXP(-LN(2)/25)*AV159+(1-EXP(-LN(2)/25))/(LN(2)/25)*Calculateur!AQ160*Calculateur!AS160*VLOOKUP('Données projet'!$B$10,Paramètres!$A$1:$I$89,3,0)*0.475*44/12</f>
        <v>6.8036774092740115</v>
      </c>
      <c r="AW160" s="21">
        <f>EXP(-LN(2)/2)*AW159+(1-EXP(-LN(2)/2))/(LN(2)/2)*AQ160*AT160*VLOOKUP('Données projet'!$B$10,Paramètres!$A$1:$I$89,3,0)*0.475*44/12</f>
        <v>1.5642852399967296E-7</v>
      </c>
      <c r="AX160" s="21">
        <f t="shared" si="166"/>
        <v>51.362150919335711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69.086747698587544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7.6783333333333319</v>
      </c>
      <c r="BD160" s="12">
        <f>IF('Données projet'!$A$88&gt;35,BD159+BC160-BL159,IF(A160&lt;'Données projet'!$A$88,$BA$205^A160,IF(A160='Données projet'!$A$88,'Données projet'!$B$88,BD159+BC160-BL159)))</f>
        <v>351.18833333333293</v>
      </c>
      <c r="BE160" s="13">
        <f>BD160*VLOOKUP('Données projet'!$B$11,Paramètres!$A$1:$I$89,3,0)*VLOOKUP('Données projet'!$B$11,Paramètres!$A$1:$I$89,5,0)</f>
        <v>356.10496999999958</v>
      </c>
      <c r="BF160" s="13">
        <f t="shared" si="167"/>
        <v>82.818320026492003</v>
      </c>
      <c r="BG160" s="20">
        <f t="shared" si="168"/>
        <v>764.45806346280631</v>
      </c>
      <c r="BH160" s="59">
        <f t="shared" si="116"/>
        <v>1054.4428050242941</v>
      </c>
      <c r="BI160" s="59">
        <f ca="1">AVERAGE(OFFSET($BH$3,0,0,'Données projet'!$E$11+1,1))-AVERAGE(OFFSET($H$3,0,0,'Données projet'!$E$11+1,1))</f>
        <v>559.91818701710872</v>
      </c>
      <c r="BJ160" s="59">
        <f t="shared" si="146"/>
        <v>273.47272623465915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41.24639549205115</v>
      </c>
      <c r="BQ160" s="21">
        <f>EXP(-LN(2)/25)*BQ159+(1-EXP(-LN(2)/25))/(LN(2)/25)*Calculateur!BL160*Calculateur!BN160*VLOOKUP('Données projet'!$B$11,Paramètres!$A$1:$I$89,3,0)*0.475*44/12</f>
        <v>22.236409741670755</v>
      </c>
      <c r="BR160" s="21">
        <f>EXP(-LN(2)/2)*BR159+(1-EXP(-LN(2)/2))/(LN(2)/2)*BL160*BO160*VLOOKUP('Données projet'!$B$11,Paramètres!$A$1:$I$89,3,0)*0.475*44/12</f>
        <v>6.5256454892555452E-2</v>
      </c>
      <c r="BS160" s="22">
        <f t="shared" si="169"/>
        <v>63.54806168861446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69.086747698587544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-1.1368683772161603E-13</v>
      </c>
      <c r="BZ160" s="13">
        <f>BY160*VLOOKUP('Données projet'!$B$12,Paramètres!$A$1:$I$89,3,0)*VLOOKUP('Données projet'!$B$12,Paramètres!$A$1:$I$89,5,0)</f>
        <v>-8.8675733422860506E-14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208.92677786250815</v>
      </c>
      <c r="CE160" s="59">
        <f t="shared" si="148"/>
        <v>207.54290142772214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4.8245198611273965</v>
      </c>
      <c r="CL160" s="21">
        <f>EXP(-LN(2)/25)*CL159+(1-EXP(-LN(2)/25))/(LN(2)/25)*Calculateur!CG160*Calculateur!CI160*VLOOKUP('Données projet'!$B$12,Paramètres!$A$1:$I$89,3,0)*0.475*44/12</f>
        <v>2.3656541204645558</v>
      </c>
      <c r="CM160" s="21">
        <f>EXP(-LN(2)/2)*CM159+(1-EXP(-LN(2)/2))/(LN(2)/2)*CG160*CJ160*VLOOKUP('Données projet'!$B$12,Paramètres!$A$1:$I$89,3,0)*0.475*44/12</f>
        <v>2.2138333250986606E-12</v>
      </c>
      <c r="CN160" s="22">
        <f t="shared" si="172"/>
        <v>7.1901739815941665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69.086747698587544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2.5579538487363607E-13</v>
      </c>
      <c r="CU160" s="17">
        <f>CT160*VLOOKUP('Données projet'!$B$13,Paramètres!$A$1:$I$89,3,0)*VLOOKUP('Données projet'!$B$13,Paramètres!$A$1:$I$89,5,0)</f>
        <v>2.4341488824575211E-13</v>
      </c>
      <c r="CV160" s="13">
        <f t="shared" si="173"/>
        <v>3.2970717324875541E-12</v>
      </c>
      <c r="CW160" s="20">
        <f t="shared" si="174"/>
        <v>6.1663475311105072E-12</v>
      </c>
      <c r="CX160" s="59">
        <f t="shared" si="122"/>
        <v>289.98474156149382</v>
      </c>
      <c r="CY160" s="59">
        <f ca="1">AVERAGE(OFFSET($CX$3,0,0,'Données projet'!$E$13+1,1))-AVERAGE(OFFSET($H$3,0,0,'Données projet'!$E$13+1,1))</f>
        <v>470.42022791389275</v>
      </c>
      <c r="CZ160" s="59">
        <f t="shared" si="150"/>
        <v>300.26117330627346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38.752464469484622</v>
      </c>
      <c r="DG160" s="21">
        <f>EXP(-LN(2)/25)*DG159+(1-EXP(-LN(2)/25))/(LN(2)/25)*Calculateur!DB160*Calculateur!DD160*VLOOKUP('Données projet'!$B$13,Paramètres!$A$1:$I$89,3,0)*0.475*44/12</f>
        <v>28.477895356253402</v>
      </c>
      <c r="DH160" s="21">
        <f>EXP(-LN(2)/2)*DH159+(1-EXP(-LN(2)/2))/(LN(2)/2)*DB160*DE160*VLOOKUP('Données projet'!$B$13,Paramètres!$A$1:$I$89,3,0)*0.475*44/12</f>
        <v>3.0945544418189619E-3</v>
      </c>
      <c r="DI160" s="22">
        <f t="shared" si="175"/>
        <v>67.233454380179836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69.086747698587544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7.6783333333333319</v>
      </c>
      <c r="DO160" s="12">
        <f>IF('Données projet'!$A$166&gt;35,DO159+DN160-DW159,IF(A160&lt;'Données projet'!$A$166,$DL$205^A160,IF(A160='Données projet'!$A$166,'Données projet'!$B$166,DO159+DN160-DW159)))</f>
        <v>351.18833333333293</v>
      </c>
      <c r="DP160" s="17">
        <f>DO160*VLOOKUP('Données projet'!$B$14,Paramètres!$A$1:$I$89,3,0)*VLOOKUP('Données projet'!$B$14,Paramètres!$A$1:$I$89,5,0)</f>
        <v>339.66935599999965</v>
      </c>
      <c r="DQ160" s="13">
        <f t="shared" si="176"/>
        <v>79.431629410153604</v>
      </c>
      <c r="DR160" s="20">
        <f t="shared" si="177"/>
        <v>729.93421625601695</v>
      </c>
      <c r="DS160" s="59">
        <f t="shared" si="125"/>
        <v>1019.9189578175046</v>
      </c>
      <c r="DT160" s="59">
        <f ca="1">AVERAGE(OFFSET($DS$3,0,0,'Données projet'!$E$14+1,1))-AVERAGE(OFFSET($H$3,0,0,'Données projet'!$E$14+1,1))</f>
        <v>537.37164071064103</v>
      </c>
      <c r="DU160" s="59">
        <f t="shared" si="152"/>
        <v>263.29777321132235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24.929499311221189</v>
      </c>
      <c r="EB160" s="21">
        <f>EXP(-LN(2)/25)*EB159+(1-EXP(-LN(2)/25))/(LN(2)/25)*Calculateur!DW160*Calculateur!DY160*VLOOKUP('Données projet'!$B$14,Paramètres!$A$1:$I$89,3,0)*0.475*44/12</f>
        <v>22.27974556481151</v>
      </c>
      <c r="EC160" s="21">
        <f>EXP(-LN(2)/2)*EC159+(1-EXP(-LN(2)/2))/(LN(2)/2)*DW160*DZ160*VLOOKUP('Données projet'!$B$14,Paramètres!$A$1:$I$89,3,0)*0.475*44/12</f>
        <v>10.752902389102553</v>
      </c>
      <c r="ED160" s="22">
        <f t="shared" si="178"/>
        <v>57.962147265135251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69.086747698587544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69.086747698587544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69.086747698587544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69.086747698587544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45">
      <c r="A161" s="10">
        <f t="shared" si="161"/>
        <v>158</v>
      </c>
      <c r="B161" s="73">
        <f>'Scénario référence'!$B$16*5+'Scénario référence'!$B$17*0+'Scénario référence'!$B$18*5</f>
        <v>2.8499999999999996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10.449999999999998</v>
      </c>
      <c r="H161" s="67">
        <f t="shared" si="110"/>
        <v>214.86666666666667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69.10259058429078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2.3999999999999964</v>
      </c>
      <c r="N161" s="13">
        <f>IF('Données projet'!$A$36&gt;35,N160+M161-V160,IF(A161&lt;'Données projet'!$A$36,$K$205^A161,IF(A161='Données projet'!$A$36,'Données projet'!$B$36,N160+M161-V160)))</f>
        <v>199.08000000000038</v>
      </c>
      <c r="O161" s="13">
        <f>N161*VLOOKUP('Données projet'!$B$9,Paramètres!$A$1:$I$89,3,0)*VLOOKUP('Données projet'!$B$9,Paramètres!$A$1:$I$89,5,0)</f>
        <v>180.12758400000035</v>
      </c>
      <c r="P161" s="13">
        <f t="shared" si="141"/>
        <v>45.350570085330872</v>
      </c>
      <c r="Q161" s="20">
        <f t="shared" si="162"/>
        <v>392.7077850319518</v>
      </c>
      <c r="R161" s="59">
        <f t="shared" si="109"/>
        <v>682.75061717435131</v>
      </c>
      <c r="S161" s="59">
        <f ca="1">AVERAGE(OFFSET($R$3,0,0,'Données projet'!$E$9+1,1))-AVERAGE(OFFSET($H$3,0,0,'Données projet'!$E$9+1,1))</f>
        <v>719.20816951277925</v>
      </c>
      <c r="T161" s="59">
        <f t="shared" si="142"/>
        <v>237.1127421841087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137.98284263393103</v>
      </c>
      <c r="AA161" s="21">
        <f>EXP(-LN(2)/25)*AA160+(1-EXP(-LN(2)/25))/(LN(2)/25)*Calculateur!V161*Calculateur!X161*VLOOKUP('Données projet'!$B$9,Paramètres!$A$1:$I$89,3,0)*0.475*44/12</f>
        <v>26.832941861389934</v>
      </c>
      <c r="AB161" s="21">
        <f>EXP(-LN(2)/2)*AB160+(1-EXP(-LN(2)/2))/(LN(2)/2)*V161*Y161*VLOOKUP('Données projet'!$B$9,Paramètres!$A$1:$I$89,3,0)*0.475*44/12</f>
        <v>3.934437375518625</v>
      </c>
      <c r="AC161" s="22">
        <f t="shared" si="163"/>
        <v>168.7502218708396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69.10259058429078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5.6843418860808015E-14</v>
      </c>
      <c r="AJ161" s="13">
        <f>AI161*VLOOKUP('Données projet'!$B$10,Paramètres!$A$1:$I$89,3,0)*VLOOKUP('Données projet'!$B$10,Paramètres!$A$1:$I$89,5,0)</f>
        <v>4.7884896048344674E-14</v>
      </c>
      <c r="AK161" s="13">
        <f t="shared" si="164"/>
        <v>7.8374629847779921E-13</v>
      </c>
      <c r="AL161" s="20">
        <f t="shared" si="165"/>
        <v>1.4484243304663672E-12</v>
      </c>
      <c r="AM161" s="59">
        <f t="shared" si="113"/>
        <v>290.04283214240093</v>
      </c>
      <c r="AN161" s="59">
        <f ca="1">AVERAGE(OFFSET($AM$3,0,0,'Données projet'!$E$10+1,1))-AVERAGE(OFFSET($H$3,0,0,'Données projet'!$E$10+1,1))</f>
        <v>442.79037205372367</v>
      </c>
      <c r="AO161" s="59">
        <f t="shared" si="144"/>
        <v>288.23553637727969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43.684708869153575</v>
      </c>
      <c r="AV161" s="21">
        <f>EXP(-LN(2)/25)*AV160+(1-EXP(-LN(2)/25))/(LN(2)/25)*Calculateur!AQ161*Calculateur!AS161*VLOOKUP('Données projet'!$B$10,Paramètres!$A$1:$I$89,3,0)*0.475*44/12</f>
        <v>6.6176304927275691</v>
      </c>
      <c r="AW161" s="21">
        <f>EXP(-LN(2)/2)*AW160+(1-EXP(-LN(2)/2))/(LN(2)/2)*AQ161*AT161*VLOOKUP('Données projet'!$B$10,Paramètres!$A$1:$I$89,3,0)*0.475*44/12</f>
        <v>1.1061167009117135E-7</v>
      </c>
      <c r="AX161" s="21">
        <f t="shared" si="166"/>
        <v>50.302339472492818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69.10259058429078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7.6783333333333319</v>
      </c>
      <c r="BD161" s="12">
        <f>IF('Données projet'!$A$88&gt;35,BD160+BC161-BL160,IF(A161&lt;'Données projet'!$A$88,$BA$205^A161,IF(A161='Données projet'!$A$88,'Données projet'!$B$88,BD160+BC161-BL160)))</f>
        <v>358.86666666666628</v>
      </c>
      <c r="BE161" s="13">
        <f>BD161*VLOOKUP('Données projet'!$B$11,Paramètres!$A$1:$I$89,3,0)*VLOOKUP('Données projet'!$B$11,Paramètres!$A$1:$I$89,5,0)</f>
        <v>363.89079999999962</v>
      </c>
      <c r="BF161" s="13">
        <f t="shared" si="167"/>
        <v>84.416260050559117</v>
      </c>
      <c r="BG161" s="20">
        <f t="shared" si="168"/>
        <v>780.80146292138977</v>
      </c>
      <c r="BH161" s="59">
        <f t="shared" si="116"/>
        <v>1070.8442950637893</v>
      </c>
      <c r="BI161" s="59">
        <f ca="1">AVERAGE(OFFSET($BH$3,0,0,'Données projet'!$E$11+1,1))-AVERAGE(OFFSET($H$3,0,0,'Données projet'!$E$11+1,1))</f>
        <v>559.91818701710872</v>
      </c>
      <c r="BJ161" s="59">
        <f t="shared" si="146"/>
        <v>273.47272623465915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40.437578834269146</v>
      </c>
      <c r="BQ161" s="21">
        <f>EXP(-LN(2)/25)*BQ160+(1-EXP(-LN(2)/25))/(LN(2)/25)*Calculateur!BL161*Calculateur!BN161*VLOOKUP('Données projet'!$B$11,Paramètres!$A$1:$I$89,3,0)*0.475*44/12</f>
        <v>21.6283539479228</v>
      </c>
      <c r="BR161" s="21">
        <f>EXP(-LN(2)/2)*BR160+(1-EXP(-LN(2)/2))/(LN(2)/2)*BL161*BO161*VLOOKUP('Données projet'!$B$11,Paramètres!$A$1:$I$89,3,0)*0.475*44/12</f>
        <v>4.6143281770720017E-2</v>
      </c>
      <c r="BS161" s="22">
        <f t="shared" si="169"/>
        <v>62.112076063962668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69.10259058429078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-1.1368683772161603E-13</v>
      </c>
      <c r="BZ161" s="13">
        <f>BY161*VLOOKUP('Données projet'!$B$12,Paramètres!$A$1:$I$89,3,0)*VLOOKUP('Données projet'!$B$12,Paramètres!$A$1:$I$89,5,0)</f>
        <v>-8.8675733422860506E-14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208.92677786250815</v>
      </c>
      <c r="CE161" s="59">
        <f t="shared" si="148"/>
        <v>207.54290142772214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4.7299139693172396</v>
      </c>
      <c r="CL161" s="21">
        <f>EXP(-LN(2)/25)*CL160+(1-EXP(-LN(2)/25))/(LN(2)/25)*Calculateur!CG161*Calculateur!CI161*VLOOKUP('Données projet'!$B$12,Paramètres!$A$1:$I$89,3,0)*0.475*44/12</f>
        <v>2.3009651841361092</v>
      </c>
      <c r="CM161" s="21">
        <f>EXP(-LN(2)/2)*CM160+(1-EXP(-LN(2)/2))/(LN(2)/2)*CG161*CJ161*VLOOKUP('Données projet'!$B$12,Paramètres!$A$1:$I$89,3,0)*0.475*44/12</f>
        <v>1.5654165565940256E-12</v>
      </c>
      <c r="CN161" s="22">
        <f t="shared" si="172"/>
        <v>7.0308791534549142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69.10259058429078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2.5579538487363607E-13</v>
      </c>
      <c r="CU161" s="17">
        <f>CT161*VLOOKUP('Données projet'!$B$13,Paramètres!$A$1:$I$89,3,0)*VLOOKUP('Données projet'!$B$13,Paramètres!$A$1:$I$89,5,0)</f>
        <v>2.4341488824575211E-13</v>
      </c>
      <c r="CV161" s="13">
        <f t="shared" si="173"/>
        <v>3.2970717324875541E-12</v>
      </c>
      <c r="CW161" s="20">
        <f t="shared" si="174"/>
        <v>6.1663475311105072E-12</v>
      </c>
      <c r="CX161" s="59">
        <f t="shared" si="122"/>
        <v>290.04283214240564</v>
      </c>
      <c r="CY161" s="59">
        <f ca="1">AVERAGE(OFFSET($CX$3,0,0,'Données projet'!$E$13+1,1))-AVERAGE(OFFSET($H$3,0,0,'Données projet'!$E$13+1,1))</f>
        <v>470.42022791389275</v>
      </c>
      <c r="CZ161" s="59">
        <f t="shared" si="150"/>
        <v>300.26117330627346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37.992552277907429</v>
      </c>
      <c r="DG161" s="21">
        <f>EXP(-LN(2)/25)*DG160+(1-EXP(-LN(2)/25))/(LN(2)/25)*Calculateur!DB161*Calculateur!DD161*VLOOKUP('Données projet'!$B$13,Paramètres!$A$1:$I$89,3,0)*0.475*44/12</f>
        <v>27.699165810149225</v>
      </c>
      <c r="DH161" s="21">
        <f>EXP(-LN(2)/2)*DH160+(1-EXP(-LN(2)/2))/(LN(2)/2)*DB161*DE161*VLOOKUP('Données projet'!$B$13,Paramètres!$A$1:$I$89,3,0)*0.475*44/12</f>
        <v>2.1881804305611393E-3</v>
      </c>
      <c r="DI161" s="22">
        <f t="shared" si="175"/>
        <v>65.693906268487225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69.10259058429078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7.6783333333333319</v>
      </c>
      <c r="DO161" s="12">
        <f>IF('Données projet'!$A$166&gt;35,DO160+DN161-DW160,IF(A161&lt;'Données projet'!$A$166,$DL$205^A161,IF(A161='Données projet'!$A$166,'Données projet'!$B$166,DO160+DN161-DW160)))</f>
        <v>358.86666666666628</v>
      </c>
      <c r="DP161" s="17">
        <f>DO161*VLOOKUP('Données projet'!$B$14,Paramètres!$A$1:$I$89,3,0)*VLOOKUP('Données projet'!$B$14,Paramètres!$A$1:$I$89,5,0)</f>
        <v>347.09583999999967</v>
      </c>
      <c r="DQ161" s="13">
        <f t="shared" si="176"/>
        <v>80.964224852451267</v>
      </c>
      <c r="DR161" s="20">
        <f t="shared" si="177"/>
        <v>745.53794628468529</v>
      </c>
      <c r="DS161" s="59">
        <f t="shared" si="125"/>
        <v>1035.5807784270849</v>
      </c>
      <c r="DT161" s="59">
        <f ca="1">AVERAGE(OFFSET($DS$3,0,0,'Données projet'!$E$14+1,1))-AVERAGE(OFFSET($H$3,0,0,'Données projet'!$E$14+1,1))</f>
        <v>537.37164071064103</v>
      </c>
      <c r="DU161" s="59">
        <f t="shared" si="152"/>
        <v>263.29777321132235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24.440647035221303</v>
      </c>
      <c r="EB161" s="21">
        <f>EXP(-LN(2)/25)*EB160+(1-EXP(-LN(2)/25))/(LN(2)/25)*Calculateur!DW161*Calculateur!DY161*VLOOKUP('Données projet'!$B$14,Paramètres!$A$1:$I$89,3,0)*0.475*44/12</f>
        <v>21.670504750700839</v>
      </c>
      <c r="EC161" s="21">
        <f>EXP(-LN(2)/2)*EC160+(1-EXP(-LN(2)/2))/(LN(2)/2)*DW161*DZ161*VLOOKUP('Données projet'!$B$14,Paramètres!$A$1:$I$89,3,0)*0.475*44/12</f>
        <v>7.6034501967714441</v>
      </c>
      <c r="ED161" s="22">
        <f t="shared" si="178"/>
        <v>53.714601982693594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69.10259058429078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69.10259058429078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69.10259058429078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69.10259058429078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45">
      <c r="A162" s="10">
        <f t="shared" si="161"/>
        <v>159</v>
      </c>
      <c r="B162" s="73">
        <f>'Scénario référence'!$B$16*5+'Scénario référence'!$B$17*0+'Scénario référence'!$B$18*5</f>
        <v>2.8499999999999996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10.449999999999998</v>
      </c>
      <c r="H162" s="67">
        <f t="shared" si="110"/>
        <v>214.86666666666667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69.118158631346446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>
        <f>VLOOKUP(A162,'Données projet'!$A$35:$I$55,2,0)</f>
        <v>201.48</v>
      </c>
      <c r="L162" s="12">
        <f>VLOOKUP(A162,'Données projet'!$A$35:$I$55,9,0)</f>
        <v>2.3999999999999964</v>
      </c>
      <c r="M162" s="12">
        <f t="array" ref="M162">INDEX(L:L,MIN(IF(ISNUMBER(L162:L358),ROW(L162:L358),"")))</f>
        <v>2.3999999999999964</v>
      </c>
      <c r="N162" s="13">
        <f>IF('Données projet'!$A$36&gt;35,N161+M162-V161,IF(A162&lt;'Données projet'!$A$36,$K$205^A162,IF(A162='Données projet'!$A$36,'Données projet'!$B$36,N161+M162-V161)))</f>
        <v>201.48000000000039</v>
      </c>
      <c r="O162" s="13">
        <f>N162*VLOOKUP('Données projet'!$B$9,Paramètres!$A$1:$I$89,3,0)*VLOOKUP('Données projet'!$B$9,Paramètres!$A$1:$I$89,5,0)</f>
        <v>182.29910400000034</v>
      </c>
      <c r="P162" s="13">
        <f t="shared" si="141"/>
        <v>45.833315999864418</v>
      </c>
      <c r="Q162" s="20">
        <f t="shared" si="162"/>
        <v>397.33063149976448</v>
      </c>
      <c r="R162" s="59">
        <f t="shared" si="109"/>
        <v>687.43054648136808</v>
      </c>
      <c r="S162" s="59">
        <f ca="1">AVERAGE(OFFSET($R$3,0,0,'Données projet'!$E$9+1,1))-AVERAGE(OFFSET($H$3,0,0,'Données projet'!$E$9+1,1))</f>
        <v>719.20816951277925</v>
      </c>
      <c r="T162" s="59">
        <f t="shared" si="142"/>
        <v>237.1127421841087</v>
      </c>
      <c r="U162" s="15">
        <f>IF(ISNA(VLOOKUP(A162,'Données projet'!$A$35:$I$55,3,0)),0,VLOOKUP(A162,'Données projet'!$A$35:$I$55,3,0))</f>
        <v>17</v>
      </c>
      <c r="V162" s="15">
        <f>IF(ISNA(VLOOKUP(A162,'Données projet'!$A$35:$I$55,4,0)),0,VLOOKUP(A162,'Données projet'!$A$35:$I$55,4,0))</f>
        <v>201.48</v>
      </c>
      <c r="W162" s="16">
        <f>IF(ISNA(VLOOKUP(A162,'Données projet'!$A$35:$I$55,5,0)),0%,VLOOKUP(A162,'Données projet'!$A$35:$I$55,5,0)*VLOOKUP('Données projet'!$B$9,Paramètres!$A$1:$I$89,7,0))</f>
        <v>0.19350000000000001</v>
      </c>
      <c r="X162" s="16">
        <f>IF(ISNA(VLOOKUP(A162,'Données projet'!$A$35:$I$55,6,0)),0%,VLOOKUP(A162,'Données projet'!$A$35:$I$55,6,0)*VLOOKUP('Données projet'!$B$9,Paramètres!$A$1:$I$89,7,0))</f>
        <v>2.1500000000000002E-2</v>
      </c>
      <c r="Y162" s="16">
        <f>IF(ISNA(VLOOKUP(A162,'Données projet'!$A$35:$I$55,7,0)),0%,VLOOKUP(A162,'Données projet'!$A$35:$I$55,7,0))</f>
        <v>0.05</v>
      </c>
      <c r="Z162" s="21">
        <f>EXP(-LN(2)/35)*Z161+(1-EXP(-LN(2)/35))/(LN(2)/35)*V162*W162*VLOOKUP('Données projet'!$B$9,Paramètres!$A$1:$I$89,3,0)*0.475*44/12</f>
        <v>174.27241450061467</v>
      </c>
      <c r="AA162" s="21">
        <f>EXP(-LN(2)/25)*AA161+(1-EXP(-LN(2)/25))/(LN(2)/25)*Calculateur!V162*Calculateur!X162*VLOOKUP('Données projet'!$B$9,Paramètres!$A$1:$I$89,3,0)*0.475*44/12</f>
        <v>30.414948296440013</v>
      </c>
      <c r="AB162" s="21">
        <f>EXP(-LN(2)/2)*AB161+(1-EXP(-LN(2)/2))/(LN(2)/2)*V162*Y162*VLOOKUP('Données projet'!$B$9,Paramètres!$A$1:$I$89,3,0)*0.475*44/12</f>
        <v>11.38227290500536</v>
      </c>
      <c r="AC162" s="22">
        <f t="shared" si="163"/>
        <v>216.06963570206003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69.118158631346446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5.6843418860808015E-14</v>
      </c>
      <c r="AJ162" s="13">
        <f>AI162*VLOOKUP('Données projet'!$B$10,Paramètres!$A$1:$I$89,3,0)*VLOOKUP('Données projet'!$B$10,Paramètres!$A$1:$I$89,5,0)</f>
        <v>4.7884896048344674E-14</v>
      </c>
      <c r="AK162" s="13">
        <f t="shared" si="164"/>
        <v>7.8374629847779921E-13</v>
      </c>
      <c r="AL162" s="20">
        <f t="shared" si="165"/>
        <v>1.4484243304663672E-12</v>
      </c>
      <c r="AM162" s="59">
        <f t="shared" si="113"/>
        <v>290.09991498160502</v>
      </c>
      <c r="AN162" s="59">
        <f ca="1">AVERAGE(OFFSET($AM$3,0,0,'Données projet'!$E$10+1,1))-AVERAGE(OFFSET($H$3,0,0,'Données projet'!$E$10+1,1))</f>
        <v>442.79037205372367</v>
      </c>
      <c r="AO162" s="59">
        <f t="shared" si="144"/>
        <v>288.23553637727969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42.828078373270905</v>
      </c>
      <c r="AV162" s="21">
        <f>EXP(-LN(2)/25)*AV161+(1-EXP(-LN(2)/25))/(LN(2)/25)*Calculateur!AQ162*Calculateur!AS162*VLOOKUP('Données projet'!$B$10,Paramètres!$A$1:$I$89,3,0)*0.475*44/12</f>
        <v>6.4366710388978712</v>
      </c>
      <c r="AW162" s="21">
        <f>EXP(-LN(2)/2)*AW161+(1-EXP(-LN(2)/2))/(LN(2)/2)*AQ162*AT162*VLOOKUP('Données projet'!$B$10,Paramètres!$A$1:$I$89,3,0)*0.475*44/12</f>
        <v>7.8214261999836482E-8</v>
      </c>
      <c r="AX162" s="21">
        <f t="shared" si="166"/>
        <v>49.264749490383039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69.118158631346446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7.6783333333333319</v>
      </c>
      <c r="BD162" s="12">
        <f>IF('Données projet'!$A$88&gt;35,BD161+BC162-BL161,IF(A162&lt;'Données projet'!$A$88,$BA$205^A162,IF(A162='Données projet'!$A$88,'Données projet'!$B$88,BD161+BC162-BL161)))</f>
        <v>366.54499999999962</v>
      </c>
      <c r="BE162" s="13">
        <f>BD162*VLOOKUP('Données projet'!$B$11,Paramètres!$A$1:$I$89,3,0)*VLOOKUP('Données projet'!$B$11,Paramètres!$A$1:$I$89,5,0)</f>
        <v>371.67662999999965</v>
      </c>
      <c r="BF162" s="13">
        <f t="shared" si="167"/>
        <v>86.010225033473873</v>
      </c>
      <c r="BG162" s="20">
        <f t="shared" si="168"/>
        <v>797.13793918329975</v>
      </c>
      <c r="BH162" s="59">
        <f t="shared" si="116"/>
        <v>1087.2378541649034</v>
      </c>
      <c r="BI162" s="59">
        <f ca="1">AVERAGE(OFFSET($BH$3,0,0,'Données projet'!$E$11+1,1))-AVERAGE(OFFSET($H$3,0,0,'Données projet'!$E$11+1,1))</f>
        <v>559.91818701710872</v>
      </c>
      <c r="BJ162" s="59">
        <f t="shared" si="146"/>
        <v>273.47272623465915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39.644622577816804</v>
      </c>
      <c r="BQ162" s="21">
        <f>EXP(-LN(2)/25)*BQ161+(1-EXP(-LN(2)/25))/(LN(2)/25)*Calculateur!BL162*Calculateur!BN162*VLOOKUP('Données projet'!$B$11,Paramètres!$A$1:$I$89,3,0)*0.475*44/12</f>
        <v>21.03692547183115</v>
      </c>
      <c r="BR162" s="21">
        <f>EXP(-LN(2)/2)*BR161+(1-EXP(-LN(2)/2))/(LN(2)/2)*BL162*BO162*VLOOKUP('Données projet'!$B$11,Paramètres!$A$1:$I$89,3,0)*0.475*44/12</f>
        <v>3.2628227446277726E-2</v>
      </c>
      <c r="BS162" s="22">
        <f t="shared" si="169"/>
        <v>60.714176277094239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69.118158631346446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-1.1368683772161603E-13</v>
      </c>
      <c r="BZ162" s="13">
        <f>BY162*VLOOKUP('Données projet'!$B$12,Paramètres!$A$1:$I$89,3,0)*VLOOKUP('Données projet'!$B$12,Paramètres!$A$1:$I$89,5,0)</f>
        <v>-8.8675733422860506E-14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208.92677786250815</v>
      </c>
      <c r="CE162" s="59">
        <f t="shared" si="148"/>
        <v>207.54290142772214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4.6371632413415833</v>
      </c>
      <c r="CL162" s="21">
        <f>EXP(-LN(2)/25)*CL161+(1-EXP(-LN(2)/25))/(LN(2)/25)*Calculateur!CG162*Calculateur!CI162*VLOOKUP('Données projet'!$B$12,Paramètres!$A$1:$I$89,3,0)*0.475*44/12</f>
        <v>2.238045170173407</v>
      </c>
      <c r="CM162" s="21">
        <f>EXP(-LN(2)/2)*CM161+(1-EXP(-LN(2)/2))/(LN(2)/2)*CG162*CJ162*VLOOKUP('Données projet'!$B$12,Paramètres!$A$1:$I$89,3,0)*0.475*44/12</f>
        <v>1.1069166625493303E-12</v>
      </c>
      <c r="CN162" s="22">
        <f t="shared" si="172"/>
        <v>6.8752084115160965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69.118158631346446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2.5579538487363607E-13</v>
      </c>
      <c r="CU162" s="17">
        <f>CT162*VLOOKUP('Données projet'!$B$13,Paramètres!$A$1:$I$89,3,0)*VLOOKUP('Données projet'!$B$13,Paramètres!$A$1:$I$89,5,0)</f>
        <v>2.4341488824575211E-13</v>
      </c>
      <c r="CV162" s="13">
        <f t="shared" si="173"/>
        <v>3.2970717324875541E-12</v>
      </c>
      <c r="CW162" s="20">
        <f t="shared" si="174"/>
        <v>6.1663475311105072E-12</v>
      </c>
      <c r="CX162" s="59">
        <f t="shared" si="122"/>
        <v>290.09991498160974</v>
      </c>
      <c r="CY162" s="59">
        <f ca="1">AVERAGE(OFFSET($CX$3,0,0,'Données projet'!$E$13+1,1))-AVERAGE(OFFSET($H$3,0,0,'Données projet'!$E$13+1,1))</f>
        <v>470.42022791389275</v>
      </c>
      <c r="CZ162" s="59">
        <f t="shared" si="150"/>
        <v>300.26117330627346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37.247541500906394</v>
      </c>
      <c r="DG162" s="21">
        <f>EXP(-LN(2)/25)*DG161+(1-EXP(-LN(2)/25))/(LN(2)/25)*Calculateur!DB162*Calculateur!DD162*VLOOKUP('Données projet'!$B$13,Paramètres!$A$1:$I$89,3,0)*0.475*44/12</f>
        <v>26.941730664434871</v>
      </c>
      <c r="DH162" s="21">
        <f>EXP(-LN(2)/2)*DH161+(1-EXP(-LN(2)/2))/(LN(2)/2)*DB162*DE162*VLOOKUP('Données projet'!$B$13,Paramètres!$A$1:$I$89,3,0)*0.475*44/12</f>
        <v>1.5472772209094809E-3</v>
      </c>
      <c r="DI162" s="22">
        <f t="shared" si="175"/>
        <v>64.190819442562173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69.118158631346446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7.6783333333333319</v>
      </c>
      <c r="DO162" s="12">
        <f>IF('Données projet'!$A$166&gt;35,DO161+DN162-DW161,IF(A162&lt;'Données projet'!$A$166,$DL$205^A162,IF(A162='Données projet'!$A$166,'Données projet'!$B$166,DO161+DN162-DW161)))</f>
        <v>366.54499999999962</v>
      </c>
      <c r="DP162" s="17">
        <f>DO162*VLOOKUP('Données projet'!$B$14,Paramètres!$A$1:$I$89,3,0)*VLOOKUP('Données projet'!$B$14,Paramètres!$A$1:$I$89,5,0)</f>
        <v>354.52232399999963</v>
      </c>
      <c r="DQ162" s="13">
        <f t="shared" si="176"/>
        <v>82.493007805005064</v>
      </c>
      <c r="DR162" s="20">
        <f t="shared" si="177"/>
        <v>761.13503622704968</v>
      </c>
      <c r="DS162" s="59">
        <f t="shared" si="125"/>
        <v>1051.2349512086532</v>
      </c>
      <c r="DT162" s="59">
        <f ca="1">AVERAGE(OFFSET($DS$3,0,0,'Données projet'!$E$14+1,1))-AVERAGE(OFFSET($H$3,0,0,'Données projet'!$E$14+1,1))</f>
        <v>537.37164071064103</v>
      </c>
      <c r="DU162" s="59">
        <f t="shared" si="152"/>
        <v>263.29777321132235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23.961380854183329</v>
      </c>
      <c r="EB162" s="21">
        <f>EXP(-LN(2)/25)*EB161+(1-EXP(-LN(2)/25))/(LN(2)/25)*Calculateur!DW162*Calculateur!DY162*VLOOKUP('Données projet'!$B$14,Paramètres!$A$1:$I$89,3,0)*0.475*44/12</f>
        <v>21.077923658690608</v>
      </c>
      <c r="EC162" s="21">
        <f>EXP(-LN(2)/2)*EC161+(1-EXP(-LN(2)/2))/(LN(2)/2)*DW162*DZ162*VLOOKUP('Données projet'!$B$14,Paramètres!$A$1:$I$89,3,0)*0.475*44/12</f>
        <v>5.3764511945512776</v>
      </c>
      <c r="ED162" s="22">
        <f t="shared" si="178"/>
        <v>50.41575570742522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69.118158631346446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69.118158631346446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69.118158631346446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69.118158631346446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45">
      <c r="A163" s="10">
        <f t="shared" si="161"/>
        <v>160</v>
      </c>
      <c r="B163" s="73">
        <f>'Scénario référence'!$B$16*5+'Scénario référence'!$B$17*0+'Scénario référence'!$B$18*5</f>
        <v>2.8499999999999996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10.449999999999998</v>
      </c>
      <c r="H163" s="67">
        <f t="shared" si="110"/>
        <v>214.86666666666667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69.133456607590645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3.979039320256561E-13</v>
      </c>
      <c r="O163" s="13">
        <f>N163*VLOOKUP('Données projet'!$B$9,Paramètres!$A$1:$I$89,3,0)*VLOOKUP('Données projet'!$B$9,Paramètres!$A$1:$I$89,5,0)</f>
        <v>3.6002347769681362E-13</v>
      </c>
      <c r="P163" s="13">
        <f t="shared" si="141"/>
        <v>4.6593569189922594E-12</v>
      </c>
      <c r="Q163" s="20">
        <f t="shared" si="162"/>
        <v>8.7420875242334695E-12</v>
      </c>
      <c r="R163" s="59">
        <f t="shared" si="109"/>
        <v>290.15600756117448</v>
      </c>
      <c r="S163" s="59">
        <f ca="1">AVERAGE(OFFSET($R$3,0,0,'Données projet'!$E$9+1,1))-AVERAGE(OFFSET($H$3,0,0,'Données projet'!$E$9+1,1))</f>
        <v>719.20816951277925</v>
      </c>
      <c r="T163" s="59">
        <f t="shared" si="142"/>
        <v>237.1127421841087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170.85503874793463</v>
      </c>
      <c r="AA163" s="21">
        <f>EXP(-LN(2)/25)*AA162+(1-EXP(-LN(2)/25))/(LN(2)/25)*Calculateur!V163*Calculateur!X163*VLOOKUP('Données projet'!$B$9,Paramètres!$A$1:$I$89,3,0)*0.475*44/12</f>
        <v>29.583249935821243</v>
      </c>
      <c r="AB163" s="21">
        <f>EXP(-LN(2)/2)*AB162+(1-EXP(-LN(2)/2))/(LN(2)/2)*V163*Y163*VLOOKUP('Données projet'!$B$9,Paramètres!$A$1:$I$89,3,0)*0.475*44/12</f>
        <v>8.0484823564451951</v>
      </c>
      <c r="AC163" s="22">
        <f t="shared" si="163"/>
        <v>208.48677104020106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69.133456607590645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5.6843418860808015E-14</v>
      </c>
      <c r="AJ163" s="13">
        <f>AI163*VLOOKUP('Données projet'!$B$10,Paramètres!$A$1:$I$89,3,0)*VLOOKUP('Données projet'!$B$10,Paramètres!$A$1:$I$89,5,0)</f>
        <v>4.7884896048344674E-14</v>
      </c>
      <c r="AK163" s="13">
        <f t="shared" si="164"/>
        <v>7.8374629847779921E-13</v>
      </c>
      <c r="AL163" s="20">
        <f t="shared" si="165"/>
        <v>1.4484243304663672E-12</v>
      </c>
      <c r="AM163" s="59">
        <f t="shared" si="113"/>
        <v>290.15600756116714</v>
      </c>
      <c r="AN163" s="59">
        <f ca="1">AVERAGE(OFFSET($AM$3,0,0,'Données projet'!$E$10+1,1))-AVERAGE(OFFSET($H$3,0,0,'Données projet'!$E$10+1,1))</f>
        <v>442.79037205372367</v>
      </c>
      <c r="AO163" s="59">
        <f t="shared" si="144"/>
        <v>288.23553637727969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41.988245878919486</v>
      </c>
      <c r="AV163" s="21">
        <f>EXP(-LN(2)/25)*AV162+(1-EXP(-LN(2)/25))/(LN(2)/25)*Calculateur!AQ163*Calculateur!AS163*VLOOKUP('Données projet'!$B$10,Paramètres!$A$1:$I$89,3,0)*0.475*44/12</f>
        <v>6.26065993084939</v>
      </c>
      <c r="AW163" s="21">
        <f>EXP(-LN(2)/2)*AW162+(1-EXP(-LN(2)/2))/(LN(2)/2)*AQ163*AT163*VLOOKUP('Données projet'!$B$10,Paramètres!$A$1:$I$89,3,0)*0.475*44/12</f>
        <v>5.5305835045585675E-8</v>
      </c>
      <c r="AX163" s="21">
        <f t="shared" si="166"/>
        <v>48.248905865074711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69.133456607590645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7.6783333333333319</v>
      </c>
      <c r="BD163" s="12">
        <f>IF('Données projet'!$A$88&gt;35,BD162+BC163-BL162,IF(A163&lt;'Données projet'!$A$88,$BA$205^A163,IF(A163='Données projet'!$A$88,'Données projet'!$B$88,BD162+BC163-BL162)))</f>
        <v>374.22333333333296</v>
      </c>
      <c r="BE163" s="13">
        <f>BD163*VLOOKUP('Données projet'!$B$11,Paramètres!$A$1:$I$89,3,0)*VLOOKUP('Données projet'!$B$11,Paramètres!$A$1:$I$89,5,0)</f>
        <v>379.46245999999962</v>
      </c>
      <c r="BF163" s="13">
        <f t="shared" si="167"/>
        <v>87.600307836777574</v>
      </c>
      <c r="BG163" s="20">
        <f t="shared" si="168"/>
        <v>813.46765398238688</v>
      </c>
      <c r="BH163" s="59">
        <f t="shared" si="116"/>
        <v>1103.6236615435525</v>
      </c>
      <c r="BI163" s="59">
        <f ca="1">AVERAGE(OFFSET($BH$3,0,0,'Données projet'!$E$11+1,1))-AVERAGE(OFFSET($H$3,0,0,'Données projet'!$E$11+1,1))</f>
        <v>559.91818701710872</v>
      </c>
      <c r="BJ163" s="59">
        <f t="shared" si="146"/>
        <v>273.47272623465915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38.867215709897927</v>
      </c>
      <c r="BQ163" s="21">
        <f>EXP(-LN(2)/25)*BQ162+(1-EXP(-LN(2)/25))/(LN(2)/25)*Calculateur!BL163*Calculateur!BN163*VLOOKUP('Données projet'!$B$11,Paramètres!$A$1:$I$89,3,0)*0.475*44/12</f>
        <v>20.461669638520096</v>
      </c>
      <c r="BR163" s="21">
        <f>EXP(-LN(2)/2)*BR162+(1-EXP(-LN(2)/2))/(LN(2)/2)*BL163*BO163*VLOOKUP('Données projet'!$B$11,Paramètres!$A$1:$I$89,3,0)*0.475*44/12</f>
        <v>2.3071640885360008E-2</v>
      </c>
      <c r="BS163" s="22">
        <f t="shared" si="169"/>
        <v>59.351956989303389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69.133456607590645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-1.1368683772161603E-13</v>
      </c>
      <c r="BZ163" s="13">
        <f>BY163*VLOOKUP('Données projet'!$B$12,Paramètres!$A$1:$I$89,3,0)*VLOOKUP('Données projet'!$B$12,Paramètres!$A$1:$I$89,5,0)</f>
        <v>-8.8675733422860506E-14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208.92677786250815</v>
      </c>
      <c r="CE163" s="59">
        <f t="shared" si="148"/>
        <v>207.54290142772214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4.5462312985691717</v>
      </c>
      <c r="CL163" s="21">
        <f>EXP(-LN(2)/25)*CL162+(1-EXP(-LN(2)/25))/(LN(2)/25)*Calculateur!CG163*Calculateur!CI163*VLOOKUP('Données projet'!$B$12,Paramètres!$A$1:$I$89,3,0)*0.475*44/12</f>
        <v>2.176845707301335</v>
      </c>
      <c r="CM163" s="21">
        <f>EXP(-LN(2)/2)*CM162+(1-EXP(-LN(2)/2))/(LN(2)/2)*CG163*CJ163*VLOOKUP('Données projet'!$B$12,Paramètres!$A$1:$I$89,3,0)*0.475*44/12</f>
        <v>7.8270827829701279E-13</v>
      </c>
      <c r="CN163" s="22">
        <f t="shared" si="172"/>
        <v>6.7230770058712892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69.133456607590645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2.5579538487363607E-13</v>
      </c>
      <c r="CU163" s="17">
        <f>CT163*VLOOKUP('Données projet'!$B$13,Paramètres!$A$1:$I$89,3,0)*VLOOKUP('Données projet'!$B$13,Paramètres!$A$1:$I$89,5,0)</f>
        <v>2.4341488824575211E-13</v>
      </c>
      <c r="CV163" s="13">
        <f t="shared" si="173"/>
        <v>3.2970717324875541E-12</v>
      </c>
      <c r="CW163" s="20">
        <f t="shared" si="174"/>
        <v>6.1663475311105072E-12</v>
      </c>
      <c r="CX163" s="59">
        <f t="shared" si="122"/>
        <v>290.15600756117186</v>
      </c>
      <c r="CY163" s="59">
        <f ca="1">AVERAGE(OFFSET($CX$3,0,0,'Données projet'!$E$13+1,1))-AVERAGE(OFFSET($H$3,0,0,'Données projet'!$E$13+1,1))</f>
        <v>470.42022791389275</v>
      </c>
      <c r="CZ163" s="59">
        <f t="shared" si="150"/>
        <v>300.26117330627346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36.517139930830645</v>
      </c>
      <c r="DG163" s="21">
        <f>EXP(-LN(2)/25)*DG162+(1-EXP(-LN(2)/25))/(LN(2)/25)*Calculateur!DB163*Calculateur!DD163*VLOOKUP('Données projet'!$B$13,Paramètres!$A$1:$I$89,3,0)*0.475*44/12</f>
        <v>26.205007622611859</v>
      </c>
      <c r="DH163" s="21">
        <f>EXP(-LN(2)/2)*DH162+(1-EXP(-LN(2)/2))/(LN(2)/2)*DB163*DE163*VLOOKUP('Données projet'!$B$13,Paramètres!$A$1:$I$89,3,0)*0.475*44/12</f>
        <v>1.0940902152805697E-3</v>
      </c>
      <c r="DI163" s="22">
        <f t="shared" si="175"/>
        <v>62.723241643657786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69.133456607590645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7.6783333333333319</v>
      </c>
      <c r="DO163" s="12">
        <f>IF('Données projet'!$A$166&gt;35,DO162+DN163-DW162,IF(A163&lt;'Données projet'!$A$166,$DL$205^A163,IF(A163='Données projet'!$A$166,'Données projet'!$B$166,DO162+DN163-DW162)))</f>
        <v>374.22333333333296</v>
      </c>
      <c r="DP163" s="17">
        <f>DO163*VLOOKUP('Données projet'!$B$14,Paramètres!$A$1:$I$89,3,0)*VLOOKUP('Données projet'!$B$14,Paramètres!$A$1:$I$89,5,0)</f>
        <v>361.94880799999964</v>
      </c>
      <c r="DQ163" s="13">
        <f t="shared" si="176"/>
        <v>84.018067331968155</v>
      </c>
      <c r="DR163" s="20">
        <f t="shared" si="177"/>
        <v>776.72564120317713</v>
      </c>
      <c r="DS163" s="59">
        <f t="shared" si="125"/>
        <v>1066.8816487643428</v>
      </c>
      <c r="DT163" s="59">
        <f ca="1">AVERAGE(OFFSET($DS$3,0,0,'Données projet'!$E$14+1,1))-AVERAGE(OFFSET($H$3,0,0,'Données projet'!$E$14+1,1))</f>
        <v>537.37164071064103</v>
      </c>
      <c r="DU163" s="59">
        <f t="shared" si="152"/>
        <v>263.29777321132235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23.491512790632004</v>
      </c>
      <c r="EB163" s="21">
        <f>EXP(-LN(2)/25)*EB162+(1-EXP(-LN(2)/25))/(LN(2)/25)*Calculateur!DW163*Calculateur!DY163*VLOOKUP('Données projet'!$B$14,Paramètres!$A$1:$I$89,3,0)*0.475*44/12</f>
        <v>20.501546727803884</v>
      </c>
      <c r="EC163" s="21">
        <f>EXP(-LN(2)/2)*EC162+(1-EXP(-LN(2)/2))/(LN(2)/2)*DW163*DZ163*VLOOKUP('Données projet'!$B$14,Paramètres!$A$1:$I$89,3,0)*0.475*44/12</f>
        <v>3.8017250983857225</v>
      </c>
      <c r="ED163" s="22">
        <f t="shared" si="178"/>
        <v>47.794784616821609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69.133456607590645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69.133456607590645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69.133456607590645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69.133456607590645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45">
      <c r="A164" s="10">
        <f t="shared" si="161"/>
        <v>161</v>
      </c>
      <c r="B164" s="73">
        <f>'Scénario référence'!$B$16*5+'Scénario référence'!$B$17*0+'Scénario référence'!$B$18*5</f>
        <v>2.8499999999999996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10.449999999999998</v>
      </c>
      <c r="H164" s="67">
        <f t="shared" si="110"/>
        <v>214.86666666666667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69.148489198148141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3.979039320256561E-13</v>
      </c>
      <c r="O164" s="13">
        <f>N164*VLOOKUP('Données projet'!$B$9,Paramètres!$A$1:$I$89,3,0)*VLOOKUP('Données projet'!$B$9,Paramètres!$A$1:$I$89,5,0)</f>
        <v>3.6002347769681362E-13</v>
      </c>
      <c r="P164" s="13">
        <f t="shared" si="141"/>
        <v>4.6593569189922594E-12</v>
      </c>
      <c r="Q164" s="20">
        <f t="shared" si="162"/>
        <v>8.7420875242334695E-12</v>
      </c>
      <c r="R164" s="59">
        <f t="shared" si="109"/>
        <v>290.21112705988526</v>
      </c>
      <c r="S164" s="59">
        <f ca="1">AVERAGE(OFFSET($R$3,0,0,'Données projet'!$E$9+1,1))-AVERAGE(OFFSET($H$3,0,0,'Données projet'!$E$9+1,1))</f>
        <v>719.20816951277925</v>
      </c>
      <c r="T164" s="59">
        <f t="shared" si="142"/>
        <v>237.1127421841087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167.50467564937125</v>
      </c>
      <c r="AA164" s="21">
        <f>EXP(-LN(2)/25)*AA163+(1-EXP(-LN(2)/25))/(LN(2)/25)*Calculateur!V164*Calculateur!X164*VLOOKUP('Données projet'!$B$9,Paramètres!$A$1:$I$89,3,0)*0.475*44/12</f>
        <v>28.774294410610711</v>
      </c>
      <c r="AB164" s="21">
        <f>EXP(-LN(2)/2)*AB163+(1-EXP(-LN(2)/2))/(LN(2)/2)*V164*Y164*VLOOKUP('Données projet'!$B$9,Paramètres!$A$1:$I$89,3,0)*0.475*44/12</f>
        <v>5.6911364525026817</v>
      </c>
      <c r="AC164" s="22">
        <f t="shared" si="163"/>
        <v>201.97010651248465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69.148489198148141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5.6843418860808015E-14</v>
      </c>
      <c r="AJ164" s="13">
        <f>AI164*VLOOKUP('Données projet'!$B$10,Paramètres!$A$1:$I$89,3,0)*VLOOKUP('Données projet'!$B$10,Paramètres!$A$1:$I$89,5,0)</f>
        <v>4.7884896048344674E-14</v>
      </c>
      <c r="AK164" s="13">
        <f t="shared" si="164"/>
        <v>7.8374629847779921E-13</v>
      </c>
      <c r="AL164" s="20">
        <f t="shared" si="165"/>
        <v>1.4484243304663672E-12</v>
      </c>
      <c r="AM164" s="59">
        <f t="shared" si="113"/>
        <v>290.21112705987792</v>
      </c>
      <c r="AN164" s="59">
        <f ca="1">AVERAGE(OFFSET($AM$3,0,0,'Données projet'!$E$10+1,1))-AVERAGE(OFFSET($H$3,0,0,'Données projet'!$E$10+1,1))</f>
        <v>442.79037205372367</v>
      </c>
      <c r="AO164" s="59">
        <f t="shared" si="144"/>
        <v>288.23553637727969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41.164881987535054</v>
      </c>
      <c r="AV164" s="21">
        <f>EXP(-LN(2)/25)*AV163+(1-EXP(-LN(2)/25))/(LN(2)/25)*Calculateur!AQ164*Calculateur!AS164*VLOOKUP('Données projet'!$B$10,Paramètres!$A$1:$I$89,3,0)*0.475*44/12</f>
        <v>6.0894618558065163</v>
      </c>
      <c r="AW164" s="21">
        <f>EXP(-LN(2)/2)*AW163+(1-EXP(-LN(2)/2))/(LN(2)/2)*AQ164*AT164*VLOOKUP('Données projet'!$B$10,Paramètres!$A$1:$I$89,3,0)*0.475*44/12</f>
        <v>3.9107130999918241E-8</v>
      </c>
      <c r="AX164" s="21">
        <f t="shared" si="166"/>
        <v>47.254343882448701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69.148489198148141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7.6783333333333319</v>
      </c>
      <c r="BD164" s="12">
        <f>IF('Données projet'!$A$88&gt;35,BD163+BC164-BL163,IF(A164&lt;'Données projet'!$A$88,$BA$205^A164,IF(A164='Données projet'!$A$88,'Données projet'!$B$88,BD163+BC164-BL163)))</f>
        <v>381.9016666666663</v>
      </c>
      <c r="BE164" s="13">
        <f>BD164*VLOOKUP('Données projet'!$B$11,Paramètres!$A$1:$I$89,3,0)*VLOOKUP('Données projet'!$B$11,Paramètres!$A$1:$I$89,5,0)</f>
        <v>387.24828999999966</v>
      </c>
      <c r="BF164" s="13">
        <f t="shared" si="167"/>
        <v>89.186597293517707</v>
      </c>
      <c r="BG164" s="20">
        <f t="shared" si="168"/>
        <v>829.79076203620934</v>
      </c>
      <c r="BH164" s="59">
        <f t="shared" si="116"/>
        <v>1120.001889096086</v>
      </c>
      <c r="BI164" s="59">
        <f ca="1">AVERAGE(OFFSET($BH$3,0,0,'Données projet'!$E$11+1,1))-AVERAGE(OFFSET($H$3,0,0,'Données projet'!$E$11+1,1))</f>
        <v>559.91818701710872</v>
      </c>
      <c r="BJ164" s="59">
        <f t="shared" si="146"/>
        <v>273.47272623465915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38.10505331648757</v>
      </c>
      <c r="BQ164" s="21">
        <f>EXP(-LN(2)/25)*BQ163+(1-EXP(-LN(2)/25))/(LN(2)/25)*Calculateur!BL164*Calculateur!BN164*VLOOKUP('Données projet'!$B$11,Paramètres!$A$1:$I$89,3,0)*0.475*44/12</f>
        <v>19.902144206222324</v>
      </c>
      <c r="BR164" s="21">
        <f>EXP(-LN(2)/2)*BR163+(1-EXP(-LN(2)/2))/(LN(2)/2)*BL164*BO164*VLOOKUP('Données projet'!$B$11,Paramètres!$A$1:$I$89,3,0)*0.475*44/12</f>
        <v>1.6314113723138863E-2</v>
      </c>
      <c r="BS164" s="22">
        <f t="shared" si="169"/>
        <v>58.023511636433035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69.148489198148141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-1.1368683772161603E-13</v>
      </c>
      <c r="BZ164" s="13">
        <f>BY164*VLOOKUP('Données projet'!$B$12,Paramètres!$A$1:$I$89,3,0)*VLOOKUP('Données projet'!$B$12,Paramètres!$A$1:$I$89,5,0)</f>
        <v>-8.8675733422860506E-14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208.92677786250815</v>
      </c>
      <c r="CE164" s="59">
        <f t="shared" si="148"/>
        <v>207.54290142772214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4.4570824757315188</v>
      </c>
      <c r="CL164" s="21">
        <f>EXP(-LN(2)/25)*CL163+(1-EXP(-LN(2)/25))/(LN(2)/25)*Calculateur!CG164*Calculateur!CI164*VLOOKUP('Données projet'!$B$12,Paramètres!$A$1:$I$89,3,0)*0.475*44/12</f>
        <v>2.1173197469598395</v>
      </c>
      <c r="CM164" s="21">
        <f>EXP(-LN(2)/2)*CM163+(1-EXP(-LN(2)/2))/(LN(2)/2)*CG164*CJ164*VLOOKUP('Données projet'!$B$12,Paramètres!$A$1:$I$89,3,0)*0.475*44/12</f>
        <v>5.5345833127466516E-13</v>
      </c>
      <c r="CN164" s="22">
        <f t="shared" si="172"/>
        <v>6.5744022226919112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69.148489198148141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2.5579538487363607E-13</v>
      </c>
      <c r="CU164" s="17">
        <f>CT164*VLOOKUP('Données projet'!$B$13,Paramètres!$A$1:$I$89,3,0)*VLOOKUP('Données projet'!$B$13,Paramètres!$A$1:$I$89,5,0)</f>
        <v>2.4341488824575211E-13</v>
      </c>
      <c r="CV164" s="13">
        <f t="shared" si="173"/>
        <v>3.2970717324875541E-12</v>
      </c>
      <c r="CW164" s="20">
        <f t="shared" si="174"/>
        <v>6.1663475311105072E-12</v>
      </c>
      <c r="CX164" s="59">
        <f t="shared" si="122"/>
        <v>290.21112705988264</v>
      </c>
      <c r="CY164" s="59">
        <f ca="1">AVERAGE(OFFSET($CX$3,0,0,'Données projet'!$E$13+1,1))-AVERAGE(OFFSET($H$3,0,0,'Données projet'!$E$13+1,1))</f>
        <v>470.42022791389275</v>
      </c>
      <c r="CZ164" s="59">
        <f t="shared" si="150"/>
        <v>300.26117330627346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35.801061090043113</v>
      </c>
      <c r="DG164" s="21">
        <f>EXP(-LN(2)/25)*DG163+(1-EXP(-LN(2)/25))/(LN(2)/25)*Calculateur!DB164*Calculateur!DD164*VLOOKUP('Données projet'!$B$13,Paramètres!$A$1:$I$89,3,0)*0.475*44/12</f>
        <v>25.488430311110079</v>
      </c>
      <c r="DH164" s="21">
        <f>EXP(-LN(2)/2)*DH163+(1-EXP(-LN(2)/2))/(LN(2)/2)*DB164*DE164*VLOOKUP('Données projet'!$B$13,Paramètres!$A$1:$I$89,3,0)*0.475*44/12</f>
        <v>7.7363861045474046E-4</v>
      </c>
      <c r="DI164" s="22">
        <f t="shared" si="175"/>
        <v>61.290265039763646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69.148489198148141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7.6783333333333319</v>
      </c>
      <c r="DO164" s="12">
        <f>IF('Données projet'!$A$166&gt;35,DO163+DN164-DW163,IF(A164&lt;'Données projet'!$A$166,$DL$205^A164,IF(A164='Données projet'!$A$166,'Données projet'!$B$166,DO163+DN164-DW163)))</f>
        <v>381.9016666666663</v>
      </c>
      <c r="DP164" s="17">
        <f>DO164*VLOOKUP('Données projet'!$B$14,Paramètres!$A$1:$I$89,3,0)*VLOOKUP('Données projet'!$B$14,Paramètres!$A$1:$I$89,5,0)</f>
        <v>369.37529199999966</v>
      </c>
      <c r="DQ164" s="13">
        <f t="shared" si="176"/>
        <v>85.539488633737008</v>
      </c>
      <c r="DR164" s="20">
        <f t="shared" si="177"/>
        <v>792.309909603758</v>
      </c>
      <c r="DS164" s="59">
        <f t="shared" si="125"/>
        <v>1082.5210366636345</v>
      </c>
      <c r="DT164" s="59">
        <f ca="1">AVERAGE(OFFSET($DS$3,0,0,'Données projet'!$E$14+1,1))-AVERAGE(OFFSET($H$3,0,0,'Données projet'!$E$14+1,1))</f>
        <v>537.37164071064103</v>
      </c>
      <c r="DU164" s="59">
        <f t="shared" si="152"/>
        <v>263.29777321132235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23.030858553215701</v>
      </c>
      <c r="EB164" s="21">
        <f>EXP(-LN(2)/25)*EB163+(1-EXP(-LN(2)/25))/(LN(2)/25)*Calculateur!DW164*Calculateur!DY164*VLOOKUP('Données projet'!$B$14,Paramètres!$A$1:$I$89,3,0)*0.475*44/12</f>
        <v>19.940930854402602</v>
      </c>
      <c r="EC164" s="21">
        <f>EXP(-LN(2)/2)*EC163+(1-EXP(-LN(2)/2))/(LN(2)/2)*DW164*DZ164*VLOOKUP('Données projet'!$B$14,Paramètres!$A$1:$I$89,3,0)*0.475*44/12</f>
        <v>2.6882255972756393</v>
      </c>
      <c r="ED164" s="22">
        <f t="shared" si="178"/>
        <v>45.660015004893943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69.148489198148141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69.148489198148141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69.148489198148141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69.148489198148141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45">
      <c r="A165" s="10">
        <f t="shared" si="161"/>
        <v>162</v>
      </c>
      <c r="B165" s="73">
        <f>'Scénario référence'!$B$16*5+'Scénario référence'!$B$17*0+'Scénario référence'!$B$18*5</f>
        <v>2.8499999999999996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10.449999999999998</v>
      </c>
      <c r="H165" s="67">
        <f t="shared" si="110"/>
        <v>214.86666666666667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69.163261006867316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3.979039320256561E-13</v>
      </c>
      <c r="O165" s="13">
        <f>N165*VLOOKUP('Données projet'!$B$9,Paramètres!$A$1:$I$89,3,0)*VLOOKUP('Données projet'!$B$9,Paramètres!$A$1:$I$89,5,0)</f>
        <v>3.6002347769681362E-13</v>
      </c>
      <c r="P165" s="13">
        <f t="shared" si="141"/>
        <v>4.6593569189922594E-12</v>
      </c>
      <c r="Q165" s="20">
        <f t="shared" si="162"/>
        <v>8.7420875242334695E-12</v>
      </c>
      <c r="R165" s="59">
        <f t="shared" si="109"/>
        <v>290.26529035852224</v>
      </c>
      <c r="S165" s="59">
        <f ca="1">AVERAGE(OFFSET($R$3,0,0,'Données projet'!$E$9+1,1))-AVERAGE(OFFSET($H$3,0,0,'Données projet'!$E$9+1,1))</f>
        <v>719.20816951277925</v>
      </c>
      <c r="T165" s="59">
        <f t="shared" si="142"/>
        <v>237.1127421841087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164.22001112765099</v>
      </c>
      <c r="AA165" s="21">
        <f>EXP(-LN(2)/25)*AA164+(1-EXP(-LN(2)/25))/(LN(2)/25)*Calculateur!V165*Calculateur!X165*VLOOKUP('Données projet'!$B$9,Paramètres!$A$1:$I$89,3,0)*0.475*44/12</f>
        <v>27.987459816778184</v>
      </c>
      <c r="AB165" s="21">
        <f>EXP(-LN(2)/2)*AB164+(1-EXP(-LN(2)/2))/(LN(2)/2)*V165*Y165*VLOOKUP('Données projet'!$B$9,Paramètres!$A$1:$I$89,3,0)*0.475*44/12</f>
        <v>4.0242411782225984</v>
      </c>
      <c r="AC165" s="22">
        <f t="shared" si="163"/>
        <v>196.2317121226518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69.163261006867316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5.6843418860808015E-14</v>
      </c>
      <c r="AJ165" s="13">
        <f>AI165*VLOOKUP('Données projet'!$B$10,Paramètres!$A$1:$I$89,3,0)*VLOOKUP('Données projet'!$B$10,Paramètres!$A$1:$I$89,5,0)</f>
        <v>4.7884896048344674E-14</v>
      </c>
      <c r="AK165" s="13">
        <f t="shared" si="164"/>
        <v>7.8374629847779921E-13</v>
      </c>
      <c r="AL165" s="20">
        <f t="shared" si="165"/>
        <v>1.4484243304663672E-12</v>
      </c>
      <c r="AM165" s="59">
        <f t="shared" si="113"/>
        <v>290.2652903585149</v>
      </c>
      <c r="AN165" s="59">
        <f ca="1">AVERAGE(OFFSET($AM$3,0,0,'Données projet'!$E$10+1,1))-AVERAGE(OFFSET($H$3,0,0,'Données projet'!$E$10+1,1))</f>
        <v>442.79037205372367</v>
      </c>
      <c r="AO165" s="59">
        <f t="shared" si="144"/>
        <v>288.23553637727969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40.357663759858283</v>
      </c>
      <c r="AV165" s="21">
        <f>EXP(-LN(2)/25)*AV164+(1-EXP(-LN(2)/25))/(LN(2)/25)*Calculateur!AQ165*Calculateur!AS165*VLOOKUP('Données projet'!$B$10,Paramètres!$A$1:$I$89,3,0)*0.475*44/12</f>
        <v>5.9229452011286057</v>
      </c>
      <c r="AW165" s="21">
        <f>EXP(-LN(2)/2)*AW164+(1-EXP(-LN(2)/2))/(LN(2)/2)*AQ165*AT165*VLOOKUP('Données projet'!$B$10,Paramètres!$A$1:$I$89,3,0)*0.475*44/12</f>
        <v>2.7652917522792837E-8</v>
      </c>
      <c r="AX165" s="21">
        <f t="shared" si="166"/>
        <v>46.280608988639806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69.163261006867316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7.6783333333333319</v>
      </c>
      <c r="BD165" s="12">
        <f>IF('Données projet'!$A$88&gt;35,BD164+BC165-BL164,IF(A165&lt;'Données projet'!$A$88,$BA$205^A165,IF(A165='Données projet'!$A$88,'Données projet'!$B$88,BD164+BC165-BL164)))</f>
        <v>389.57999999999964</v>
      </c>
      <c r="BE165" s="13">
        <f>BD165*VLOOKUP('Données projet'!$B$11,Paramètres!$A$1:$I$89,3,0)*VLOOKUP('Données projet'!$B$11,Paramètres!$A$1:$I$89,5,0)</f>
        <v>395.03411999999969</v>
      </c>
      <c r="BF165" s="13">
        <f t="shared" si="167"/>
        <v>90.76917846043375</v>
      </c>
      <c r="BG165" s="20">
        <f t="shared" si="168"/>
        <v>846.10741148525494</v>
      </c>
      <c r="BH165" s="59">
        <f t="shared" si="116"/>
        <v>1136.3727018437685</v>
      </c>
      <c r="BI165" s="59">
        <f ca="1">AVERAGE(OFFSET($BH$3,0,0,'Données projet'!$E$11+1,1))-AVERAGE(OFFSET($H$3,0,0,'Données projet'!$E$11+1,1))</f>
        <v>559.91818701710872</v>
      </c>
      <c r="BJ165" s="59">
        <f t="shared" si="146"/>
        <v>273.47272623465915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37.357836462738838</v>
      </c>
      <c r="BQ165" s="21">
        <f>EXP(-LN(2)/25)*BQ164+(1-EXP(-LN(2)/25))/(LN(2)/25)*Calculateur!BL165*Calculateur!BN165*VLOOKUP('Données projet'!$B$11,Paramètres!$A$1:$I$89,3,0)*0.475*44/12</f>
        <v>19.357919026294898</v>
      </c>
      <c r="BR165" s="21">
        <f>EXP(-LN(2)/2)*BR164+(1-EXP(-LN(2)/2))/(LN(2)/2)*BL165*BO165*VLOOKUP('Données projet'!$B$11,Paramètres!$A$1:$I$89,3,0)*0.475*44/12</f>
        <v>1.1535820442680004E-2</v>
      </c>
      <c r="BS165" s="22">
        <f t="shared" si="169"/>
        <v>56.727291309476421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69.163261006867316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-1.1368683772161603E-13</v>
      </c>
      <c r="BZ165" s="13">
        <f>BY165*VLOOKUP('Données projet'!$B$12,Paramètres!$A$1:$I$89,3,0)*VLOOKUP('Données projet'!$B$12,Paramètres!$A$1:$I$89,5,0)</f>
        <v>-8.8675733422860506E-14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208.92677786250815</v>
      </c>
      <c r="CE165" s="59">
        <f t="shared" si="148"/>
        <v>207.54290142772214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4.3696818069342989</v>
      </c>
      <c r="CL165" s="21">
        <f>EXP(-LN(2)/25)*CL164+(1-EXP(-LN(2)/25))/(LN(2)/25)*Calculateur!CG165*Calculateur!CI165*VLOOKUP('Données projet'!$B$12,Paramètres!$A$1:$I$89,3,0)*0.475*44/12</f>
        <v>2.0594215271342162</v>
      </c>
      <c r="CM165" s="21">
        <f>EXP(-LN(2)/2)*CM164+(1-EXP(-LN(2)/2))/(LN(2)/2)*CG165*CJ165*VLOOKUP('Données projet'!$B$12,Paramètres!$A$1:$I$89,3,0)*0.475*44/12</f>
        <v>3.913541391485064E-13</v>
      </c>
      <c r="CN165" s="22">
        <f t="shared" si="172"/>
        <v>6.4291033340689063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69.163261006867316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2.5579538487363607E-13</v>
      </c>
      <c r="CU165" s="17">
        <f>CT165*VLOOKUP('Données projet'!$B$13,Paramètres!$A$1:$I$89,3,0)*VLOOKUP('Données projet'!$B$13,Paramètres!$A$1:$I$89,5,0)</f>
        <v>2.4341488824575211E-13</v>
      </c>
      <c r="CV165" s="13">
        <f t="shared" si="173"/>
        <v>3.2970717324875541E-12</v>
      </c>
      <c r="CW165" s="20">
        <f t="shared" si="174"/>
        <v>6.1663475311105072E-12</v>
      </c>
      <c r="CX165" s="59">
        <f t="shared" si="122"/>
        <v>290.26529035851962</v>
      </c>
      <c r="CY165" s="59">
        <f ca="1">AVERAGE(OFFSET($CX$3,0,0,'Données projet'!$E$13+1,1))-AVERAGE(OFFSET($H$3,0,0,'Données projet'!$E$13+1,1))</f>
        <v>470.42022791389275</v>
      </c>
      <c r="CZ165" s="59">
        <f t="shared" si="150"/>
        <v>300.26117330627346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35.099024118558461</v>
      </c>
      <c r="DG165" s="21">
        <f>EXP(-LN(2)/25)*DG164+(1-EXP(-LN(2)/25))/(LN(2)/25)*Calculateur!DB165*Calculateur!DD165*VLOOKUP('Données projet'!$B$13,Paramètres!$A$1:$I$89,3,0)*0.475*44/12</f>
        <v>24.791447843874479</v>
      </c>
      <c r="DH165" s="21">
        <f>EXP(-LN(2)/2)*DH164+(1-EXP(-LN(2)/2))/(LN(2)/2)*DB165*DE165*VLOOKUP('Données projet'!$B$13,Paramètres!$A$1:$I$89,3,0)*0.475*44/12</f>
        <v>5.4704510764028483E-4</v>
      </c>
      <c r="DI165" s="22">
        <f t="shared" si="175"/>
        <v>59.891019007540578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69.163261006867316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7.6783333333333319</v>
      </c>
      <c r="DO165" s="12">
        <f>IF('Données projet'!$A$166&gt;35,DO164+DN165-DW164,IF(A165&lt;'Données projet'!$A$166,$DL$205^A165,IF(A165='Données projet'!$A$166,'Données projet'!$B$166,DO164+DN165-DW164)))</f>
        <v>389.57999999999964</v>
      </c>
      <c r="DP165" s="17">
        <f>DO165*VLOOKUP('Données projet'!$B$14,Paramètres!$A$1:$I$89,3,0)*VLOOKUP('Données projet'!$B$14,Paramètres!$A$1:$I$89,5,0)</f>
        <v>376.80177599999968</v>
      </c>
      <c r="DQ165" s="13">
        <f t="shared" si="176"/>
        <v>87.057353288824828</v>
      </c>
      <c r="DR165" s="20">
        <f t="shared" si="177"/>
        <v>807.88798351136938</v>
      </c>
      <c r="DS165" s="59">
        <f t="shared" si="125"/>
        <v>1098.1532738698829</v>
      </c>
      <c r="DT165" s="59">
        <f ca="1">AVERAGE(OFFSET($DS$3,0,0,'Données projet'!$E$14+1,1))-AVERAGE(OFFSET($H$3,0,0,'Données projet'!$E$14+1,1))</f>
        <v>537.37164071064103</v>
      </c>
      <c r="DU165" s="59">
        <f t="shared" si="152"/>
        <v>263.29777321132235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22.579237464423791</v>
      </c>
      <c r="EB165" s="21">
        <f>EXP(-LN(2)/25)*EB164+(1-EXP(-LN(2)/25))/(LN(2)/25)*Calculateur!DW165*Calculateur!DY165*VLOOKUP('Données projet'!$B$14,Paramètres!$A$1:$I$89,3,0)*0.475*44/12</f>
        <v>19.395645051540985</v>
      </c>
      <c r="EC165" s="21">
        <f>EXP(-LN(2)/2)*EC164+(1-EXP(-LN(2)/2))/(LN(2)/2)*DW165*DZ165*VLOOKUP('Données projet'!$B$14,Paramètres!$A$1:$I$89,3,0)*0.475*44/12</f>
        <v>1.9008625491928617</v>
      </c>
      <c r="ED165" s="22">
        <f t="shared" si="178"/>
        <v>43.875745065157638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69.163261006867316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69.163261006867316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69.163261006867316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69.163261006867316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45">
      <c r="A166" s="10">
        <f t="shared" si="161"/>
        <v>163</v>
      </c>
      <c r="B166" s="73">
        <f>'Scénario référence'!$B$16*5+'Scénario référence'!$B$17*0+'Scénario référence'!$B$18*5</f>
        <v>2.8499999999999996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10.449999999999998</v>
      </c>
      <c r="H166" s="67">
        <f t="shared" si="110"/>
        <v>214.86666666666667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69.177776557730027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3.979039320256561E-13</v>
      </c>
      <c r="O166" s="13">
        <f>N166*VLOOKUP('Données projet'!$B$9,Paramètres!$A$1:$I$89,3,0)*VLOOKUP('Données projet'!$B$9,Paramètres!$A$1:$I$89,5,0)</f>
        <v>3.6002347769681362E-13</v>
      </c>
      <c r="P166" s="13">
        <f t="shared" si="141"/>
        <v>4.6593569189922594E-12</v>
      </c>
      <c r="Q166" s="20">
        <f t="shared" si="162"/>
        <v>8.7420875242334695E-12</v>
      </c>
      <c r="R166" s="59">
        <f t="shared" si="109"/>
        <v>290.31851404501884</v>
      </c>
      <c r="S166" s="59">
        <f ca="1">AVERAGE(OFFSET($R$3,0,0,'Données projet'!$E$9+1,1))-AVERAGE(OFFSET($H$3,0,0,'Données projet'!$E$9+1,1))</f>
        <v>719.20816951277925</v>
      </c>
      <c r="T166" s="59">
        <f t="shared" si="142"/>
        <v>237.1127421841087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160.99975687375414</v>
      </c>
      <c r="AA166" s="21">
        <f>EXP(-LN(2)/25)*AA165+(1-EXP(-LN(2)/25))/(LN(2)/25)*Calculateur!V166*Calculateur!X166*VLOOKUP('Données projet'!$B$9,Paramètres!$A$1:$I$89,3,0)*0.475*44/12</f>
        <v>27.222141256291838</v>
      </c>
      <c r="AB166" s="21">
        <f>EXP(-LN(2)/2)*AB165+(1-EXP(-LN(2)/2))/(LN(2)/2)*V166*Y166*VLOOKUP('Données projet'!$B$9,Paramètres!$A$1:$I$89,3,0)*0.475*44/12</f>
        <v>2.8455682262513413</v>
      </c>
      <c r="AC166" s="22">
        <f t="shared" si="163"/>
        <v>191.06746635629733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69.177776557730027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5.6843418860808015E-14</v>
      </c>
      <c r="AJ166" s="13">
        <f>AI166*VLOOKUP('Données projet'!$B$10,Paramètres!$A$1:$I$89,3,0)*VLOOKUP('Données projet'!$B$10,Paramètres!$A$1:$I$89,5,0)</f>
        <v>4.7884896048344674E-14</v>
      </c>
      <c r="AK166" s="13">
        <f t="shared" si="164"/>
        <v>7.8374629847779921E-13</v>
      </c>
      <c r="AL166" s="20">
        <f t="shared" si="165"/>
        <v>1.4484243304663672E-12</v>
      </c>
      <c r="AM166" s="59">
        <f t="shared" si="113"/>
        <v>290.31851404501151</v>
      </c>
      <c r="AN166" s="59">
        <f ca="1">AVERAGE(OFFSET($AM$3,0,0,'Données projet'!$E$10+1,1))-AVERAGE(OFFSET($H$3,0,0,'Données projet'!$E$10+1,1))</f>
        <v>442.79037205372367</v>
      </c>
      <c r="AO166" s="59">
        <f t="shared" si="144"/>
        <v>288.23553637727969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39.566274589271757</v>
      </c>
      <c r="AV166" s="21">
        <f>EXP(-LN(2)/25)*AV165+(1-EXP(-LN(2)/25))/(LN(2)/25)*Calculateur!AQ166*Calculateur!AS166*VLOOKUP('Données projet'!$B$10,Paramètres!$A$1:$I$89,3,0)*0.475*44/12</f>
        <v>5.7609819531295932</v>
      </c>
      <c r="AW166" s="21">
        <f>EXP(-LN(2)/2)*AW165+(1-EXP(-LN(2)/2))/(LN(2)/2)*AQ166*AT166*VLOOKUP('Données projet'!$B$10,Paramètres!$A$1:$I$89,3,0)*0.475*44/12</f>
        <v>1.955356549995912E-8</v>
      </c>
      <c r="AX166" s="21">
        <f t="shared" si="166"/>
        <v>45.327256561954918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69.177776557730027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7.6783333333333319</v>
      </c>
      <c r="BD166" s="12">
        <f>IF('Données projet'!$A$88&gt;35,BD165+BC166-BL165,IF(A166&lt;'Données projet'!$A$88,$BA$205^A166,IF(A166='Données projet'!$A$88,'Données projet'!$B$88,BD165+BC166-BL165)))</f>
        <v>397.25833333333298</v>
      </c>
      <c r="BE166" s="13">
        <f>BD166*VLOOKUP('Données projet'!$B$11,Paramètres!$A$1:$I$89,3,0)*VLOOKUP('Données projet'!$B$11,Paramètres!$A$1:$I$89,5,0)</f>
        <v>402.81994999999966</v>
      </c>
      <c r="BF166" s="13">
        <f t="shared" si="167"/>
        <v>92.348132849699439</v>
      </c>
      <c r="BG166" s="20">
        <f t="shared" si="168"/>
        <v>862.41774429655925</v>
      </c>
      <c r="BH166" s="59">
        <f t="shared" si="116"/>
        <v>1152.7362583415693</v>
      </c>
      <c r="BI166" s="59">
        <f ca="1">AVERAGE(OFFSET($BH$3,0,0,'Données projet'!$E$11+1,1))-AVERAGE(OFFSET($H$3,0,0,'Données projet'!$E$11+1,1))</f>
        <v>559.91818701710872</v>
      </c>
      <c r="BJ166" s="59">
        <f t="shared" si="146"/>
        <v>273.47272623465915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36.625272075734841</v>
      </c>
      <c r="BQ166" s="21">
        <f>EXP(-LN(2)/25)*BQ165+(1-EXP(-LN(2)/25))/(LN(2)/25)*Calculateur!BL166*Calculateur!BN166*VLOOKUP('Données projet'!$B$11,Paramètres!$A$1:$I$89,3,0)*0.475*44/12</f>
        <v>18.828575712532146</v>
      </c>
      <c r="BR166" s="21">
        <f>EXP(-LN(2)/2)*BR165+(1-EXP(-LN(2)/2))/(LN(2)/2)*BL166*BO166*VLOOKUP('Données projet'!$B$11,Paramètres!$A$1:$I$89,3,0)*0.475*44/12</f>
        <v>8.1570568615694315E-3</v>
      </c>
      <c r="BS166" s="22">
        <f t="shared" si="169"/>
        <v>55.462004845128554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69.177776557730027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-1.1368683772161603E-13</v>
      </c>
      <c r="BZ166" s="13">
        <f>BY166*VLOOKUP('Données projet'!$B$12,Paramètres!$A$1:$I$89,3,0)*VLOOKUP('Données projet'!$B$12,Paramètres!$A$1:$I$89,5,0)</f>
        <v>-8.8675733422860506E-14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208.92677786250815</v>
      </c>
      <c r="CE166" s="59">
        <f t="shared" si="148"/>
        <v>207.54290142772214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4.2839950119430483</v>
      </c>
      <c r="CL166" s="21">
        <f>EXP(-LN(2)/25)*CL165+(1-EXP(-LN(2)/25))/(LN(2)/25)*Calculateur!CG166*Calculateur!CI166*VLOOKUP('Données projet'!$B$12,Paramètres!$A$1:$I$89,3,0)*0.475*44/12</f>
        <v>2.0031065371744599</v>
      </c>
      <c r="CM166" s="21">
        <f>EXP(-LN(2)/2)*CM165+(1-EXP(-LN(2)/2))/(LN(2)/2)*CG166*CJ166*VLOOKUP('Données projet'!$B$12,Paramètres!$A$1:$I$89,3,0)*0.475*44/12</f>
        <v>2.7672916563733258E-13</v>
      </c>
      <c r="CN166" s="22">
        <f t="shared" si="172"/>
        <v>6.2871015491177857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69.177776557730027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2.5579538487363607E-13</v>
      </c>
      <c r="CU166" s="17">
        <f>CT166*VLOOKUP('Données projet'!$B$13,Paramètres!$A$1:$I$89,3,0)*VLOOKUP('Données projet'!$B$13,Paramètres!$A$1:$I$89,5,0)</f>
        <v>2.4341488824575211E-13</v>
      </c>
      <c r="CV166" s="13">
        <f t="shared" si="173"/>
        <v>3.2970717324875541E-12</v>
      </c>
      <c r="CW166" s="20">
        <f t="shared" si="174"/>
        <v>6.1663475311105072E-12</v>
      </c>
      <c r="CX166" s="59">
        <f t="shared" si="122"/>
        <v>290.31851404501623</v>
      </c>
      <c r="CY166" s="59">
        <f ca="1">AVERAGE(OFFSET($CX$3,0,0,'Données projet'!$E$13+1,1))-AVERAGE(OFFSET($H$3,0,0,'Données projet'!$E$13+1,1))</f>
        <v>470.42022791389275</v>
      </c>
      <c r="CZ166" s="59">
        <f t="shared" si="150"/>
        <v>300.26117330627346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34.41075366388435</v>
      </c>
      <c r="DG166" s="21">
        <f>EXP(-LN(2)/25)*DG165+(1-EXP(-LN(2)/25))/(LN(2)/25)*Calculateur!DB166*Calculateur!DD166*VLOOKUP('Données projet'!$B$13,Paramètres!$A$1:$I$89,3,0)*0.475*44/12</f>
        <v>24.11352439885815</v>
      </c>
      <c r="DH166" s="21">
        <f>EXP(-LN(2)/2)*DH165+(1-EXP(-LN(2)/2))/(LN(2)/2)*DB166*DE166*VLOOKUP('Données projet'!$B$13,Paramètres!$A$1:$I$89,3,0)*0.475*44/12</f>
        <v>3.8681930522737023E-4</v>
      </c>
      <c r="DI166" s="22">
        <f t="shared" si="175"/>
        <v>58.524664882047723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69.177776557730027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7.6783333333333319</v>
      </c>
      <c r="DO166" s="12">
        <f>IF('Données projet'!$A$166&gt;35,DO165+DN166-DW165,IF(A166&lt;'Données projet'!$A$166,$DL$205^A166,IF(A166='Données projet'!$A$166,'Données projet'!$B$166,DO165+DN166-DW165)))</f>
        <v>397.25833333333298</v>
      </c>
      <c r="DP166" s="17">
        <f>DO166*VLOOKUP('Données projet'!$B$14,Paramètres!$A$1:$I$89,3,0)*VLOOKUP('Données projet'!$B$14,Paramètres!$A$1:$I$89,5,0)</f>
        <v>384.22825999999969</v>
      </c>
      <c r="DQ166" s="13">
        <f t="shared" si="176"/>
        <v>88.571739476126965</v>
      </c>
      <c r="DR166" s="20">
        <f t="shared" si="177"/>
        <v>823.45999908758722</v>
      </c>
      <c r="DS166" s="59">
        <f t="shared" si="125"/>
        <v>1113.7785131325973</v>
      </c>
      <c r="DT166" s="59">
        <f ca="1">AVERAGE(OFFSET($DS$3,0,0,'Données projet'!$E$14+1,1))-AVERAGE(OFFSET($H$3,0,0,'Données projet'!$E$14+1,1))</f>
        <v>537.37164071064103</v>
      </c>
      <c r="DU166" s="59">
        <f t="shared" si="152"/>
        <v>263.29777321132235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22.136472389721423</v>
      </c>
      <c r="EB166" s="21">
        <f>EXP(-LN(2)/25)*EB165+(1-EXP(-LN(2)/25))/(LN(2)/25)*Calculateur!DW166*Calculateur!DY166*VLOOKUP('Données projet'!$B$14,Paramètres!$A$1:$I$89,3,0)*0.475*44/12</f>
        <v>18.865270117633951</v>
      </c>
      <c r="EC166" s="21">
        <f>EXP(-LN(2)/2)*EC165+(1-EXP(-LN(2)/2))/(LN(2)/2)*DW166*DZ166*VLOOKUP('Données projet'!$B$14,Paramètres!$A$1:$I$89,3,0)*0.475*44/12</f>
        <v>1.3441127986378199</v>
      </c>
      <c r="ED166" s="22">
        <f t="shared" si="178"/>
        <v>42.345855305993197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69.177776557730027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69.177776557730027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69.177776557730027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69.177776557730027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45">
      <c r="A167" s="10">
        <f t="shared" si="161"/>
        <v>164</v>
      </c>
      <c r="B167" s="73">
        <f>'Scénario référence'!$B$16*5+'Scénario référence'!$B$17*0+'Scénario référence'!$B$18*5</f>
        <v>2.8499999999999996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10.449999999999998</v>
      </c>
      <c r="H167" s="67">
        <f t="shared" si="110"/>
        <v>214.86666666666667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69.192040296237181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3.979039320256561E-13</v>
      </c>
      <c r="O167" s="13">
        <f>N167*VLOOKUP('Données projet'!$B$9,Paramètres!$A$1:$I$89,3,0)*VLOOKUP('Données projet'!$B$9,Paramètres!$A$1:$I$89,5,0)</f>
        <v>3.6002347769681362E-13</v>
      </c>
      <c r="P167" s="13">
        <f t="shared" si="141"/>
        <v>4.6593569189922594E-12</v>
      </c>
      <c r="Q167" s="20">
        <f t="shared" si="162"/>
        <v>8.7420875242334695E-12</v>
      </c>
      <c r="R167" s="59">
        <f t="shared" si="109"/>
        <v>290.37081441954507</v>
      </c>
      <c r="S167" s="59">
        <f ca="1">AVERAGE(OFFSET($R$3,0,0,'Données projet'!$E$9+1,1))-AVERAGE(OFFSET($H$3,0,0,'Données projet'!$E$9+1,1))</f>
        <v>719.20816951277925</v>
      </c>
      <c r="T167" s="59">
        <f t="shared" si="142"/>
        <v>237.1127421841087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157.84264984161504</v>
      </c>
      <c r="AA167" s="21">
        <f>EXP(-LN(2)/25)*AA166+(1-EXP(-LN(2)/25))/(LN(2)/25)*Calculateur!V167*Calculateur!X167*VLOOKUP('Données projet'!$B$9,Paramètres!$A$1:$I$89,3,0)*0.475*44/12</f>
        <v>26.477750372088344</v>
      </c>
      <c r="AB167" s="21">
        <f>EXP(-LN(2)/2)*AB166+(1-EXP(-LN(2)/2))/(LN(2)/2)*V167*Y167*VLOOKUP('Données projet'!$B$9,Paramètres!$A$1:$I$89,3,0)*0.475*44/12</f>
        <v>2.0121205891112997</v>
      </c>
      <c r="AC167" s="22">
        <f t="shared" si="163"/>
        <v>186.33252080281468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69.192040296237181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5.6843418860808015E-14</v>
      </c>
      <c r="AJ167" s="13">
        <f>AI167*VLOOKUP('Données projet'!$B$10,Paramètres!$A$1:$I$89,3,0)*VLOOKUP('Données projet'!$B$10,Paramètres!$A$1:$I$89,5,0)</f>
        <v>4.7884896048344674E-14</v>
      </c>
      <c r="AK167" s="13">
        <f t="shared" si="164"/>
        <v>7.8374629847779921E-13</v>
      </c>
      <c r="AL167" s="20">
        <f t="shared" si="165"/>
        <v>1.4484243304663672E-12</v>
      </c>
      <c r="AM167" s="59">
        <f t="shared" si="113"/>
        <v>290.37081441953774</v>
      </c>
      <c r="AN167" s="59">
        <f ca="1">AVERAGE(OFFSET($AM$3,0,0,'Données projet'!$E$10+1,1))-AVERAGE(OFFSET($H$3,0,0,'Données projet'!$E$10+1,1))</f>
        <v>442.79037205372367</v>
      </c>
      <c r="AO167" s="59">
        <f t="shared" si="144"/>
        <v>288.23553637727969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38.7904040776207</v>
      </c>
      <c r="AV167" s="21">
        <f>EXP(-LN(2)/25)*AV166+(1-EXP(-LN(2)/25))/(LN(2)/25)*Calculateur!AQ167*Calculateur!AS167*VLOOKUP('Données projet'!$B$10,Paramètres!$A$1:$I$89,3,0)*0.475*44/12</f>
        <v>5.6034475986643901</v>
      </c>
      <c r="AW167" s="21">
        <f>EXP(-LN(2)/2)*AW166+(1-EXP(-LN(2)/2))/(LN(2)/2)*AQ167*AT167*VLOOKUP('Données projet'!$B$10,Paramètres!$A$1:$I$89,3,0)*0.475*44/12</f>
        <v>1.3826458761396419E-8</v>
      </c>
      <c r="AX167" s="21">
        <f t="shared" si="166"/>
        <v>44.393851690111546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69.192040296237181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7.6783333333333319</v>
      </c>
      <c r="BD167" s="12">
        <f>IF('Données projet'!$A$88&gt;35,BD166+BC167-BL166,IF(A167&lt;'Données projet'!$A$88,$BA$205^A167,IF(A167='Données projet'!$A$88,'Données projet'!$B$88,BD166+BC167-BL166)))</f>
        <v>404.93666666666633</v>
      </c>
      <c r="BE167" s="13">
        <f>BD167*VLOOKUP('Données projet'!$B$11,Paramètres!$A$1:$I$89,3,0)*VLOOKUP('Données projet'!$B$11,Paramètres!$A$1:$I$89,5,0)</f>
        <v>410.6057799999997</v>
      </c>
      <c r="BF167" s="13">
        <f t="shared" si="167"/>
        <v>93.923538642241823</v>
      </c>
      <c r="BG167" s="20">
        <f t="shared" si="168"/>
        <v>878.72189663523716</v>
      </c>
      <c r="BH167" s="59">
        <f t="shared" si="116"/>
        <v>1169.0927110547734</v>
      </c>
      <c r="BI167" s="59">
        <f ca="1">AVERAGE(OFFSET($BH$3,0,0,'Données projet'!$E$11+1,1))-AVERAGE(OFFSET($H$3,0,0,'Données projet'!$E$11+1,1))</f>
        <v>559.91818701710872</v>
      </c>
      <c r="BJ167" s="59">
        <f t="shared" si="146"/>
        <v>273.47272623465915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35.907072829539835</v>
      </c>
      <c r="BQ167" s="21">
        <f>EXP(-LN(2)/25)*BQ166+(1-EXP(-LN(2)/25))/(LN(2)/25)*Calculateur!BL167*Calculateur!BN167*VLOOKUP('Données projet'!$B$11,Paramètres!$A$1:$I$89,3,0)*0.475*44/12</f>
        <v>18.313707319521193</v>
      </c>
      <c r="BR167" s="21">
        <f>EXP(-LN(2)/2)*BR166+(1-EXP(-LN(2)/2))/(LN(2)/2)*BL167*BO167*VLOOKUP('Données projet'!$B$11,Paramètres!$A$1:$I$89,3,0)*0.475*44/12</f>
        <v>5.7679102213400021E-3</v>
      </c>
      <c r="BS167" s="22">
        <f t="shared" si="169"/>
        <v>54.226548059282365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69.192040296237181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-1.1368683772161603E-13</v>
      </c>
      <c r="BZ167" s="13">
        <f>BY167*VLOOKUP('Données projet'!$B$12,Paramètres!$A$1:$I$89,3,0)*VLOOKUP('Données projet'!$B$12,Paramètres!$A$1:$I$89,5,0)</f>
        <v>-8.8675733422860506E-14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208.92677786250815</v>
      </c>
      <c r="CE167" s="59">
        <f t="shared" si="148"/>
        <v>207.54290142772214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4.1999884827377922</v>
      </c>
      <c r="CL167" s="21">
        <f>EXP(-LN(2)/25)*CL166+(1-EXP(-LN(2)/25))/(LN(2)/25)*Calculateur!CG167*Calculateur!CI167*VLOOKUP('Données projet'!$B$12,Paramètres!$A$1:$I$89,3,0)*0.475*44/12</f>
        <v>1.9483314835766297</v>
      </c>
      <c r="CM167" s="21">
        <f>EXP(-LN(2)/2)*CM166+(1-EXP(-LN(2)/2))/(LN(2)/2)*CG167*CJ167*VLOOKUP('Données projet'!$B$12,Paramètres!$A$1:$I$89,3,0)*0.475*44/12</f>
        <v>1.956770695742532E-13</v>
      </c>
      <c r="CN167" s="22">
        <f t="shared" si="172"/>
        <v>6.1483199663146175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69.192040296237181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2.5579538487363607E-13</v>
      </c>
      <c r="CU167" s="17">
        <f>CT167*VLOOKUP('Données projet'!$B$13,Paramètres!$A$1:$I$89,3,0)*VLOOKUP('Données projet'!$B$13,Paramètres!$A$1:$I$89,5,0)</f>
        <v>2.4341488824575211E-13</v>
      </c>
      <c r="CV167" s="13">
        <f t="shared" si="173"/>
        <v>3.2970717324875541E-12</v>
      </c>
      <c r="CW167" s="20">
        <f t="shared" si="174"/>
        <v>6.1663475311105072E-12</v>
      </c>
      <c r="CX167" s="59">
        <f t="shared" si="122"/>
        <v>290.37081441954246</v>
      </c>
      <c r="CY167" s="59">
        <f ca="1">AVERAGE(OFFSET($CX$3,0,0,'Données projet'!$E$13+1,1))-AVERAGE(OFFSET($H$3,0,0,'Données projet'!$E$13+1,1))</f>
        <v>470.42022791389275</v>
      </c>
      <c r="CZ167" s="59">
        <f t="shared" si="150"/>
        <v>300.26117330627346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33.735979773022869</v>
      </c>
      <c r="DG167" s="21">
        <f>EXP(-LN(2)/25)*DG166+(1-EXP(-LN(2)/25))/(LN(2)/25)*Calculateur!DB167*Calculateur!DD167*VLOOKUP('Données projet'!$B$13,Paramètres!$A$1:$I$89,3,0)*0.475*44/12</f>
        <v>23.454138806096239</v>
      </c>
      <c r="DH167" s="21">
        <f>EXP(-LN(2)/2)*DH166+(1-EXP(-LN(2)/2))/(LN(2)/2)*DB167*DE167*VLOOKUP('Données projet'!$B$13,Paramètres!$A$1:$I$89,3,0)*0.475*44/12</f>
        <v>2.7352255382014242E-4</v>
      </c>
      <c r="DI167" s="22">
        <f t="shared" si="175"/>
        <v>57.190392101672927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69.192040296237181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7.6783333333333319</v>
      </c>
      <c r="DO167" s="12">
        <f>IF('Données projet'!$A$166&gt;35,DO166+DN167-DW166,IF(A167&lt;'Données projet'!$A$166,$DL$205^A167,IF(A167='Données projet'!$A$166,'Données projet'!$B$166,DO166+DN167-DW166)))</f>
        <v>404.93666666666633</v>
      </c>
      <c r="DP167" s="17">
        <f>DO167*VLOOKUP('Données projet'!$B$14,Paramètres!$A$1:$I$89,3,0)*VLOOKUP('Données projet'!$B$14,Paramètres!$A$1:$I$89,5,0)</f>
        <v>391.65474399999971</v>
      </c>
      <c r="DQ167" s="13">
        <f t="shared" si="176"/>
        <v>90.082722179516836</v>
      </c>
      <c r="DR167" s="20">
        <f t="shared" si="177"/>
        <v>839.02608692932472</v>
      </c>
      <c r="DS167" s="59">
        <f t="shared" si="125"/>
        <v>1129.3969013488611</v>
      </c>
      <c r="DT167" s="59">
        <f ca="1">AVERAGE(OFFSET($DS$3,0,0,'Données projet'!$E$14+1,1))-AVERAGE(OFFSET($H$3,0,0,'Données projet'!$E$14+1,1))</f>
        <v>537.37164071064103</v>
      </c>
      <c r="DU167" s="59">
        <f t="shared" si="152"/>
        <v>263.29777321132235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21.702389668073941</v>
      </c>
      <c r="EB167" s="21">
        <f>EXP(-LN(2)/25)*EB166+(1-EXP(-LN(2)/25))/(LN(2)/25)*Calculateur!DW167*Calculateur!DY167*VLOOKUP('Données projet'!$B$14,Paramètres!$A$1:$I$89,3,0)*0.475*44/12</f>
        <v>18.349398314185812</v>
      </c>
      <c r="EC167" s="21">
        <f>EXP(-LN(2)/2)*EC166+(1-EXP(-LN(2)/2))/(LN(2)/2)*DW167*DZ167*VLOOKUP('Données projet'!$B$14,Paramètres!$A$1:$I$89,3,0)*0.475*44/12</f>
        <v>0.95043127459643095</v>
      </c>
      <c r="ED167" s="22">
        <f t="shared" si="178"/>
        <v>41.002219256856186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69.192040296237181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69.192040296237181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69.192040296237181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69.192040296237181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45">
      <c r="A168" s="10">
        <f t="shared" si="161"/>
        <v>165</v>
      </c>
      <c r="B168" s="73">
        <f>'Scénario référence'!$B$16*5+'Scénario référence'!$B$17*0+'Scénario référence'!$B$18*5</f>
        <v>2.8499999999999996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10.449999999999998</v>
      </c>
      <c r="H168" s="67">
        <f t="shared" si="110"/>
        <v>214.86666666666667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69.206056590770174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3.979039320256561E-13</v>
      </c>
      <c r="O168" s="13">
        <f>N168*VLOOKUP('Données projet'!$B$9,Paramètres!$A$1:$I$89,3,0)*VLOOKUP('Données projet'!$B$9,Paramètres!$A$1:$I$89,5,0)</f>
        <v>3.6002347769681362E-13</v>
      </c>
      <c r="P168" s="13">
        <f t="shared" si="141"/>
        <v>4.6593569189922594E-12</v>
      </c>
      <c r="Q168" s="20">
        <f t="shared" si="162"/>
        <v>8.7420875242334695E-12</v>
      </c>
      <c r="R168" s="59">
        <f t="shared" si="109"/>
        <v>290.42220749949939</v>
      </c>
      <c r="S168" s="59">
        <f ca="1">AVERAGE(OFFSET($R$3,0,0,'Données projet'!$E$9+1,1))-AVERAGE(OFFSET($H$3,0,0,'Données projet'!$E$9+1,1))</f>
        <v>719.20816951277925</v>
      </c>
      <c r="T168" s="59">
        <f t="shared" si="142"/>
        <v>237.1127421841087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154.74745175273105</v>
      </c>
      <c r="AA168" s="21">
        <f>EXP(-LN(2)/25)*AA167+(1-EXP(-LN(2)/25))/(LN(2)/25)*Calculateur!V168*Calculateur!X168*VLOOKUP('Données projet'!$B$9,Paramètres!$A$1:$I$89,3,0)*0.475*44/12</f>
        <v>25.753714895759213</v>
      </c>
      <c r="AB168" s="21">
        <f>EXP(-LN(2)/2)*AB167+(1-EXP(-LN(2)/2))/(LN(2)/2)*V168*Y168*VLOOKUP('Données projet'!$B$9,Paramètres!$A$1:$I$89,3,0)*0.475*44/12</f>
        <v>1.4227841131256709</v>
      </c>
      <c r="AC168" s="22">
        <f t="shared" si="163"/>
        <v>181.92395076161591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69.206056590770174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5.6843418860808015E-14</v>
      </c>
      <c r="AJ168" s="13">
        <f>AI168*VLOOKUP('Données projet'!$B$10,Paramètres!$A$1:$I$89,3,0)*VLOOKUP('Données projet'!$B$10,Paramètres!$A$1:$I$89,5,0)</f>
        <v>4.7884896048344674E-14</v>
      </c>
      <c r="AK168" s="13">
        <f t="shared" si="164"/>
        <v>7.8374629847779921E-13</v>
      </c>
      <c r="AL168" s="20">
        <f t="shared" si="165"/>
        <v>1.4484243304663672E-12</v>
      </c>
      <c r="AM168" s="59">
        <f t="shared" si="113"/>
        <v>290.42220749949206</v>
      </c>
      <c r="AN168" s="59">
        <f ca="1">AVERAGE(OFFSET($AM$3,0,0,'Données projet'!$E$10+1,1))-AVERAGE(OFFSET($H$3,0,0,'Données projet'!$E$10+1,1))</f>
        <v>442.79037205372367</v>
      </c>
      <c r="AO168" s="59">
        <f t="shared" si="144"/>
        <v>288.23553637727969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38.029747913468832</v>
      </c>
      <c r="AV168" s="21">
        <f>EXP(-LN(2)/25)*AV167+(1-EXP(-LN(2)/25))/(LN(2)/25)*Calculateur!AQ168*Calculateur!AS168*VLOOKUP('Données projet'!$B$10,Paramètres!$A$1:$I$89,3,0)*0.475*44/12</f>
        <v>5.4502210294064097</v>
      </c>
      <c r="AW168" s="21">
        <f>EXP(-LN(2)/2)*AW167+(1-EXP(-LN(2)/2))/(LN(2)/2)*AQ168*AT168*VLOOKUP('Données projet'!$B$10,Paramètres!$A$1:$I$89,3,0)*0.475*44/12</f>
        <v>9.7767827499795602E-9</v>
      </c>
      <c r="AX168" s="21">
        <f t="shared" si="166"/>
        <v>43.479968952652023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69.206056590770174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7.6783333333333319</v>
      </c>
      <c r="BD168" s="12">
        <f>IF('Données projet'!$A$88&gt;35,BD167+BC168-BL167,IF(A168&lt;'Données projet'!$A$88,$BA$205^A168,IF(A168='Données projet'!$A$88,'Données projet'!$B$88,BD167+BC168-BL167)))</f>
        <v>412.61499999999967</v>
      </c>
      <c r="BE168" s="13">
        <f>BD168*VLOOKUP('Données projet'!$B$11,Paramètres!$A$1:$I$89,3,0)*VLOOKUP('Données projet'!$B$11,Paramètres!$A$1:$I$89,5,0)</f>
        <v>418.39160999999967</v>
      </c>
      <c r="BF168" s="13">
        <f t="shared" si="167"/>
        <v>95.495470884423355</v>
      </c>
      <c r="BG168" s="20">
        <f t="shared" si="168"/>
        <v>895.0199992070369</v>
      </c>
      <c r="BH168" s="59">
        <f t="shared" si="116"/>
        <v>1185.4422067065275</v>
      </c>
      <c r="BI168" s="59">
        <f ca="1">AVERAGE(OFFSET($BH$3,0,0,'Données projet'!$E$11+1,1))-AVERAGE(OFFSET($H$3,0,0,'Données projet'!$E$11+1,1))</f>
        <v>559.91818701710872</v>
      </c>
      <c r="BJ168" s="59">
        <f t="shared" si="146"/>
        <v>273.47272623465915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35.202957032504429</v>
      </c>
      <c r="BQ168" s="21">
        <f>EXP(-LN(2)/25)*BQ167+(1-EXP(-LN(2)/25))/(LN(2)/25)*Calculateur!BL168*Calculateur!BN168*VLOOKUP('Données projet'!$B$11,Paramètres!$A$1:$I$89,3,0)*0.475*44/12</f>
        <v>17.812918029792876</v>
      </c>
      <c r="BR168" s="21">
        <f>EXP(-LN(2)/2)*BR167+(1-EXP(-LN(2)/2))/(LN(2)/2)*BL168*BO168*VLOOKUP('Données projet'!$B$11,Paramètres!$A$1:$I$89,3,0)*0.475*44/12</f>
        <v>4.0785284307847157E-3</v>
      </c>
      <c r="BS168" s="22">
        <f t="shared" si="169"/>
        <v>53.019953590728086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69.206056590770174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-1.1368683772161603E-13</v>
      </c>
      <c r="BZ168" s="13">
        <f>BY168*VLOOKUP('Données projet'!$B$12,Paramètres!$A$1:$I$89,3,0)*VLOOKUP('Données projet'!$B$12,Paramètres!$A$1:$I$89,5,0)</f>
        <v>-8.8675733422860506E-14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208.92677786250815</v>
      </c>
      <c r="CE168" s="59">
        <f t="shared" si="148"/>
        <v>207.54290142772214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4.117629270331328</v>
      </c>
      <c r="CL168" s="21">
        <f>EXP(-LN(2)/25)*CL167+(1-EXP(-LN(2)/25))/(LN(2)/25)*Calculateur!CG168*Calculateur!CI168*VLOOKUP('Données projet'!$B$12,Paramètres!$A$1:$I$89,3,0)*0.475*44/12</f>
        <v>1.8950542566999269</v>
      </c>
      <c r="CM168" s="21">
        <f>EXP(-LN(2)/2)*CM167+(1-EXP(-LN(2)/2))/(LN(2)/2)*CG168*CJ168*VLOOKUP('Données projet'!$B$12,Paramètres!$A$1:$I$89,3,0)*0.475*44/12</f>
        <v>1.3836458281866629E-13</v>
      </c>
      <c r="CN168" s="22">
        <f t="shared" si="172"/>
        <v>6.0126835270313936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69.206056590770174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2.5579538487363607E-13</v>
      </c>
      <c r="CU168" s="17">
        <f>CT168*VLOOKUP('Données projet'!$B$13,Paramètres!$A$1:$I$89,3,0)*VLOOKUP('Données projet'!$B$13,Paramètres!$A$1:$I$89,5,0)</f>
        <v>2.4341488824575211E-13</v>
      </c>
      <c r="CV168" s="13">
        <f t="shared" si="173"/>
        <v>3.2970717324875541E-12</v>
      </c>
      <c r="CW168" s="20">
        <f t="shared" si="174"/>
        <v>6.1663475311105072E-12</v>
      </c>
      <c r="CX168" s="59">
        <f t="shared" si="122"/>
        <v>290.42220749949678</v>
      </c>
      <c r="CY168" s="59">
        <f ca="1">AVERAGE(OFFSET($CX$3,0,0,'Données projet'!$E$13+1,1))-AVERAGE(OFFSET($H$3,0,0,'Données projet'!$E$13+1,1))</f>
        <v>470.42022791389275</v>
      </c>
      <c r="CZ168" s="59">
        <f t="shared" si="150"/>
        <v>300.26117330627346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33.074437786589748</v>
      </c>
      <c r="DG168" s="21">
        <f>EXP(-LN(2)/25)*DG167+(1-EXP(-LN(2)/25))/(LN(2)/25)*Calculateur!DB168*Calculateur!DD168*VLOOKUP('Données projet'!$B$13,Paramètres!$A$1:$I$89,3,0)*0.475*44/12</f>
        <v>22.812784147043981</v>
      </c>
      <c r="DH168" s="21">
        <f>EXP(-LN(2)/2)*DH167+(1-EXP(-LN(2)/2))/(LN(2)/2)*DB168*DE168*VLOOKUP('Données projet'!$B$13,Paramètres!$A$1:$I$89,3,0)*0.475*44/12</f>
        <v>1.9340965261368512E-4</v>
      </c>
      <c r="DI168" s="22">
        <f t="shared" si="175"/>
        <v>55.887415343286342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69.206056590770174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7.6783333333333319</v>
      </c>
      <c r="DO168" s="12">
        <f>IF('Données projet'!$A$166&gt;35,DO167+DN168-DW167,IF(A168&lt;'Données projet'!$A$166,$DL$205^A168,IF(A168='Données projet'!$A$166,'Données projet'!$B$166,DO167+DN168-DW167)))</f>
        <v>412.61499999999967</v>
      </c>
      <c r="DP168" s="17">
        <f>DO168*VLOOKUP('Données projet'!$B$14,Paramètres!$A$1:$I$89,3,0)*VLOOKUP('Données projet'!$B$14,Paramètres!$A$1:$I$89,5,0)</f>
        <v>399.08122799999967</v>
      </c>
      <c r="DQ168" s="13">
        <f t="shared" si="176"/>
        <v>91.590373376485019</v>
      </c>
      <c r="DR168" s="20">
        <f t="shared" si="177"/>
        <v>854.58637239737743</v>
      </c>
      <c r="DS168" s="59">
        <f t="shared" si="125"/>
        <v>1145.008579896868</v>
      </c>
      <c r="DT168" s="59">
        <f ca="1">AVERAGE(OFFSET($DS$3,0,0,'Données projet'!$E$14+1,1))-AVERAGE(OFFSET($H$3,0,0,'Données projet'!$E$14+1,1))</f>
        <v>537.37164071064103</v>
      </c>
      <c r="DU168" s="59">
        <f t="shared" si="152"/>
        <v>263.29777321132235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21.276819043833648</v>
      </c>
      <c r="EB168" s="21">
        <f>EXP(-LN(2)/25)*EB167+(1-EXP(-LN(2)/25))/(LN(2)/25)*Calculateur!DW168*Calculateur!DY168*VLOOKUP('Données projet'!$B$14,Paramètres!$A$1:$I$89,3,0)*0.475*44/12</f>
        <v>17.847633052331481</v>
      </c>
      <c r="EC168" s="21">
        <f>EXP(-LN(2)/2)*EC167+(1-EXP(-LN(2)/2))/(LN(2)/2)*DW168*DZ168*VLOOKUP('Données projet'!$B$14,Paramètres!$A$1:$I$89,3,0)*0.475*44/12</f>
        <v>0.67205639931891004</v>
      </c>
      <c r="ED168" s="22">
        <f t="shared" si="178"/>
        <v>39.796508495484041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69.206056590770174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69.206056590770174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69.206056590770174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69.206056590770174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45">
      <c r="A169" s="10">
        <f t="shared" si="161"/>
        <v>166</v>
      </c>
      <c r="B169" s="73">
        <f>'Scénario référence'!$B$16*5+'Scénario référence'!$B$17*0+'Scénario référence'!$B$18*5</f>
        <v>2.8499999999999996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10.449999999999998</v>
      </c>
      <c r="H169" s="67">
        <f t="shared" si="110"/>
        <v>214.86666666666667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69.219829733928762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3.979039320256561E-13</v>
      </c>
      <c r="O169" s="13">
        <f>N169*VLOOKUP('Données projet'!$B$9,Paramètres!$A$1:$I$89,3,0)*VLOOKUP('Données projet'!$B$9,Paramètres!$A$1:$I$89,5,0)</f>
        <v>3.6002347769681362E-13</v>
      </c>
      <c r="P169" s="13">
        <f t="shared" si="141"/>
        <v>4.6593569189922594E-12</v>
      </c>
      <c r="Q169" s="20">
        <f t="shared" si="162"/>
        <v>8.7420875242334695E-12</v>
      </c>
      <c r="R169" s="59">
        <f t="shared" si="109"/>
        <v>290.4727090244142</v>
      </c>
      <c r="S169" s="59">
        <f ca="1">AVERAGE(OFFSET($R$3,0,0,'Données projet'!$E$9+1,1))-AVERAGE(OFFSET($H$3,0,0,'Données projet'!$E$9+1,1))</f>
        <v>719.20816951277925</v>
      </c>
      <c r="T169" s="59">
        <f t="shared" si="142"/>
        <v>237.1127421841087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151.71294861048565</v>
      </c>
      <c r="AA169" s="21">
        <f>EXP(-LN(2)/25)*AA168+(1-EXP(-LN(2)/25))/(LN(2)/25)*Calculateur!V169*Calculateur!X169*VLOOKUP('Données projet'!$B$9,Paramètres!$A$1:$I$89,3,0)*0.475*44/12</f>
        <v>25.04947820760567</v>
      </c>
      <c r="AB169" s="21">
        <f>EXP(-LN(2)/2)*AB168+(1-EXP(-LN(2)/2))/(LN(2)/2)*V169*Y169*VLOOKUP('Données projet'!$B$9,Paramètres!$A$1:$I$89,3,0)*0.475*44/12</f>
        <v>1.0060602945556498</v>
      </c>
      <c r="AC169" s="22">
        <f t="shared" si="163"/>
        <v>177.76848711264697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69.219829733928762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5.6843418860808015E-14</v>
      </c>
      <c r="AJ169" s="13">
        <f>AI169*VLOOKUP('Données projet'!$B$10,Paramètres!$A$1:$I$89,3,0)*VLOOKUP('Données projet'!$B$10,Paramètres!$A$1:$I$89,5,0)</f>
        <v>4.7884896048344674E-14</v>
      </c>
      <c r="AK169" s="13">
        <f t="shared" si="164"/>
        <v>7.8374629847779921E-13</v>
      </c>
      <c r="AL169" s="20">
        <f t="shared" si="165"/>
        <v>1.4484243304663672E-12</v>
      </c>
      <c r="AM169" s="59">
        <f t="shared" si="113"/>
        <v>290.47270902440687</v>
      </c>
      <c r="AN169" s="59">
        <f ca="1">AVERAGE(OFFSET($AM$3,0,0,'Données projet'!$E$10+1,1))-AVERAGE(OFFSET($H$3,0,0,'Données projet'!$E$10+1,1))</f>
        <v>442.79037205372367</v>
      </c>
      <c r="AO169" s="59">
        <f t="shared" si="144"/>
        <v>288.23553637727969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37.284007752741537</v>
      </c>
      <c r="AV169" s="21">
        <f>EXP(-LN(2)/25)*AV168+(1-EXP(-LN(2)/25))/(LN(2)/25)*Calculateur!AQ169*Calculateur!AS169*VLOOKUP('Données projet'!$B$10,Paramètres!$A$1:$I$89,3,0)*0.475*44/12</f>
        <v>5.3011844487426245</v>
      </c>
      <c r="AW169" s="21">
        <f>EXP(-LN(2)/2)*AW168+(1-EXP(-LN(2)/2))/(LN(2)/2)*AQ169*AT169*VLOOKUP('Données projet'!$B$10,Paramètres!$A$1:$I$89,3,0)*0.475*44/12</f>
        <v>6.9132293806982094E-9</v>
      </c>
      <c r="AX169" s="21">
        <f t="shared" si="166"/>
        <v>42.585192208397395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69.219829733928762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7.6783333333333319</v>
      </c>
      <c r="BD169" s="12">
        <f>IF('Données projet'!$A$88&gt;35,BD168+BC169-BL168,IF(A169&lt;'Données projet'!$A$88,$BA$205^A169,IF(A169='Données projet'!$A$88,'Données projet'!$B$88,BD168+BC169-BL168)))</f>
        <v>420.29333333333301</v>
      </c>
      <c r="BE169" s="13">
        <f>BD169*VLOOKUP('Données projet'!$B$11,Paramètres!$A$1:$I$89,3,0)*VLOOKUP('Données projet'!$B$11,Paramètres!$A$1:$I$89,5,0)</f>
        <v>426.17743999999971</v>
      </c>
      <c r="BF169" s="13">
        <f t="shared" si="167"/>
        <v>97.064001669669764</v>
      </c>
      <c r="BG169" s="20">
        <f t="shared" si="168"/>
        <v>911.31217757467437</v>
      </c>
      <c r="BH169" s="59">
        <f t="shared" si="116"/>
        <v>1201.7848865990798</v>
      </c>
      <c r="BI169" s="59">
        <f ca="1">AVERAGE(OFFSET($BH$3,0,0,'Données projet'!$E$11+1,1))-AVERAGE(OFFSET($H$3,0,0,'Données projet'!$E$11+1,1))</f>
        <v>559.91818701710872</v>
      </c>
      <c r="BJ169" s="59">
        <f t="shared" si="146"/>
        <v>273.47272623465915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34.512648516780658</v>
      </c>
      <c r="BQ169" s="21">
        <f>EXP(-LN(2)/25)*BQ168+(1-EXP(-LN(2)/25))/(LN(2)/25)*Calculateur!BL169*Calculateur!BN169*VLOOKUP('Données projet'!$B$11,Paramètres!$A$1:$I$89,3,0)*0.475*44/12</f>
        <v>17.32582284952754</v>
      </c>
      <c r="BR169" s="21">
        <f>EXP(-LN(2)/2)*BR168+(1-EXP(-LN(2)/2))/(LN(2)/2)*BL169*BO169*VLOOKUP('Données projet'!$B$11,Paramètres!$A$1:$I$89,3,0)*0.475*44/12</f>
        <v>2.8839551106700011E-3</v>
      </c>
      <c r="BS169" s="22">
        <f t="shared" si="169"/>
        <v>51.841355321418867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69.219829733928762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-1.1368683772161603E-13</v>
      </c>
      <c r="BZ169" s="13">
        <f>BY169*VLOOKUP('Données projet'!$B$12,Paramètres!$A$1:$I$89,3,0)*VLOOKUP('Données projet'!$B$12,Paramètres!$A$1:$I$89,5,0)</f>
        <v>-8.8675733422860506E-14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208.92677786250815</v>
      </c>
      <c r="CE169" s="59">
        <f t="shared" si="148"/>
        <v>207.54290142772214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4.0368850718459948</v>
      </c>
      <c r="CL169" s="21">
        <f>EXP(-LN(2)/25)*CL168+(1-EXP(-LN(2)/25))/(LN(2)/25)*Calculateur!CG169*Calculateur!CI169*VLOOKUP('Données projet'!$B$12,Paramètres!$A$1:$I$89,3,0)*0.475*44/12</f>
        <v>1.8432338983938952</v>
      </c>
      <c r="CM169" s="21">
        <f>EXP(-LN(2)/2)*CM168+(1-EXP(-LN(2)/2))/(LN(2)/2)*CG169*CJ169*VLOOKUP('Données projet'!$B$12,Paramètres!$A$1:$I$89,3,0)*0.475*44/12</f>
        <v>9.7838534787126599E-14</v>
      </c>
      <c r="CN169" s="22">
        <f t="shared" si="172"/>
        <v>5.8801189702399874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69.219829733928762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2.5579538487363607E-13</v>
      </c>
      <c r="CU169" s="17">
        <f>CT169*VLOOKUP('Données projet'!$B$13,Paramètres!$A$1:$I$89,3,0)*VLOOKUP('Données projet'!$B$13,Paramètres!$A$1:$I$89,5,0)</f>
        <v>2.4341488824575211E-13</v>
      </c>
      <c r="CV169" s="13">
        <f t="shared" si="173"/>
        <v>3.2970717324875541E-12</v>
      </c>
      <c r="CW169" s="20">
        <f t="shared" si="174"/>
        <v>6.1663475311105072E-12</v>
      </c>
      <c r="CX169" s="59">
        <f t="shared" si="122"/>
        <v>290.47270902441159</v>
      </c>
      <c r="CY169" s="59">
        <f ca="1">AVERAGE(OFFSET($CX$3,0,0,'Données projet'!$E$13+1,1))-AVERAGE(OFFSET($H$3,0,0,'Données projet'!$E$13+1,1))</f>
        <v>470.42022791389275</v>
      </c>
      <c r="CZ169" s="59">
        <f t="shared" si="150"/>
        <v>300.26117330627346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32.425868235009816</v>
      </c>
      <c r="DG169" s="21">
        <f>EXP(-LN(2)/25)*DG168+(1-EXP(-LN(2)/25))/(LN(2)/25)*Calculateur!DB169*Calculateur!DD169*VLOOKUP('Données projet'!$B$13,Paramètres!$A$1:$I$89,3,0)*0.475*44/12</f>
        <v>22.188967364870884</v>
      </c>
      <c r="DH169" s="21">
        <f>EXP(-LN(2)/2)*DH168+(1-EXP(-LN(2)/2))/(LN(2)/2)*DB169*DE169*VLOOKUP('Données projet'!$B$13,Paramètres!$A$1:$I$89,3,0)*0.475*44/12</f>
        <v>1.3676127691007121E-4</v>
      </c>
      <c r="DI169" s="22">
        <f t="shared" si="175"/>
        <v>54.614972361157612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69.219829733928762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7.6783333333333319</v>
      </c>
      <c r="DO169" s="12">
        <f>IF('Données projet'!$A$166&gt;35,DO168+DN169-DW168,IF(A169&lt;'Données projet'!$A$166,$DL$205^A169,IF(A169='Données projet'!$A$166,'Données projet'!$B$166,DO168+DN169-DW168)))</f>
        <v>420.29333333333301</v>
      </c>
      <c r="DP169" s="17">
        <f>DO169*VLOOKUP('Données projet'!$B$14,Paramètres!$A$1:$I$89,3,0)*VLOOKUP('Données projet'!$B$14,Paramètres!$A$1:$I$89,5,0)</f>
        <v>406.50771199999974</v>
      </c>
      <c r="DQ169" s="13">
        <f t="shared" si="176"/>
        <v>93.094762212339802</v>
      </c>
      <c r="DR169" s="20">
        <f t="shared" si="177"/>
        <v>870.14097591982454</v>
      </c>
      <c r="DS169" s="59">
        <f t="shared" si="125"/>
        <v>1160.61368494423</v>
      </c>
      <c r="DT169" s="59">
        <f ca="1">AVERAGE(OFFSET($DS$3,0,0,'Données projet'!$E$14+1,1))-AVERAGE(OFFSET($H$3,0,0,'Données projet'!$E$14+1,1))</f>
        <v>537.37164071064103</v>
      </c>
      <c r="DU169" s="59">
        <f t="shared" si="152"/>
        <v>263.29777321132235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20.859593599962256</v>
      </c>
      <c r="EB169" s="21">
        <f>EXP(-LN(2)/25)*EB168+(1-EXP(-LN(2)/25))/(LN(2)/25)*Calculateur!DW169*Calculateur!DY169*VLOOKUP('Données projet'!$B$14,Paramètres!$A$1:$I$89,3,0)*0.475*44/12</f>
        <v>17.359588587949247</v>
      </c>
      <c r="EC169" s="21">
        <f>EXP(-LN(2)/2)*EC168+(1-EXP(-LN(2)/2))/(LN(2)/2)*DW169*DZ169*VLOOKUP('Données projet'!$B$14,Paramètres!$A$1:$I$89,3,0)*0.475*44/12</f>
        <v>0.47521563729821553</v>
      </c>
      <c r="ED169" s="22">
        <f t="shared" si="178"/>
        <v>38.694397825209712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69.219829733928762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69.219829733928762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69.219829733928762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69.219829733928762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45">
      <c r="A170" s="10">
        <f t="shared" si="161"/>
        <v>167</v>
      </c>
      <c r="B170" s="73">
        <f>'Scénario référence'!$B$16*5+'Scénario référence'!$B$17*0+'Scénario référence'!$B$18*5</f>
        <v>2.8499999999999996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10.449999999999998</v>
      </c>
      <c r="H170" s="67">
        <f t="shared" si="110"/>
        <v>214.86666666666667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69.233363943845674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3.979039320256561E-13</v>
      </c>
      <c r="O170" s="13">
        <f>N170*VLOOKUP('Données projet'!$B$9,Paramètres!$A$1:$I$89,3,0)*VLOOKUP('Données projet'!$B$9,Paramètres!$A$1:$I$89,5,0)</f>
        <v>3.6002347769681362E-13</v>
      </c>
      <c r="P170" s="13">
        <f t="shared" si="141"/>
        <v>4.6593569189922594E-12</v>
      </c>
      <c r="Q170" s="20">
        <f t="shared" si="162"/>
        <v>8.7420875242334695E-12</v>
      </c>
      <c r="R170" s="59">
        <f t="shared" si="109"/>
        <v>290.52233446077622</v>
      </c>
      <c r="S170" s="59">
        <f ca="1">AVERAGE(OFFSET($R$3,0,0,'Données projet'!$E$9+1,1))-AVERAGE(OFFSET($H$3,0,0,'Données projet'!$E$9+1,1))</f>
        <v>719.20816951277925</v>
      </c>
      <c r="T170" s="59">
        <f t="shared" si="142"/>
        <v>237.1127421841087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148.73795022399554</v>
      </c>
      <c r="AA170" s="21">
        <f>EXP(-LN(2)/25)*AA169+(1-EXP(-LN(2)/25))/(LN(2)/25)*Calculateur!V170*Calculateur!X170*VLOOKUP('Données projet'!$B$9,Paramètres!$A$1:$I$89,3,0)*0.475*44/12</f>
        <v>24.364498908723885</v>
      </c>
      <c r="AB170" s="21">
        <f>EXP(-LN(2)/2)*AB169+(1-EXP(-LN(2)/2))/(LN(2)/2)*V170*Y170*VLOOKUP('Données projet'!$B$9,Paramètres!$A$1:$I$89,3,0)*0.475*44/12</f>
        <v>0.71139205656283544</v>
      </c>
      <c r="AC170" s="22">
        <f t="shared" si="163"/>
        <v>173.81384118928224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69.233363943845674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5.6843418860808015E-14</v>
      </c>
      <c r="AJ170" s="13">
        <f>AI170*VLOOKUP('Données projet'!$B$10,Paramètres!$A$1:$I$89,3,0)*VLOOKUP('Données projet'!$B$10,Paramètres!$A$1:$I$89,5,0)</f>
        <v>4.7884896048344674E-14</v>
      </c>
      <c r="AK170" s="13">
        <f t="shared" si="164"/>
        <v>7.8374629847779921E-13</v>
      </c>
      <c r="AL170" s="20">
        <f t="shared" si="165"/>
        <v>1.4484243304663672E-12</v>
      </c>
      <c r="AM170" s="59">
        <f t="shared" si="113"/>
        <v>290.52233446076889</v>
      </c>
      <c r="AN170" s="59">
        <f ca="1">AVERAGE(OFFSET($AM$3,0,0,'Données projet'!$E$10+1,1))-AVERAGE(OFFSET($H$3,0,0,'Données projet'!$E$10+1,1))</f>
        <v>442.79037205372367</v>
      </c>
      <c r="AO170" s="59">
        <f t="shared" si="144"/>
        <v>288.23553637727969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36.55289110170952</v>
      </c>
      <c r="AV170" s="21">
        <f>EXP(-LN(2)/25)*AV169+(1-EXP(-LN(2)/25))/(LN(2)/25)*Calculateur!AQ170*Calculateur!AS170*VLOOKUP('Données projet'!$B$10,Paramètres!$A$1:$I$89,3,0)*0.475*44/12</f>
        <v>5.156223281214583</v>
      </c>
      <c r="AW170" s="21">
        <f>EXP(-LN(2)/2)*AW169+(1-EXP(-LN(2)/2))/(LN(2)/2)*AQ170*AT170*VLOOKUP('Données projet'!$B$10,Paramètres!$A$1:$I$89,3,0)*0.475*44/12</f>
        <v>4.8883913749897801E-9</v>
      </c>
      <c r="AX170" s="21">
        <f t="shared" si="166"/>
        <v>41.709114387812491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69.233363943845674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7.6783333333333319</v>
      </c>
      <c r="BD170" s="12">
        <f>IF('Données projet'!$A$88&gt;35,BD169+BC170-BL169,IF(A170&lt;'Données projet'!$A$88,$BA$205^A170,IF(A170='Données projet'!$A$88,'Données projet'!$B$88,BD169+BC170-BL169)))</f>
        <v>427.97166666666635</v>
      </c>
      <c r="BE170" s="13">
        <f>BD170*VLOOKUP('Données projet'!$B$11,Paramètres!$A$1:$I$89,3,0)*VLOOKUP('Données projet'!$B$11,Paramètres!$A$1:$I$89,5,0)</f>
        <v>433.96326999999974</v>
      </c>
      <c r="BF170" s="13">
        <f t="shared" si="167"/>
        <v>98.629200306449263</v>
      </c>
      <c r="BG170" s="20">
        <f t="shared" si="168"/>
        <v>927.59855245039887</v>
      </c>
      <c r="BH170" s="59">
        <f t="shared" si="116"/>
        <v>1218.1208869111663</v>
      </c>
      <c r="BI170" s="59">
        <f ca="1">AVERAGE(OFFSET($BH$3,0,0,'Données projet'!$E$11+1,1))-AVERAGE(OFFSET($H$3,0,0,'Données projet'!$E$11+1,1))</f>
        <v>559.91818701710872</v>
      </c>
      <c r="BJ170" s="59">
        <f t="shared" si="146"/>
        <v>273.47272623465915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33.83587653000361</v>
      </c>
      <c r="BQ170" s="21">
        <f>EXP(-LN(2)/25)*BQ169+(1-EXP(-LN(2)/25))/(LN(2)/25)*Calculateur!BL170*Calculateur!BN170*VLOOKUP('Données projet'!$B$11,Paramètres!$A$1:$I$89,3,0)*0.475*44/12</f>
        <v>16.852047312581785</v>
      </c>
      <c r="BR170" s="21">
        <f>EXP(-LN(2)/2)*BR169+(1-EXP(-LN(2)/2))/(LN(2)/2)*BL170*BO170*VLOOKUP('Données projet'!$B$11,Paramètres!$A$1:$I$89,3,0)*0.475*44/12</f>
        <v>2.0392642153923579E-3</v>
      </c>
      <c r="BS170" s="22">
        <f t="shared" si="169"/>
        <v>50.689963106800782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69.233363943845674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-1.1368683772161603E-13</v>
      </c>
      <c r="BZ170" s="13">
        <f>BY170*VLOOKUP('Données projet'!$B$12,Paramètres!$A$1:$I$89,3,0)*VLOOKUP('Données projet'!$B$12,Paramètres!$A$1:$I$89,5,0)</f>
        <v>-8.8675733422860506E-14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208.92677786250815</v>
      </c>
      <c r="CE170" s="59">
        <f t="shared" si="148"/>
        <v>207.54290142772214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3.957724217843861</v>
      </c>
      <c r="CL170" s="21">
        <f>EXP(-LN(2)/25)*CL169+(1-EXP(-LN(2)/25))/(LN(2)/25)*Calculateur!CG170*Calculateur!CI170*VLOOKUP('Données projet'!$B$12,Paramètres!$A$1:$I$89,3,0)*0.475*44/12</f>
        <v>1.7928305705108563</v>
      </c>
      <c r="CM170" s="21">
        <f>EXP(-LN(2)/2)*CM169+(1-EXP(-LN(2)/2))/(LN(2)/2)*CG170*CJ170*VLOOKUP('Données projet'!$B$12,Paramètres!$A$1:$I$89,3,0)*0.475*44/12</f>
        <v>6.9182291409333145E-14</v>
      </c>
      <c r="CN170" s="22">
        <f t="shared" si="172"/>
        <v>5.750554788354787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69.233363943845674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2.5579538487363607E-13</v>
      </c>
      <c r="CU170" s="17">
        <f>CT170*VLOOKUP('Données projet'!$B$13,Paramètres!$A$1:$I$89,3,0)*VLOOKUP('Données projet'!$B$13,Paramètres!$A$1:$I$89,5,0)</f>
        <v>2.4341488824575211E-13</v>
      </c>
      <c r="CV170" s="13">
        <f t="shared" si="173"/>
        <v>3.2970717324875541E-12</v>
      </c>
      <c r="CW170" s="20">
        <f t="shared" si="174"/>
        <v>6.1663475311105072E-12</v>
      </c>
      <c r="CX170" s="59">
        <f t="shared" si="122"/>
        <v>290.52233446077361</v>
      </c>
      <c r="CY170" s="59">
        <f ca="1">AVERAGE(OFFSET($CX$3,0,0,'Données projet'!$E$13+1,1))-AVERAGE(OFFSET($H$3,0,0,'Données projet'!$E$13+1,1))</f>
        <v>470.42022791389275</v>
      </c>
      <c r="CZ170" s="59">
        <f t="shared" si="150"/>
        <v>300.26117330627346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31.790016736747997</v>
      </c>
      <c r="DG170" s="21">
        <f>EXP(-LN(2)/25)*DG169+(1-EXP(-LN(2)/25))/(LN(2)/25)*Calculateur!DB170*Calculateur!DD170*VLOOKUP('Données projet'!$B$13,Paramètres!$A$1:$I$89,3,0)*0.475*44/12</f>
        <v>21.582208885411408</v>
      </c>
      <c r="DH170" s="21">
        <f>EXP(-LN(2)/2)*DH169+(1-EXP(-LN(2)/2))/(LN(2)/2)*DB170*DE170*VLOOKUP('Données projet'!$B$13,Paramètres!$A$1:$I$89,3,0)*0.475*44/12</f>
        <v>9.6704826306842558E-5</v>
      </c>
      <c r="DI170" s="22">
        <f t="shared" si="175"/>
        <v>53.37232232698571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69.233363943845674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7.6783333333333319</v>
      </c>
      <c r="DO170" s="12">
        <f>IF('Données projet'!$A$166&gt;35,DO169+DN170-DW169,IF(A170&lt;'Données projet'!$A$166,$DL$205^A170,IF(A170='Données projet'!$A$166,'Données projet'!$B$166,DO169+DN170-DW169)))</f>
        <v>427.97166666666635</v>
      </c>
      <c r="DP170" s="17">
        <f>DO170*VLOOKUP('Données projet'!$B$14,Paramètres!$A$1:$I$89,3,0)*VLOOKUP('Données projet'!$B$14,Paramètres!$A$1:$I$89,5,0)</f>
        <v>413.9341959999997</v>
      </c>
      <c r="DQ170" s="13">
        <f t="shared" si="176"/>
        <v>94.595955161317576</v>
      </c>
      <c r="DR170" s="20">
        <f t="shared" si="177"/>
        <v>885.69001327262743</v>
      </c>
      <c r="DS170" s="59">
        <f t="shared" si="125"/>
        <v>1176.2123477333948</v>
      </c>
      <c r="DT170" s="59">
        <f ca="1">AVERAGE(OFFSET($DS$3,0,0,'Données projet'!$E$14+1,1))-AVERAGE(OFFSET($H$3,0,0,'Données projet'!$E$14+1,1))</f>
        <v>537.37164071064103</v>
      </c>
      <c r="DU170" s="59">
        <f t="shared" si="152"/>
        <v>263.29777321132235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20.450549692562792</v>
      </c>
      <c r="EB170" s="21">
        <f>EXP(-LN(2)/25)*EB169+(1-EXP(-LN(2)/25))/(LN(2)/25)*Calculateur!DW170*Calculateur!DY170*VLOOKUP('Données projet'!$B$14,Paramètres!$A$1:$I$89,3,0)*0.475*44/12</f>
        <v>16.884889725110686</v>
      </c>
      <c r="EC170" s="21">
        <f>EXP(-LN(2)/2)*EC169+(1-EXP(-LN(2)/2))/(LN(2)/2)*DW170*DZ170*VLOOKUP('Données projet'!$B$14,Paramètres!$A$1:$I$89,3,0)*0.475*44/12</f>
        <v>0.33602819965945502</v>
      </c>
      <c r="ED170" s="22">
        <f t="shared" si="178"/>
        <v>37.671467617332929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69.233363943845674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69.233363943845674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69.233363943845674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69.233363943845674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45">
      <c r="A171" s="10">
        <f t="shared" si="161"/>
        <v>168</v>
      </c>
      <c r="B171" s="73">
        <f>'Scénario référence'!$B$16*5+'Scénario référence'!$B$17*0+'Scénario référence'!$B$18*5</f>
        <v>2.8499999999999996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10.449999999999998</v>
      </c>
      <c r="H171" s="67">
        <f t="shared" si="110"/>
        <v>214.86666666666667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69.246663365478497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3.979039320256561E-13</v>
      </c>
      <c r="O171" s="13">
        <f>N171*VLOOKUP('Données projet'!$B$9,Paramètres!$A$1:$I$89,3,0)*VLOOKUP('Données projet'!$B$9,Paramètres!$A$1:$I$89,5,0)</f>
        <v>3.6002347769681362E-13</v>
      </c>
      <c r="P171" s="13">
        <f t="shared" si="141"/>
        <v>4.6593569189922594E-12</v>
      </c>
      <c r="Q171" s="20">
        <f t="shared" si="162"/>
        <v>8.7420875242334695E-12</v>
      </c>
      <c r="R171" s="59">
        <f t="shared" si="109"/>
        <v>290.57109900676323</v>
      </c>
      <c r="S171" s="59">
        <f ca="1">AVERAGE(OFFSET($R$3,0,0,'Données projet'!$E$9+1,1))-AVERAGE(OFFSET($H$3,0,0,'Données projet'!$E$9+1,1))</f>
        <v>719.20816951277925</v>
      </c>
      <c r="T171" s="59">
        <f t="shared" si="142"/>
        <v>237.1127421841087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145.82128974129466</v>
      </c>
      <c r="AA171" s="21">
        <f>EXP(-LN(2)/25)*AA170+(1-EXP(-LN(2)/25))/(LN(2)/25)*Calculateur!V171*Calculateur!X171*VLOOKUP('Données projet'!$B$9,Paramètres!$A$1:$I$89,3,0)*0.475*44/12</f>
        <v>23.698250404791519</v>
      </c>
      <c r="AB171" s="21">
        <f>EXP(-LN(2)/2)*AB170+(1-EXP(-LN(2)/2))/(LN(2)/2)*V171*Y171*VLOOKUP('Données projet'!$B$9,Paramètres!$A$1:$I$89,3,0)*0.475*44/12</f>
        <v>0.50303014727782491</v>
      </c>
      <c r="AC171" s="22">
        <f t="shared" si="163"/>
        <v>170.022570293364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69.246663365478497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5.6843418860808015E-14</v>
      </c>
      <c r="AJ171" s="13">
        <f>AI171*VLOOKUP('Données projet'!$B$10,Paramètres!$A$1:$I$89,3,0)*VLOOKUP('Données projet'!$B$10,Paramètres!$A$1:$I$89,5,0)</f>
        <v>4.7884896048344674E-14</v>
      </c>
      <c r="AK171" s="13">
        <f t="shared" si="164"/>
        <v>7.8374629847779921E-13</v>
      </c>
      <c r="AL171" s="20">
        <f t="shared" si="165"/>
        <v>1.4484243304663672E-12</v>
      </c>
      <c r="AM171" s="59">
        <f t="shared" si="113"/>
        <v>290.5710990067559</v>
      </c>
      <c r="AN171" s="59">
        <f ca="1">AVERAGE(OFFSET($AM$3,0,0,'Données projet'!$E$10+1,1))-AVERAGE(OFFSET($H$3,0,0,'Données projet'!$E$10+1,1))</f>
        <v>442.79037205372367</v>
      </c>
      <c r="AO171" s="59">
        <f t="shared" si="144"/>
        <v>288.23553637727969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35.836111202267112</v>
      </c>
      <c r="AV171" s="21">
        <f>EXP(-LN(2)/25)*AV170+(1-EXP(-LN(2)/25))/(LN(2)/25)*Calculateur!AQ171*Calculateur!AS171*VLOOKUP('Données projet'!$B$10,Paramètres!$A$1:$I$89,3,0)*0.475*44/12</f>
        <v>5.0152260844357723</v>
      </c>
      <c r="AW171" s="21">
        <f>EXP(-LN(2)/2)*AW170+(1-EXP(-LN(2)/2))/(LN(2)/2)*AQ171*AT171*VLOOKUP('Données projet'!$B$10,Paramètres!$A$1:$I$89,3,0)*0.475*44/12</f>
        <v>3.4566146903491047E-9</v>
      </c>
      <c r="AX171" s="21">
        <f t="shared" si="166"/>
        <v>40.851337290159499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69.246663365478497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>
        <f>VLOOKUP(A171,'Données projet'!$A$87:$I$107,2,0)</f>
        <v>435.65</v>
      </c>
      <c r="BB171" s="12">
        <f>VLOOKUP(A171,'Données projet'!$A$87:$I$107,9,0)</f>
        <v>7.6783333333333319</v>
      </c>
      <c r="BC171" s="12">
        <f t="array" ref="BC171">INDEX(BB:BB,MIN(IF(ISNUMBER(BB171:BB367),ROW(BB171:BB367),"")))</f>
        <v>7.6783333333333319</v>
      </c>
      <c r="BD171" s="12">
        <f>IF('Données projet'!$A$88&gt;35,BD170+BC171-BL170,IF(A171&lt;'Données projet'!$A$88,$BA$205^A171,IF(A171='Données projet'!$A$88,'Données projet'!$B$88,BD170+BC171-BL170)))</f>
        <v>435.64999999999969</v>
      </c>
      <c r="BE171" s="13">
        <f>BD171*VLOOKUP('Données projet'!$B$11,Paramètres!$A$1:$I$89,3,0)*VLOOKUP('Données projet'!$B$11,Paramètres!$A$1:$I$89,5,0)</f>
        <v>441.74909999999966</v>
      </c>
      <c r="BF171" s="13">
        <f t="shared" si="167"/>
        <v>100.19113347385638</v>
      </c>
      <c r="BG171" s="20">
        <f t="shared" si="168"/>
        <v>943.879239966966</v>
      </c>
      <c r="BH171" s="59">
        <f t="shared" si="116"/>
        <v>1234.4503389737206</v>
      </c>
      <c r="BI171" s="59">
        <f ca="1">AVERAGE(OFFSET($BH$3,0,0,'Données projet'!$E$11+1,1))-AVERAGE(OFFSET($H$3,0,0,'Données projet'!$E$11+1,1))</f>
        <v>559.91818701710872</v>
      </c>
      <c r="BJ171" s="59">
        <f t="shared" si="146"/>
        <v>273.47272623465915</v>
      </c>
      <c r="BK171" s="15">
        <f>IF(ISNA(VLOOKUP(A171,'Données projet'!$A$87:$I$107,3,0)),0,VLOOKUP(A171,'Données projet'!$A$87:$I$107,3,0))</f>
        <v>12</v>
      </c>
      <c r="BL171" s="15">
        <f>IF(ISNA(VLOOKUP(A171,'Données projet'!$A$87:$I$107,4,0)),0,VLOOKUP(A171,'Données projet'!$A$87:$I$107,4,0))</f>
        <v>71.37</v>
      </c>
      <c r="BM171" s="16">
        <f>IF(ISNA(VLOOKUP(A171,'Données projet'!$A$87:$I$107,5,0)),0%,VLOOKUP(A171,'Données projet'!$A$87:$I$107,5,0)*VLOOKUP('Données projet'!$B$11,Paramètres!$A$1:$I$89,7,0))</f>
        <v>0.215</v>
      </c>
      <c r="BN171" s="16">
        <f>IF(ISNA(VLOOKUP(A171,'Données projet'!$A$87:$I$107,6,0)),0%,VLOOKUP(A171,'Données projet'!$A$87:$I$107,6,0)*VLOOKUP('Données projet'!$B$11,Paramètres!$A$1:$I$89,7,0))</f>
        <v>8.6000000000000007E-2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50.372802378531105</v>
      </c>
      <c r="BQ171" s="21">
        <f>EXP(-LN(2)/25)*BQ170+(1-EXP(-LN(2)/25))/(LN(2)/25)*Calculateur!BL171*Calculateur!BN171*VLOOKUP('Données projet'!$B$11,Paramètres!$A$1:$I$89,3,0)*0.475*44/12</f>
        <v>23.244308038786613</v>
      </c>
      <c r="BR171" s="21">
        <f>EXP(-LN(2)/2)*BR170+(1-EXP(-LN(2)/2))/(LN(2)/2)*BL171*BO171*VLOOKUP('Données projet'!$B$11,Paramètres!$A$1:$I$89,3,0)*0.475*44/12</f>
        <v>1.4419775553350005E-3</v>
      </c>
      <c r="BS171" s="22">
        <f t="shared" si="169"/>
        <v>73.618552394873049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69.246663365478497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-1.1368683772161603E-13</v>
      </c>
      <c r="BZ171" s="13">
        <f>BY171*VLOOKUP('Données projet'!$B$12,Paramètres!$A$1:$I$89,3,0)*VLOOKUP('Données projet'!$B$12,Paramètres!$A$1:$I$89,5,0)</f>
        <v>-8.8675733422860506E-14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208.92677786250815</v>
      </c>
      <c r="CE171" s="59">
        <f t="shared" si="148"/>
        <v>207.54290142772214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3.8801156599053557</v>
      </c>
      <c r="CL171" s="21">
        <f>EXP(-LN(2)/25)*CL170+(1-EXP(-LN(2)/25))/(LN(2)/25)*Calculateur!CG171*Calculateur!CI171*VLOOKUP('Données projet'!$B$12,Paramètres!$A$1:$I$89,3,0)*0.475*44/12</f>
        <v>1.7438055242793749</v>
      </c>
      <c r="CM171" s="21">
        <f>EXP(-LN(2)/2)*CM170+(1-EXP(-LN(2)/2))/(LN(2)/2)*CG171*CJ171*VLOOKUP('Données projet'!$B$12,Paramètres!$A$1:$I$89,3,0)*0.475*44/12</f>
        <v>4.89192673935633E-14</v>
      </c>
      <c r="CN171" s="22">
        <f t="shared" si="172"/>
        <v>5.6239211841847796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69.246663365478497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2.5579538487363607E-13</v>
      </c>
      <c r="CU171" s="17">
        <f>CT171*VLOOKUP('Données projet'!$B$13,Paramètres!$A$1:$I$89,3,0)*VLOOKUP('Données projet'!$B$13,Paramètres!$A$1:$I$89,5,0)</f>
        <v>2.4341488824575211E-13</v>
      </c>
      <c r="CV171" s="13">
        <f t="shared" si="173"/>
        <v>3.2970717324875541E-12</v>
      </c>
      <c r="CW171" s="20">
        <f t="shared" si="174"/>
        <v>6.1663475311105072E-12</v>
      </c>
      <c r="CX171" s="59">
        <f t="shared" si="122"/>
        <v>290.57109900676062</v>
      </c>
      <c r="CY171" s="59">
        <f ca="1">AVERAGE(OFFSET($CX$3,0,0,'Données projet'!$E$13+1,1))-AVERAGE(OFFSET($H$3,0,0,'Données projet'!$E$13+1,1))</f>
        <v>470.42022791389275</v>
      </c>
      <c r="CZ171" s="59">
        <f t="shared" si="150"/>
        <v>300.26117330627346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31.166633898535977</v>
      </c>
      <c r="DG171" s="21">
        <f>EXP(-LN(2)/25)*DG170+(1-EXP(-LN(2)/25))/(LN(2)/25)*Calculateur!DB171*Calculateur!DD171*VLOOKUP('Données projet'!$B$13,Paramètres!$A$1:$I$89,3,0)*0.475*44/12</f>
        <v>20.992042248480793</v>
      </c>
      <c r="DH171" s="21">
        <f>EXP(-LN(2)/2)*DH170+(1-EXP(-LN(2)/2))/(LN(2)/2)*DB171*DE171*VLOOKUP('Données projet'!$B$13,Paramètres!$A$1:$I$89,3,0)*0.475*44/12</f>
        <v>6.8380638455035604E-5</v>
      </c>
      <c r="DI171" s="22">
        <f t="shared" si="175"/>
        <v>52.158744527655223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69.246663365478497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>
        <f>VLOOKUP(A171,'Données projet'!$A$165:$I$185,2,0)</f>
        <v>435.65</v>
      </c>
      <c r="DM171" s="12">
        <f>VLOOKUP(A171,'Données projet'!$A$165:$I$185,9,0)</f>
        <v>7.6783333333333319</v>
      </c>
      <c r="DN171" s="12">
        <f t="array" ref="DN171">INDEX(DM:DM,MIN(IF(ISNUMBER(DM171:DM367),ROW(DM171:DM367),"")))</f>
        <v>7.6783333333333319</v>
      </c>
      <c r="DO171" s="12">
        <f>IF('Données projet'!$A$166&gt;35,DO170+DN171-DW170,IF(A171&lt;'Données projet'!$A$166,$DL$205^A171,IF(A171='Données projet'!$A$166,'Données projet'!$B$166,DO170+DN171-DW170)))</f>
        <v>435.64999999999969</v>
      </c>
      <c r="DP171" s="17">
        <f>DO171*VLOOKUP('Données projet'!$B$14,Paramètres!$A$1:$I$89,3,0)*VLOOKUP('Données projet'!$B$14,Paramètres!$A$1:$I$89,5,0)</f>
        <v>421.36067999999966</v>
      </c>
      <c r="DQ171" s="13">
        <f t="shared" si="176"/>
        <v>96.094016175803517</v>
      </c>
      <c r="DR171" s="20">
        <f t="shared" si="177"/>
        <v>901.23359583952379</v>
      </c>
      <c r="DS171" s="59">
        <f t="shared" si="125"/>
        <v>1191.8046948462784</v>
      </c>
      <c r="DT171" s="59">
        <f ca="1">AVERAGE(OFFSET($DS$3,0,0,'Données projet'!$E$14+1,1))-AVERAGE(OFFSET($H$3,0,0,'Données projet'!$E$14+1,1))</f>
        <v>537.37164071064103</v>
      </c>
      <c r="DU171" s="59">
        <f t="shared" si="152"/>
        <v>263.29777321132235</v>
      </c>
      <c r="DV171" s="15">
        <f>IF(ISNA(VLOOKUP(A171,'Données projet'!$A$165:$I$185,3,0)),0,VLOOKUP(A171,'Données projet'!$A$165:$I$185,3,0))</f>
        <v>12</v>
      </c>
      <c r="DW171" s="15">
        <f>IF(ISNA(VLOOKUP(A171,'Données projet'!$A$165:$I$185,4,0)),0,VLOOKUP(A171,'Données projet'!$A$165:$I$185,4,0))</f>
        <v>71.37</v>
      </c>
      <c r="DX171" s="16">
        <f>IF(ISNA(VLOOKUP(A171,'Données projet'!$A$165:$I$185,5,0)),0%,VLOOKUP(A171,'Données projet'!$A$165:$I$185,5,0)*VLOOKUP('Données projet'!$B$14,Paramètres!$A$1:$I$89,7,0))</f>
        <v>0.1075</v>
      </c>
      <c r="DY171" s="16">
        <f>IF(ISNA(VLOOKUP(A171,'Données projet'!$A$165:$I$185,6,0)),0%,VLOOKUP(A171,'Données projet'!$A$165:$I$185,6,0)*VLOOKUP('Données projet'!$B$14,Paramètres!$A$1:$I$89,7,0))</f>
        <v>0.1075</v>
      </c>
      <c r="DZ171" s="16">
        <f>IF(ISNA(VLOOKUP(A171,'Données projet'!$A$165:$I$185,7,0)),0%,VLOOKUP(A171,'Données projet'!$A$165:$I$185,7,0))</f>
        <v>0.25</v>
      </c>
      <c r="EA171" s="21">
        <f>EXP(-LN(2)/35)*EA170+(1-EXP(-LN(2)/35))/(LN(2)/35)*DW171*DX171*VLOOKUP('Données projet'!$B$14,Paramètres!$A$1:$I$89,3,0)*0.475*44/12</f>
        <v>28.252807336425349</v>
      </c>
      <c r="EB171" s="21">
        <f>EXP(-LN(2)/25)*EB170+(1-EXP(-LN(2)/25))/(LN(2)/25)*Calculateur!DW171*Calculateur!DY171*VLOOKUP('Données projet'!$B$14,Paramètres!$A$1:$I$89,3,0)*0.475*44/12</f>
        <v>24.59415253654435</v>
      </c>
      <c r="EC171" s="21">
        <f>EXP(-LN(2)/2)*EC170+(1-EXP(-LN(2)/2))/(LN(2)/2)*DW171*DZ171*VLOOKUP('Données projet'!$B$14,Paramètres!$A$1:$I$89,3,0)*0.475*44/12</f>
        <v>16.520302762153577</v>
      </c>
      <c r="ED171" s="22">
        <f t="shared" si="178"/>
        <v>69.367262635123268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69.246663365478497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69.246663365478497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69.246663365478497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69.246663365478497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45">
      <c r="A172" s="10">
        <f t="shared" si="161"/>
        <v>169</v>
      </c>
      <c r="B172" s="73">
        <f>'Scénario référence'!$B$16*5+'Scénario référence'!$B$17*0+'Scénario référence'!$B$18*5</f>
        <v>2.8499999999999996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10.449999999999998</v>
      </c>
      <c r="H172" s="67">
        <f t="shared" si="110"/>
        <v>214.86666666666667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69.259732071879057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3.979039320256561E-13</v>
      </c>
      <c r="O172" s="13">
        <f>N172*VLOOKUP('Données projet'!$B$9,Paramètres!$A$1:$I$89,3,0)*VLOOKUP('Données projet'!$B$9,Paramètres!$A$1:$I$89,5,0)</f>
        <v>3.6002347769681362E-13</v>
      </c>
      <c r="P172" s="13">
        <f t="shared" si="141"/>
        <v>4.6593569189922594E-12</v>
      </c>
      <c r="Q172" s="20">
        <f t="shared" si="162"/>
        <v>8.7420875242334695E-12</v>
      </c>
      <c r="R172" s="59">
        <f t="shared" si="109"/>
        <v>290.61901759689863</v>
      </c>
      <c r="S172" s="59">
        <f ca="1">AVERAGE(OFFSET($R$3,0,0,'Données projet'!$E$9+1,1))-AVERAGE(OFFSET($H$3,0,0,'Données projet'!$E$9+1,1))</f>
        <v>719.20816951277925</v>
      </c>
      <c r="T172" s="59">
        <f t="shared" si="142"/>
        <v>237.1127421841087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142.96182319167229</v>
      </c>
      <c r="AA172" s="21">
        <f>EXP(-LN(2)/25)*AA171+(1-EXP(-LN(2)/25))/(LN(2)/25)*Calculateur!V172*Calculateur!X172*VLOOKUP('Données projet'!$B$9,Paramètres!$A$1:$I$89,3,0)*0.475*44/12</f>
        <v>23.050220501235671</v>
      </c>
      <c r="AB172" s="21">
        <f>EXP(-LN(2)/2)*AB171+(1-EXP(-LN(2)/2))/(LN(2)/2)*V172*Y172*VLOOKUP('Données projet'!$B$9,Paramètres!$A$1:$I$89,3,0)*0.475*44/12</f>
        <v>0.35569602828141772</v>
      </c>
      <c r="AC172" s="22">
        <f t="shared" si="163"/>
        <v>166.36773972118939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69.259732071879057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5.6843418860808015E-14</v>
      </c>
      <c r="AJ172" s="13">
        <f>AI172*VLOOKUP('Données projet'!$B$10,Paramètres!$A$1:$I$89,3,0)*VLOOKUP('Données projet'!$B$10,Paramètres!$A$1:$I$89,5,0)</f>
        <v>4.7884896048344674E-14</v>
      </c>
      <c r="AK172" s="13">
        <f t="shared" si="164"/>
        <v>7.8374629847779921E-13</v>
      </c>
      <c r="AL172" s="20">
        <f t="shared" si="165"/>
        <v>1.4484243304663672E-12</v>
      </c>
      <c r="AM172" s="59">
        <f t="shared" si="113"/>
        <v>290.6190175968913</v>
      </c>
      <c r="AN172" s="59">
        <f ca="1">AVERAGE(OFFSET($AM$3,0,0,'Données projet'!$E$10+1,1))-AVERAGE(OFFSET($H$3,0,0,'Données projet'!$E$10+1,1))</f>
        <v>442.79037205372367</v>
      </c>
      <c r="AO172" s="59">
        <f t="shared" si="144"/>
        <v>288.23553637727969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35.1333869194602</v>
      </c>
      <c r="AV172" s="21">
        <f>EXP(-LN(2)/25)*AV171+(1-EXP(-LN(2)/25))/(LN(2)/25)*Calculateur!AQ172*Calculateur!AS172*VLOOKUP('Données projet'!$B$10,Paramètres!$A$1:$I$89,3,0)*0.475*44/12</f>
        <v>4.8780844634175988</v>
      </c>
      <c r="AW172" s="21">
        <f>EXP(-LN(2)/2)*AW171+(1-EXP(-LN(2)/2))/(LN(2)/2)*AQ172*AT172*VLOOKUP('Données projet'!$B$10,Paramètres!$A$1:$I$89,3,0)*0.475*44/12</f>
        <v>2.4441956874948901E-9</v>
      </c>
      <c r="AX172" s="21">
        <f t="shared" si="166"/>
        <v>40.011471385321997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69.259732071879057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7.688333333333337</v>
      </c>
      <c r="BD172" s="12">
        <f>IF('Données projet'!$A$88&gt;35,BD171+BC172-BL171,IF(A172&lt;'Données projet'!$A$88,$BA$205^A172,IF(A172='Données projet'!$A$88,'Données projet'!$B$88,BD171+BC172-BL171)))</f>
        <v>371.96833333333302</v>
      </c>
      <c r="BE172" s="13">
        <f>BD172*VLOOKUP('Données projet'!$B$11,Paramètres!$A$1:$I$89,3,0)*VLOOKUP('Données projet'!$B$11,Paramètres!$A$1:$I$89,5,0)</f>
        <v>377.1758899999997</v>
      </c>
      <c r="BF172" s="13">
        <f t="shared" si="167"/>
        <v>87.133724046486122</v>
      </c>
      <c r="BG172" s="20">
        <f t="shared" si="168"/>
        <v>808.6725777976294</v>
      </c>
      <c r="BH172" s="59">
        <f t="shared" si="116"/>
        <v>1099.2915953945194</v>
      </c>
      <c r="BI172" s="59">
        <f ca="1">AVERAGE(OFFSET($BH$3,0,0,'Données projet'!$E$11+1,1))-AVERAGE(OFFSET($H$3,0,0,'Données projet'!$E$11+1,1))</f>
        <v>559.91818701710872</v>
      </c>
      <c r="BJ172" s="59">
        <f t="shared" si="146"/>
        <v>273.47272623465915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49.385022448263783</v>
      </c>
      <c r="BQ172" s="21">
        <f>EXP(-LN(2)/25)*BQ171+(1-EXP(-LN(2)/25))/(LN(2)/25)*Calculateur!BL172*Calculateur!BN172*VLOOKUP('Données projet'!$B$11,Paramètres!$A$1:$I$89,3,0)*0.475*44/12</f>
        <v>22.608691213100958</v>
      </c>
      <c r="BR172" s="21">
        <f>EXP(-LN(2)/2)*BR171+(1-EXP(-LN(2)/2))/(LN(2)/2)*BL172*BO172*VLOOKUP('Données projet'!$B$11,Paramètres!$A$1:$I$89,3,0)*0.475*44/12</f>
        <v>1.0196321076961789E-3</v>
      </c>
      <c r="BS172" s="22">
        <f t="shared" si="169"/>
        <v>71.994733293472436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69.259732071879057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-1.1368683772161603E-13</v>
      </c>
      <c r="BZ172" s="13">
        <f>BY172*VLOOKUP('Données projet'!$B$12,Paramètres!$A$1:$I$89,3,0)*VLOOKUP('Données projet'!$B$12,Paramètres!$A$1:$I$89,5,0)</f>
        <v>-8.8675733422860506E-14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208.92677786250815</v>
      </c>
      <c r="CE172" s="59">
        <f t="shared" si="148"/>
        <v>207.54290142772214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3.8040289584514784</v>
      </c>
      <c r="CL172" s="21">
        <f>EXP(-LN(2)/25)*CL171+(1-EXP(-LN(2)/25))/(LN(2)/25)*Calculateur!CG172*Calculateur!CI172*VLOOKUP('Données projet'!$B$12,Paramètres!$A$1:$I$89,3,0)*0.475*44/12</f>
        <v>1.6961210705152083</v>
      </c>
      <c r="CM172" s="21">
        <f>EXP(-LN(2)/2)*CM171+(1-EXP(-LN(2)/2))/(LN(2)/2)*CG172*CJ172*VLOOKUP('Données projet'!$B$12,Paramètres!$A$1:$I$89,3,0)*0.475*44/12</f>
        <v>3.4591145704666573E-14</v>
      </c>
      <c r="CN172" s="22">
        <f t="shared" si="172"/>
        <v>5.5001500289667211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69.259732071879057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2.5579538487363607E-13</v>
      </c>
      <c r="CU172" s="17">
        <f>CT172*VLOOKUP('Données projet'!$B$13,Paramètres!$A$1:$I$89,3,0)*VLOOKUP('Données projet'!$B$13,Paramètres!$A$1:$I$89,5,0)</f>
        <v>2.4341488824575211E-13</v>
      </c>
      <c r="CV172" s="13">
        <f t="shared" si="173"/>
        <v>3.2970717324875541E-12</v>
      </c>
      <c r="CW172" s="20">
        <f t="shared" si="174"/>
        <v>6.1663475311105072E-12</v>
      </c>
      <c r="CX172" s="59">
        <f t="shared" si="122"/>
        <v>290.61901759689601</v>
      </c>
      <c r="CY172" s="59">
        <f ca="1">AVERAGE(OFFSET($CX$3,0,0,'Données projet'!$E$13+1,1))-AVERAGE(OFFSET($H$3,0,0,'Données projet'!$E$13+1,1))</f>
        <v>470.42022791389275</v>
      </c>
      <c r="CZ172" s="59">
        <f t="shared" si="150"/>
        <v>300.26117330627346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30.555475217555305</v>
      </c>
      <c r="DG172" s="21">
        <f>EXP(-LN(2)/25)*DG171+(1-EXP(-LN(2)/25))/(LN(2)/25)*Calculateur!DB172*Calculateur!DD172*VLOOKUP('Données projet'!$B$13,Paramètres!$A$1:$I$89,3,0)*0.475*44/12</f>
        <v>20.418013749272561</v>
      </c>
      <c r="DH172" s="21">
        <f>EXP(-LN(2)/2)*DH171+(1-EXP(-LN(2)/2))/(LN(2)/2)*DB172*DE172*VLOOKUP('Données projet'!$B$13,Paramètres!$A$1:$I$89,3,0)*0.475*44/12</f>
        <v>4.8352413153421279E-5</v>
      </c>
      <c r="DI172" s="22">
        <f t="shared" si="175"/>
        <v>50.973537319241018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69.259732071879057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7.688333333333337</v>
      </c>
      <c r="DO172" s="12">
        <f>IF('Données projet'!$A$166&gt;35,DO171+DN172-DW171,IF(A172&lt;'Données projet'!$A$166,$DL$205^A172,IF(A172='Données projet'!$A$166,'Données projet'!$B$166,DO171+DN172-DW171)))</f>
        <v>371.96833333333302</v>
      </c>
      <c r="DP172" s="17">
        <f>DO172*VLOOKUP('Données projet'!$B$14,Paramètres!$A$1:$I$89,3,0)*VLOOKUP('Données projet'!$B$14,Paramètres!$A$1:$I$89,5,0)</f>
        <v>359.76777199999975</v>
      </c>
      <c r="DQ172" s="13">
        <f t="shared" si="176"/>
        <v>83.570563558559556</v>
      </c>
      <c r="DR172" s="20">
        <f t="shared" si="177"/>
        <v>772.14760109782401</v>
      </c>
      <c r="DS172" s="59">
        <f t="shared" si="125"/>
        <v>1062.766618694714</v>
      </c>
      <c r="DT172" s="59">
        <f ca="1">AVERAGE(OFFSET($DS$3,0,0,'Données projet'!$E$14+1,1))-AVERAGE(OFFSET($H$3,0,0,'Données projet'!$E$14+1,1))</f>
        <v>537.37164071064103</v>
      </c>
      <c r="DU172" s="59">
        <f t="shared" si="152"/>
        <v>263.29777321132235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27.698787017068955</v>
      </c>
      <c r="EB172" s="21">
        <f>EXP(-LN(2)/25)*EB171+(1-EXP(-LN(2)/25))/(LN(2)/25)*Calculateur!DW172*Calculateur!DY172*VLOOKUP('Données projet'!$B$14,Paramètres!$A$1:$I$89,3,0)*0.475*44/12</f>
        <v>23.921624142082273</v>
      </c>
      <c r="EC172" s="21">
        <f>EXP(-LN(2)/2)*EC171+(1-EXP(-LN(2)/2))/(LN(2)/2)*DW172*DZ172*VLOOKUP('Données projet'!$B$14,Paramètres!$A$1:$I$89,3,0)*0.475*44/12</f>
        <v>11.681618110373647</v>
      </c>
      <c r="ED172" s="22">
        <f t="shared" si="178"/>
        <v>63.30202926952488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69.259732071879057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69.259732071879057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69.259732071879057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69.259732071879057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45">
      <c r="A173" s="10">
        <f t="shared" si="161"/>
        <v>170</v>
      </c>
      <c r="B173" s="73">
        <f>'Scénario référence'!$B$16*5+'Scénario référence'!$B$17*0+'Scénario référence'!$B$18*5</f>
        <v>2.8499999999999996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10.449999999999998</v>
      </c>
      <c r="H173" s="67">
        <f t="shared" si="110"/>
        <v>214.86666666666667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69.272574065440793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3.979039320256561E-13</v>
      </c>
      <c r="O173" s="13">
        <f>N173*VLOOKUP('Données projet'!$B$9,Paramètres!$A$1:$I$89,3,0)*VLOOKUP('Données projet'!$B$9,Paramètres!$A$1:$I$89,5,0)</f>
        <v>3.6002347769681362E-13</v>
      </c>
      <c r="P173" s="13">
        <f t="shared" si="141"/>
        <v>4.6593569189922594E-12</v>
      </c>
      <c r="Q173" s="20">
        <f t="shared" si="162"/>
        <v>8.7420875242334695E-12</v>
      </c>
      <c r="R173" s="59">
        <f t="shared" si="109"/>
        <v>290.66610490662498</v>
      </c>
      <c r="S173" s="59">
        <f ca="1">AVERAGE(OFFSET($R$3,0,0,'Données projet'!$E$9+1,1))-AVERAGE(OFFSET($H$3,0,0,'Données projet'!$E$9+1,1))</f>
        <v>719.20816951277925</v>
      </c>
      <c r="T173" s="59">
        <f t="shared" si="142"/>
        <v>237.1127421841087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140.15842903698564</v>
      </c>
      <c r="AA173" s="21">
        <f>EXP(-LN(2)/25)*AA172+(1-EXP(-LN(2)/25))/(LN(2)/25)*Calculateur!V173*Calculateur!X173*VLOOKUP('Données projet'!$B$9,Paramètres!$A$1:$I$89,3,0)*0.475*44/12</f>
        <v>22.419911009470969</v>
      </c>
      <c r="AB173" s="21">
        <f>EXP(-LN(2)/2)*AB172+(1-EXP(-LN(2)/2))/(LN(2)/2)*V173*Y173*VLOOKUP('Données projet'!$B$9,Paramètres!$A$1:$I$89,3,0)*0.475*44/12</f>
        <v>0.25151507363891246</v>
      </c>
      <c r="AC173" s="22">
        <f t="shared" si="163"/>
        <v>162.82985512009552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69.272574065440793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5.6843418860808015E-14</v>
      </c>
      <c r="AJ173" s="13">
        <f>AI173*VLOOKUP('Données projet'!$B$10,Paramètres!$A$1:$I$89,3,0)*VLOOKUP('Données projet'!$B$10,Paramètres!$A$1:$I$89,5,0)</f>
        <v>4.7884896048344674E-14</v>
      </c>
      <c r="AK173" s="13">
        <f t="shared" si="164"/>
        <v>7.8374629847779921E-13</v>
      </c>
      <c r="AL173" s="20">
        <f t="shared" si="165"/>
        <v>1.4484243304663672E-12</v>
      </c>
      <c r="AM173" s="59">
        <f t="shared" si="113"/>
        <v>290.66610490661765</v>
      </c>
      <c r="AN173" s="59">
        <f ca="1">AVERAGE(OFFSET($AM$3,0,0,'Données projet'!$E$10+1,1))-AVERAGE(OFFSET($H$3,0,0,'Données projet'!$E$10+1,1))</f>
        <v>442.79037205372367</v>
      </c>
      <c r="AO173" s="59">
        <f t="shared" si="144"/>
        <v>288.23553637727969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34.444442631219644</v>
      </c>
      <c r="AV173" s="21">
        <f>EXP(-LN(2)/25)*AV172+(1-EXP(-LN(2)/25))/(LN(2)/25)*Calculateur!AQ173*Calculateur!AS173*VLOOKUP('Données projet'!$B$10,Paramètres!$A$1:$I$89,3,0)*0.475*44/12</f>
        <v>4.7446929872381318</v>
      </c>
      <c r="AW173" s="21">
        <f>EXP(-LN(2)/2)*AW172+(1-EXP(-LN(2)/2))/(LN(2)/2)*AQ173*AT173*VLOOKUP('Données projet'!$B$10,Paramètres!$A$1:$I$89,3,0)*0.475*44/12</f>
        <v>1.7283073451745523E-9</v>
      </c>
      <c r="AX173" s="21">
        <f t="shared" si="166"/>
        <v>39.189135620186086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69.272574065440793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7.688333333333337</v>
      </c>
      <c r="BD173" s="12">
        <f>IF('Données projet'!$A$88&gt;35,BD172+BC173-BL172,IF(A173&lt;'Données projet'!$A$88,$BA$205^A173,IF(A173='Données projet'!$A$88,'Données projet'!$B$88,BD172+BC173-BL172)))</f>
        <v>379.65666666666635</v>
      </c>
      <c r="BE173" s="13">
        <f>BD173*VLOOKUP('Données projet'!$B$11,Paramètres!$A$1:$I$89,3,0)*VLOOKUP('Données projet'!$B$11,Paramètres!$A$1:$I$89,5,0)</f>
        <v>384.97185999999971</v>
      </c>
      <c r="BF173" s="13">
        <f t="shared" si="167"/>
        <v>88.723183476832745</v>
      </c>
      <c r="BG173" s="20">
        <f t="shared" si="168"/>
        <v>825.01886738881649</v>
      </c>
      <c r="BH173" s="59">
        <f t="shared" si="116"/>
        <v>1115.6849722954328</v>
      </c>
      <c r="BI173" s="59">
        <f ca="1">AVERAGE(OFFSET($BH$3,0,0,'Données projet'!$E$11+1,1))-AVERAGE(OFFSET($H$3,0,0,'Données projet'!$E$11+1,1))</f>
        <v>559.91818701710872</v>
      </c>
      <c r="BJ173" s="59">
        <f t="shared" si="146"/>
        <v>273.47272623465915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48.416612279942733</v>
      </c>
      <c r="BQ173" s="21">
        <f>EXP(-LN(2)/25)*BQ172+(1-EXP(-LN(2)/25))/(LN(2)/25)*Calculateur!BL173*Calculateur!BN173*VLOOKUP('Données projet'!$B$11,Paramètres!$A$1:$I$89,3,0)*0.475*44/12</f>
        <v>21.990455362939315</v>
      </c>
      <c r="BR173" s="21">
        <f>EXP(-LN(2)/2)*BR172+(1-EXP(-LN(2)/2))/(LN(2)/2)*BL173*BO173*VLOOKUP('Données projet'!$B$11,Paramètres!$A$1:$I$89,3,0)*0.475*44/12</f>
        <v>7.2098877766750026E-4</v>
      </c>
      <c r="BS173" s="22">
        <f t="shared" si="169"/>
        <v>70.407788631659727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69.272574065440793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-1.1368683772161603E-13</v>
      </c>
      <c r="BZ173" s="13">
        <f>BY173*VLOOKUP('Données projet'!$B$12,Paramètres!$A$1:$I$89,3,0)*VLOOKUP('Données projet'!$B$12,Paramètres!$A$1:$I$89,5,0)</f>
        <v>-8.8675733422860506E-14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208.92677786250815</v>
      </c>
      <c r="CE173" s="59">
        <f t="shared" si="148"/>
        <v>207.54290142772214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3.7294342708048061</v>
      </c>
      <c r="CL173" s="21">
        <f>EXP(-LN(2)/25)*CL172+(1-EXP(-LN(2)/25))/(LN(2)/25)*Calculateur!CG173*Calculateur!CI173*VLOOKUP('Données projet'!$B$12,Paramètres!$A$1:$I$89,3,0)*0.475*44/12</f>
        <v>1.6497405506468394</v>
      </c>
      <c r="CM173" s="21">
        <f>EXP(-LN(2)/2)*CM172+(1-EXP(-LN(2)/2))/(LN(2)/2)*CG173*CJ173*VLOOKUP('Données projet'!$B$12,Paramètres!$A$1:$I$89,3,0)*0.475*44/12</f>
        <v>2.445963369678165E-14</v>
      </c>
      <c r="CN173" s="22">
        <f t="shared" si="172"/>
        <v>5.3791748214516701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69.272574065440793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2.5579538487363607E-13</v>
      </c>
      <c r="CU173" s="17">
        <f>CT173*VLOOKUP('Données projet'!$B$13,Paramètres!$A$1:$I$89,3,0)*VLOOKUP('Données projet'!$B$13,Paramètres!$A$1:$I$89,5,0)</f>
        <v>2.4341488824575211E-13</v>
      </c>
      <c r="CV173" s="13">
        <f t="shared" si="173"/>
        <v>3.2970717324875541E-12</v>
      </c>
      <c r="CW173" s="20">
        <f t="shared" si="174"/>
        <v>6.1663475311105072E-12</v>
      </c>
      <c r="CX173" s="59">
        <f t="shared" si="122"/>
        <v>290.66610490662237</v>
      </c>
      <c r="CY173" s="59">
        <f ca="1">AVERAGE(OFFSET($CX$3,0,0,'Données projet'!$E$13+1,1))-AVERAGE(OFFSET($H$3,0,0,'Données projet'!$E$13+1,1))</f>
        <v>470.42022791389275</v>
      </c>
      <c r="CZ173" s="59">
        <f t="shared" si="150"/>
        <v>300.26117330627346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29.956300985538679</v>
      </c>
      <c r="DG173" s="21">
        <f>EXP(-LN(2)/25)*DG172+(1-EXP(-LN(2)/25))/(LN(2)/25)*Calculateur!DB173*Calculateur!DD173*VLOOKUP('Données projet'!$B$13,Paramètres!$A$1:$I$89,3,0)*0.475*44/12</f>
        <v>19.859682089562025</v>
      </c>
      <c r="DH173" s="21">
        <f>EXP(-LN(2)/2)*DH172+(1-EXP(-LN(2)/2))/(LN(2)/2)*DB173*DE173*VLOOKUP('Données projet'!$B$13,Paramètres!$A$1:$I$89,3,0)*0.475*44/12</f>
        <v>3.4190319227517802E-5</v>
      </c>
      <c r="DI173" s="22">
        <f t="shared" si="175"/>
        <v>49.81601726541993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69.272574065440793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7.688333333333337</v>
      </c>
      <c r="DO173" s="12">
        <f>IF('Données projet'!$A$166&gt;35,DO172+DN173-DW172,IF(A173&lt;'Données projet'!$A$166,$DL$205^A173,IF(A173='Données projet'!$A$166,'Données projet'!$B$166,DO172+DN173-DW172)))</f>
        <v>379.65666666666635</v>
      </c>
      <c r="DP173" s="17">
        <f>DO173*VLOOKUP('Données projet'!$B$14,Paramètres!$A$1:$I$89,3,0)*VLOOKUP('Données projet'!$B$14,Paramètres!$A$1:$I$89,5,0)</f>
        <v>367.20392799999973</v>
      </c>
      <c r="DQ173" s="13">
        <f t="shared" si="176"/>
        <v>85.095025204163747</v>
      </c>
      <c r="DR173" s="20">
        <f t="shared" si="177"/>
        <v>787.754010163918</v>
      </c>
      <c r="DS173" s="59">
        <f t="shared" si="125"/>
        <v>1078.4201150705342</v>
      </c>
      <c r="DT173" s="59">
        <f ca="1">AVERAGE(OFFSET($DS$3,0,0,'Données projet'!$E$14+1,1))-AVERAGE(OFFSET($H$3,0,0,'Données projet'!$E$14+1,1))</f>
        <v>537.37164071064103</v>
      </c>
      <c r="DU173" s="59">
        <f t="shared" si="152"/>
        <v>263.29777321132235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27.155630698256111</v>
      </c>
      <c r="EB173" s="21">
        <f>EXP(-LN(2)/25)*EB172+(1-EXP(-LN(2)/25))/(LN(2)/25)*Calculateur!DW173*Calculateur!DY173*VLOOKUP('Données projet'!$B$14,Paramètres!$A$1:$I$89,3,0)*0.475*44/12</f>
        <v>23.267486071933494</v>
      </c>
      <c r="EC173" s="21">
        <f>EXP(-LN(2)/2)*EC172+(1-EXP(-LN(2)/2))/(LN(2)/2)*DW173*DZ173*VLOOKUP('Données projet'!$B$14,Paramètres!$A$1:$I$89,3,0)*0.475*44/12</f>
        <v>8.2601513810767901</v>
      </c>
      <c r="ED173" s="22">
        <f t="shared" si="178"/>
        <v>58.683268151266397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69.272574065440793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69.272574065440793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69.272574065440793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69.272574065440793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45">
      <c r="A174" s="10">
        <f t="shared" si="161"/>
        <v>171</v>
      </c>
      <c r="B174" s="73">
        <f>'Scénario référence'!$B$16*5+'Scénario référence'!$B$17*0+'Scénario référence'!$B$18*5</f>
        <v>2.8499999999999996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10.449999999999998</v>
      </c>
      <c r="H174" s="67">
        <f t="shared" si="110"/>
        <v>214.86666666666667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69.285193279124641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3.979039320256561E-13</v>
      </c>
      <c r="O174" s="13">
        <f>N174*VLOOKUP('Données projet'!$B$9,Paramètres!$A$1:$I$89,3,0)*VLOOKUP('Données projet'!$B$9,Paramètres!$A$1:$I$89,5,0)</f>
        <v>3.6002347769681362E-13</v>
      </c>
      <c r="P174" s="13">
        <f t="shared" si="141"/>
        <v>4.6593569189922594E-12</v>
      </c>
      <c r="Q174" s="20">
        <f t="shared" si="162"/>
        <v>8.7420875242334695E-12</v>
      </c>
      <c r="R174" s="59">
        <f t="shared" si="109"/>
        <v>290.7123753567991</v>
      </c>
      <c r="S174" s="59">
        <f ca="1">AVERAGE(OFFSET($R$3,0,0,'Données projet'!$E$9+1,1))-AVERAGE(OFFSET($H$3,0,0,'Données projet'!$E$9+1,1))</f>
        <v>719.20816951277925</v>
      </c>
      <c r="T174" s="59">
        <f t="shared" si="142"/>
        <v>237.1127421841087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137.4100077317708</v>
      </c>
      <c r="AA174" s="21">
        <f>EXP(-LN(2)/25)*AA173+(1-EXP(-LN(2)/25))/(LN(2)/25)*Calculateur!V174*Calculateur!X174*VLOOKUP('Données projet'!$B$9,Paramètres!$A$1:$I$89,3,0)*0.475*44/12</f>
        <v>21.806837363905107</v>
      </c>
      <c r="AB174" s="21">
        <f>EXP(-LN(2)/2)*AB173+(1-EXP(-LN(2)/2))/(LN(2)/2)*V174*Y174*VLOOKUP('Données projet'!$B$9,Paramètres!$A$1:$I$89,3,0)*0.475*44/12</f>
        <v>0.17784801414070886</v>
      </c>
      <c r="AC174" s="22">
        <f t="shared" si="163"/>
        <v>159.39469310981664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69.285193279124641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5.6843418860808015E-14</v>
      </c>
      <c r="AJ174" s="13">
        <f>AI174*VLOOKUP('Données projet'!$B$10,Paramètres!$A$1:$I$89,3,0)*VLOOKUP('Données projet'!$B$10,Paramètres!$A$1:$I$89,5,0)</f>
        <v>4.7884896048344674E-14</v>
      </c>
      <c r="AK174" s="13">
        <f t="shared" si="164"/>
        <v>7.8374629847779921E-13</v>
      </c>
      <c r="AL174" s="20">
        <f t="shared" si="165"/>
        <v>1.4484243304663672E-12</v>
      </c>
      <c r="AM174" s="59">
        <f t="shared" si="113"/>
        <v>290.71237535679177</v>
      </c>
      <c r="AN174" s="59">
        <f ca="1">AVERAGE(OFFSET($AM$3,0,0,'Données projet'!$E$10+1,1))-AVERAGE(OFFSET($H$3,0,0,'Données projet'!$E$10+1,1))</f>
        <v>442.79037205372367</v>
      </c>
      <c r="AO174" s="59">
        <f t="shared" si="144"/>
        <v>288.23553637727969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33.769008120256963</v>
      </c>
      <c r="AV174" s="21">
        <f>EXP(-LN(2)/25)*AV173+(1-EXP(-LN(2)/25))/(LN(2)/25)*Calculateur!AQ174*Calculateur!AS174*VLOOKUP('Données projet'!$B$10,Paramètres!$A$1:$I$89,3,0)*0.475*44/12</f>
        <v>4.6149491079895446</v>
      </c>
      <c r="AW174" s="21">
        <f>EXP(-LN(2)/2)*AW173+(1-EXP(-LN(2)/2))/(LN(2)/2)*AQ174*AT174*VLOOKUP('Données projet'!$B$10,Paramètres!$A$1:$I$89,3,0)*0.475*44/12</f>
        <v>1.222097843747445E-9</v>
      </c>
      <c r="AX174" s="21">
        <f t="shared" si="166"/>
        <v>38.383957229468606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69.285193279124641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7.688333333333337</v>
      </c>
      <c r="BD174" s="12">
        <f>IF('Données projet'!$A$88&gt;35,BD173+BC174-BL173,IF(A174&lt;'Données projet'!$A$88,$BA$205^A174,IF(A174='Données projet'!$A$88,'Données projet'!$B$88,BD173+BC174-BL173)))</f>
        <v>387.34499999999969</v>
      </c>
      <c r="BE174" s="13">
        <f>BD174*VLOOKUP('Données projet'!$B$11,Paramètres!$A$1:$I$89,3,0)*VLOOKUP('Données projet'!$B$11,Paramètres!$A$1:$I$89,5,0)</f>
        <v>392.76782999999972</v>
      </c>
      <c r="BF174" s="13">
        <f t="shared" si="167"/>
        <v>90.308900394988783</v>
      </c>
      <c r="BG174" s="20">
        <f t="shared" si="168"/>
        <v>841.35863877127156</v>
      </c>
      <c r="BH174" s="59">
        <f t="shared" si="116"/>
        <v>1132.071014128062</v>
      </c>
      <c r="BI174" s="59">
        <f ca="1">AVERAGE(OFFSET($BH$3,0,0,'Données projet'!$E$11+1,1))-AVERAGE(OFFSET($H$3,0,0,'Données projet'!$E$11+1,1))</f>
        <v>559.91818701710872</v>
      </c>
      <c r="BJ174" s="59">
        <f t="shared" si="146"/>
        <v>273.47272623465915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47.467192044350583</v>
      </c>
      <c r="BQ174" s="21">
        <f>EXP(-LN(2)/25)*BQ173+(1-EXP(-LN(2)/25))/(LN(2)/25)*Calculateur!BL174*Calculateur!BN174*VLOOKUP('Données projet'!$B$11,Paramètres!$A$1:$I$89,3,0)*0.475*44/12</f>
        <v>21.38912520461195</v>
      </c>
      <c r="BR174" s="21">
        <f>EXP(-LN(2)/2)*BR173+(1-EXP(-LN(2)/2))/(LN(2)/2)*BL174*BO174*VLOOKUP('Données projet'!$B$11,Paramètres!$A$1:$I$89,3,0)*0.475*44/12</f>
        <v>5.0981605384808947E-4</v>
      </c>
      <c r="BS174" s="22">
        <f t="shared" si="169"/>
        <v>68.85682706501639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69.285193279124641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-1.1368683772161603E-13</v>
      </c>
      <c r="BZ174" s="13">
        <f>BY174*VLOOKUP('Données projet'!$B$12,Paramètres!$A$1:$I$89,3,0)*VLOOKUP('Données projet'!$B$12,Paramètres!$A$1:$I$89,5,0)</f>
        <v>-8.8675733422860506E-14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208.92677786250815</v>
      </c>
      <c r="CE174" s="59">
        <f t="shared" si="148"/>
        <v>207.54290142772214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3.6563023394846179</v>
      </c>
      <c r="CL174" s="21">
        <f>EXP(-LN(2)/25)*CL173+(1-EXP(-LN(2)/25))/(LN(2)/25)*Calculateur!CG174*Calculateur!CI174*VLOOKUP('Données projet'!$B$12,Paramètres!$A$1:$I$89,3,0)*0.475*44/12</f>
        <v>1.6046283085333166</v>
      </c>
      <c r="CM174" s="21">
        <f>EXP(-LN(2)/2)*CM173+(1-EXP(-LN(2)/2))/(LN(2)/2)*CG174*CJ174*VLOOKUP('Données projet'!$B$12,Paramètres!$A$1:$I$89,3,0)*0.475*44/12</f>
        <v>1.7295572852333286E-14</v>
      </c>
      <c r="CN174" s="22">
        <f t="shared" si="172"/>
        <v>5.2609306480179514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69.285193279124641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2.5579538487363607E-13</v>
      </c>
      <c r="CU174" s="17">
        <f>CT174*VLOOKUP('Données projet'!$B$13,Paramètres!$A$1:$I$89,3,0)*VLOOKUP('Données projet'!$B$13,Paramètres!$A$1:$I$89,5,0)</f>
        <v>2.4341488824575211E-13</v>
      </c>
      <c r="CV174" s="13">
        <f t="shared" si="173"/>
        <v>3.2970717324875541E-12</v>
      </c>
      <c r="CW174" s="20">
        <f t="shared" si="174"/>
        <v>6.1663475311105072E-12</v>
      </c>
      <c r="CX174" s="59">
        <f t="shared" si="122"/>
        <v>290.71237535679649</v>
      </c>
      <c r="CY174" s="59">
        <f ca="1">AVERAGE(OFFSET($CX$3,0,0,'Données projet'!$E$13+1,1))-AVERAGE(OFFSET($H$3,0,0,'Données projet'!$E$13+1,1))</f>
        <v>470.42022791389275</v>
      </c>
      <c r="CZ174" s="59">
        <f t="shared" si="150"/>
        <v>300.26117330627346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29.368876194751703</v>
      </c>
      <c r="DG174" s="21">
        <f>EXP(-LN(2)/25)*DG173+(1-EXP(-LN(2)/25))/(LN(2)/25)*Calculateur!DB174*Calculateur!DD174*VLOOKUP('Données projet'!$B$13,Paramètres!$A$1:$I$89,3,0)*0.475*44/12</f>
        <v>19.316618038447661</v>
      </c>
      <c r="DH174" s="21">
        <f>EXP(-LN(2)/2)*DH173+(1-EXP(-LN(2)/2))/(LN(2)/2)*DB174*DE174*VLOOKUP('Données projet'!$B$13,Paramètres!$A$1:$I$89,3,0)*0.475*44/12</f>
        <v>2.4176206576710639E-5</v>
      </c>
      <c r="DI174" s="22">
        <f t="shared" si="175"/>
        <v>48.685518409405944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69.285193279124641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7.688333333333337</v>
      </c>
      <c r="DO174" s="12">
        <f>IF('Données projet'!$A$166&gt;35,DO173+DN174-DW173,IF(A174&lt;'Données projet'!$A$166,$DL$205^A174,IF(A174='Données projet'!$A$166,'Données projet'!$B$166,DO173+DN174-DW173)))</f>
        <v>387.34499999999969</v>
      </c>
      <c r="DP174" s="17">
        <f>DO174*VLOOKUP('Données projet'!$B$14,Paramètres!$A$1:$I$89,3,0)*VLOOKUP('Données projet'!$B$14,Paramètres!$A$1:$I$89,5,0)</f>
        <v>374.64008399999972</v>
      </c>
      <c r="DQ174" s="13">
        <f t="shared" si="176"/>
        <v>86.615897380176207</v>
      </c>
      <c r="DR174" s="20">
        <f t="shared" si="177"/>
        <v>803.35416757047312</v>
      </c>
      <c r="DS174" s="59">
        <f t="shared" si="125"/>
        <v>1094.0665429272635</v>
      </c>
      <c r="DT174" s="59">
        <f ca="1">AVERAGE(OFFSET($DS$3,0,0,'Données projet'!$E$14+1,1))-AVERAGE(OFFSET($H$3,0,0,'Données projet'!$E$14+1,1))</f>
        <v>537.37164071064103</v>
      </c>
      <c r="DU174" s="59">
        <f t="shared" si="152"/>
        <v>263.29777321132235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26.623125343562545</v>
      </c>
      <c r="EB174" s="21">
        <f>EXP(-LN(2)/25)*EB173+(1-EXP(-LN(2)/25))/(LN(2)/25)*Calculateur!DW174*Calculateur!DY174*VLOOKUP('Données projet'!$B$14,Paramètres!$A$1:$I$89,3,0)*0.475*44/12</f>
        <v>22.631235441712558</v>
      </c>
      <c r="EC174" s="21">
        <f>EXP(-LN(2)/2)*EC173+(1-EXP(-LN(2)/2))/(LN(2)/2)*DW174*DZ174*VLOOKUP('Données projet'!$B$14,Paramètres!$A$1:$I$89,3,0)*0.475*44/12</f>
        <v>5.840809055186825</v>
      </c>
      <c r="ED174" s="22">
        <f t="shared" si="178"/>
        <v>55.095169840461928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69.285193279124641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69.285193279124641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69.285193279124641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69.285193279124641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45">
      <c r="A175" s="10">
        <f t="shared" si="161"/>
        <v>172</v>
      </c>
      <c r="B175" s="73">
        <f>'Scénario référence'!$B$16*5+'Scénario référence'!$B$17*0+'Scénario référence'!$B$18*5</f>
        <v>2.8499999999999996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10.449999999999998</v>
      </c>
      <c r="H175" s="67">
        <f t="shared" si="110"/>
        <v>214.86666666666667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69.297593577663406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3.979039320256561E-13</v>
      </c>
      <c r="O175" s="13">
        <f>N175*VLOOKUP('Données projet'!$B$9,Paramètres!$A$1:$I$89,3,0)*VLOOKUP('Données projet'!$B$9,Paramètres!$A$1:$I$89,5,0)</f>
        <v>3.6002347769681362E-13</v>
      </c>
      <c r="P175" s="13">
        <f t="shared" si="141"/>
        <v>4.6593569189922594E-12</v>
      </c>
      <c r="Q175" s="20">
        <f t="shared" si="162"/>
        <v>8.7420875242334695E-12</v>
      </c>
      <c r="R175" s="59">
        <f t="shared" si="109"/>
        <v>290.75784311810793</v>
      </c>
      <c r="S175" s="59">
        <f ca="1">AVERAGE(OFFSET($R$3,0,0,'Données projet'!$E$9+1,1))-AVERAGE(OFFSET($H$3,0,0,'Données projet'!$E$9+1,1))</f>
        <v>719.20816951277925</v>
      </c>
      <c r="T175" s="59">
        <f t="shared" si="142"/>
        <v>237.1127421841087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134.71548129197976</v>
      </c>
      <c r="AA175" s="21">
        <f>EXP(-LN(2)/25)*AA174+(1-EXP(-LN(2)/25))/(LN(2)/25)*Calculateur!V175*Calculateur!X175*VLOOKUP('Données projet'!$B$9,Paramètres!$A$1:$I$89,3,0)*0.475*44/12</f>
        <v>21.210528249417386</v>
      </c>
      <c r="AB175" s="21">
        <f>EXP(-LN(2)/2)*AB174+(1-EXP(-LN(2)/2))/(LN(2)/2)*V175*Y175*VLOOKUP('Données projet'!$B$9,Paramètres!$A$1:$I$89,3,0)*0.475*44/12</f>
        <v>0.12575753681945623</v>
      </c>
      <c r="AC175" s="22">
        <f t="shared" si="163"/>
        <v>156.05176707821661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69.297593577663406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5.6843418860808015E-14</v>
      </c>
      <c r="AJ175" s="13">
        <f>AI175*VLOOKUP('Données projet'!$B$10,Paramètres!$A$1:$I$89,3,0)*VLOOKUP('Données projet'!$B$10,Paramètres!$A$1:$I$89,5,0)</f>
        <v>4.7884896048344674E-14</v>
      </c>
      <c r="AK175" s="13">
        <f t="shared" si="164"/>
        <v>7.8374629847779921E-13</v>
      </c>
      <c r="AL175" s="20">
        <f t="shared" si="165"/>
        <v>1.4484243304663672E-12</v>
      </c>
      <c r="AM175" s="59">
        <f t="shared" si="113"/>
        <v>290.7578431181006</v>
      </c>
      <c r="AN175" s="59">
        <f ca="1">AVERAGE(OFFSET($AM$3,0,0,'Données projet'!$E$10+1,1))-AVERAGE(OFFSET($H$3,0,0,'Données projet'!$E$10+1,1))</f>
        <v>442.79037205372367</v>
      </c>
      <c r="AO175" s="59">
        <f t="shared" si="144"/>
        <v>288.23553637727969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33.106818468079886</v>
      </c>
      <c r="AV175" s="21">
        <f>EXP(-LN(2)/25)*AV174+(1-EXP(-LN(2)/25))/(LN(2)/25)*Calculateur!AQ175*Calculateur!AS175*VLOOKUP('Données projet'!$B$10,Paramètres!$A$1:$I$89,3,0)*0.475*44/12</f>
        <v>4.4887530819419448</v>
      </c>
      <c r="AW175" s="21">
        <f>EXP(-LN(2)/2)*AW174+(1-EXP(-LN(2)/2))/(LN(2)/2)*AQ175*AT175*VLOOKUP('Données projet'!$B$10,Paramètres!$A$1:$I$89,3,0)*0.475*44/12</f>
        <v>8.6415367258727617E-10</v>
      </c>
      <c r="AX175" s="21">
        <f t="shared" si="166"/>
        <v>37.595571550885985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69.297593577663406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7.688333333333337</v>
      </c>
      <c r="BD175" s="12">
        <f>IF('Données projet'!$A$88&gt;35,BD174+BC175-BL174,IF(A175&lt;'Données projet'!$A$88,$BA$205^A175,IF(A175='Données projet'!$A$88,'Données projet'!$B$88,BD174+BC175-BL174)))</f>
        <v>395.03333333333302</v>
      </c>
      <c r="BE175" s="13">
        <f>BD175*VLOOKUP('Données projet'!$B$11,Paramètres!$A$1:$I$89,3,0)*VLOOKUP('Données projet'!$B$11,Paramètres!$A$1:$I$89,5,0)</f>
        <v>400.56379999999973</v>
      </c>
      <c r="BF175" s="13">
        <f t="shared" si="167"/>
        <v>91.890957647280629</v>
      </c>
      <c r="BG175" s="20">
        <f t="shared" si="168"/>
        <v>857.69203623567989</v>
      </c>
      <c r="BH175" s="59">
        <f t="shared" si="116"/>
        <v>1148.4498793537791</v>
      </c>
      <c r="BI175" s="59">
        <f ca="1">AVERAGE(OFFSET($BH$3,0,0,'Données projet'!$E$11+1,1))-AVERAGE(OFFSET($H$3,0,0,'Données projet'!$E$11+1,1))</f>
        <v>559.91818701710872</v>
      </c>
      <c r="BJ175" s="59">
        <f t="shared" si="146"/>
        <v>273.47272623465915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46.536389360489231</v>
      </c>
      <c r="BQ175" s="21">
        <f>EXP(-LN(2)/25)*BQ174+(1-EXP(-LN(2)/25))/(LN(2)/25)*Calculateur!BL175*Calculateur!BN175*VLOOKUP('Données projet'!$B$11,Paramètres!$A$1:$I$89,3,0)*0.475*44/12</f>
        <v>20.804238451086629</v>
      </c>
      <c r="BR175" s="21">
        <f>EXP(-LN(2)/2)*BR174+(1-EXP(-LN(2)/2))/(LN(2)/2)*BL175*BO175*VLOOKUP('Données projet'!$B$11,Paramètres!$A$1:$I$89,3,0)*0.475*44/12</f>
        <v>3.6049438883375013E-4</v>
      </c>
      <c r="BS175" s="22">
        <f t="shared" si="169"/>
        <v>67.340988305964686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69.297593577663406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-1.1368683772161603E-13</v>
      </c>
      <c r="BZ175" s="13">
        <f>BY175*VLOOKUP('Données projet'!$B$12,Paramètres!$A$1:$I$89,3,0)*VLOOKUP('Données projet'!$B$12,Paramètres!$A$1:$I$89,5,0)</f>
        <v>-8.8675733422860506E-14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208.92677786250815</v>
      </c>
      <c r="CE175" s="59">
        <f t="shared" si="148"/>
        <v>207.54290142772214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3.5846044807315454</v>
      </c>
      <c r="CL175" s="21">
        <f>EXP(-LN(2)/25)*CL174+(1-EXP(-LN(2)/25))/(LN(2)/25)*Calculateur!CG175*Calculateur!CI175*VLOOKUP('Données projet'!$B$12,Paramètres!$A$1:$I$89,3,0)*0.475*44/12</f>
        <v>1.5607496630527378</v>
      </c>
      <c r="CM175" s="21">
        <f>EXP(-LN(2)/2)*CM174+(1-EXP(-LN(2)/2))/(LN(2)/2)*CG175*CJ175*VLOOKUP('Données projet'!$B$12,Paramètres!$A$1:$I$89,3,0)*0.475*44/12</f>
        <v>1.2229816848390825E-14</v>
      </c>
      <c r="CN175" s="22">
        <f t="shared" si="172"/>
        <v>5.1453541437842958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69.297593577663406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2.5579538487363607E-13</v>
      </c>
      <c r="CU175" s="17">
        <f>CT175*VLOOKUP('Données projet'!$B$13,Paramètres!$A$1:$I$89,3,0)*VLOOKUP('Données projet'!$B$13,Paramètres!$A$1:$I$89,5,0)</f>
        <v>2.4341488824575211E-13</v>
      </c>
      <c r="CV175" s="13">
        <f t="shared" si="173"/>
        <v>3.2970717324875541E-12</v>
      </c>
      <c r="CW175" s="20">
        <f t="shared" si="174"/>
        <v>6.1663475311105072E-12</v>
      </c>
      <c r="CX175" s="59">
        <f t="shared" si="122"/>
        <v>290.75784311810531</v>
      </c>
      <c r="CY175" s="59">
        <f ca="1">AVERAGE(OFFSET($CX$3,0,0,'Données projet'!$E$13+1,1))-AVERAGE(OFFSET($H$3,0,0,'Données projet'!$E$13+1,1))</f>
        <v>470.42022791389275</v>
      </c>
      <c r="CZ175" s="59">
        <f t="shared" si="150"/>
        <v>300.26117330627346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28.792970445818316</v>
      </c>
      <c r="DG175" s="21">
        <f>EXP(-LN(2)/25)*DG174+(1-EXP(-LN(2)/25))/(LN(2)/25)*Calculateur!DB175*Calculateur!DD175*VLOOKUP('Données projet'!$B$13,Paramètres!$A$1:$I$89,3,0)*0.475*44/12</f>
        <v>18.788404102369515</v>
      </c>
      <c r="DH175" s="21">
        <f>EXP(-LN(2)/2)*DH174+(1-EXP(-LN(2)/2))/(LN(2)/2)*DB175*DE175*VLOOKUP('Données projet'!$B$13,Paramètres!$A$1:$I$89,3,0)*0.475*44/12</f>
        <v>1.7095159613758901E-5</v>
      </c>
      <c r="DI175" s="22">
        <f t="shared" si="175"/>
        <v>47.581391643347445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69.297593577663406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7.688333333333337</v>
      </c>
      <c r="DO175" s="12">
        <f>IF('Données projet'!$A$166&gt;35,DO174+DN175-DW174,IF(A175&lt;'Données projet'!$A$166,$DL$205^A175,IF(A175='Données projet'!$A$166,'Données projet'!$B$166,DO174+DN175-DW174)))</f>
        <v>395.03333333333302</v>
      </c>
      <c r="DP175" s="17">
        <f>DO175*VLOOKUP('Données projet'!$B$14,Paramètres!$A$1:$I$89,3,0)*VLOOKUP('Données projet'!$B$14,Paramètres!$A$1:$I$89,5,0)</f>
        <v>382.0762399999997</v>
      </c>
      <c r="DQ175" s="13">
        <f t="shared" si="176"/>
        <v>88.133259545087228</v>
      </c>
      <c r="DR175" s="20">
        <f t="shared" si="177"/>
        <v>818.94821170769308</v>
      </c>
      <c r="DS175" s="59">
        <f t="shared" si="125"/>
        <v>1109.7060548257923</v>
      </c>
      <c r="DT175" s="59">
        <f ca="1">AVERAGE(OFFSET($DS$3,0,0,'Données projet'!$E$14+1,1))-AVERAGE(OFFSET($H$3,0,0,'Données projet'!$E$14+1,1))</f>
        <v>537.37164071064103</v>
      </c>
      <c r="DU175" s="59">
        <f t="shared" si="152"/>
        <v>263.29777321132235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26.101062094078326</v>
      </c>
      <c r="EB175" s="21">
        <f>EXP(-LN(2)/25)*EB174+(1-EXP(-LN(2)/25))/(LN(2)/25)*Calculateur!DW175*Calculateur!DY175*VLOOKUP('Données projet'!$B$14,Paramètres!$A$1:$I$89,3,0)*0.475*44/12</f>
        <v>22.012383118433981</v>
      </c>
      <c r="EC175" s="21">
        <f>EXP(-LN(2)/2)*EC174+(1-EXP(-LN(2)/2))/(LN(2)/2)*DW175*DZ175*VLOOKUP('Données projet'!$B$14,Paramètres!$A$1:$I$89,3,0)*0.475*44/12</f>
        <v>4.130075690538396</v>
      </c>
      <c r="ED175" s="22">
        <f t="shared" si="178"/>
        <v>52.243520903050701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69.297593577663406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69.297593577663406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69.297593577663406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69.297593577663406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45">
      <c r="A176" s="10">
        <f t="shared" si="161"/>
        <v>173</v>
      </c>
      <c r="B176" s="73">
        <f>'Scénario référence'!$B$16*5+'Scénario référence'!$B$17*0+'Scénario référence'!$B$18*5</f>
        <v>2.8499999999999996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10.449999999999998</v>
      </c>
      <c r="H176" s="67">
        <f t="shared" si="110"/>
        <v>214.86666666666667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69.309778758745438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3.979039320256561E-13</v>
      </c>
      <c r="O176" s="13">
        <f>N176*VLOOKUP('Données projet'!$B$9,Paramètres!$A$1:$I$89,3,0)*VLOOKUP('Données projet'!$B$9,Paramètres!$A$1:$I$89,5,0)</f>
        <v>3.6002347769681362E-13</v>
      </c>
      <c r="P176" s="13">
        <f t="shared" si="141"/>
        <v>4.6593569189922594E-12</v>
      </c>
      <c r="Q176" s="20">
        <f t="shared" si="162"/>
        <v>8.7420875242334695E-12</v>
      </c>
      <c r="R176" s="59">
        <f t="shared" si="109"/>
        <v>290.80252211540869</v>
      </c>
      <c r="S176" s="59">
        <f ca="1">AVERAGE(OFFSET($R$3,0,0,'Données projet'!$E$9+1,1))-AVERAGE(OFFSET($H$3,0,0,'Données projet'!$E$9+1,1))</f>
        <v>719.20816951277925</v>
      </c>
      <c r="T176" s="59">
        <f t="shared" si="142"/>
        <v>237.1127421841087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132.07379287217418</v>
      </c>
      <c r="AA176" s="21">
        <f>EXP(-LN(2)/25)*AA175+(1-EXP(-LN(2)/25))/(LN(2)/25)*Calculateur!V176*Calculateur!X176*VLOOKUP('Données projet'!$B$9,Paramètres!$A$1:$I$89,3,0)*0.475*44/12</f>
        <v>20.630525239023864</v>
      </c>
      <c r="AB176" s="21">
        <f>EXP(-LN(2)/2)*AB175+(1-EXP(-LN(2)/2))/(LN(2)/2)*V176*Y176*VLOOKUP('Données projet'!$B$9,Paramètres!$A$1:$I$89,3,0)*0.475*44/12</f>
        <v>8.892400707035443E-2</v>
      </c>
      <c r="AC176" s="22">
        <f t="shared" si="163"/>
        <v>152.79324211826838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69.309778758745438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5.6843418860808015E-14</v>
      </c>
      <c r="AJ176" s="13">
        <f>AI176*VLOOKUP('Données projet'!$B$10,Paramètres!$A$1:$I$89,3,0)*VLOOKUP('Données projet'!$B$10,Paramètres!$A$1:$I$89,5,0)</f>
        <v>4.7884896048344674E-14</v>
      </c>
      <c r="AK176" s="13">
        <f t="shared" si="164"/>
        <v>7.8374629847779921E-13</v>
      </c>
      <c r="AL176" s="20">
        <f t="shared" si="165"/>
        <v>1.4484243304663672E-12</v>
      </c>
      <c r="AM176" s="59">
        <f t="shared" si="113"/>
        <v>290.80252211540136</v>
      </c>
      <c r="AN176" s="59">
        <f ca="1">AVERAGE(OFFSET($AM$3,0,0,'Données projet'!$E$10+1,1))-AVERAGE(OFFSET($H$3,0,0,'Données projet'!$E$10+1,1))</f>
        <v>442.79037205372367</v>
      </c>
      <c r="AO176" s="59">
        <f t="shared" si="144"/>
        <v>288.23553637727969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32.457613951086195</v>
      </c>
      <c r="AV176" s="21">
        <f>EXP(-LN(2)/25)*AV175+(1-EXP(-LN(2)/25))/(LN(2)/25)*Calculateur!AQ176*Calculateur!AS176*VLOOKUP('Données projet'!$B$10,Paramètres!$A$1:$I$89,3,0)*0.475*44/12</f>
        <v>4.3660078928629771</v>
      </c>
      <c r="AW176" s="21">
        <f>EXP(-LN(2)/2)*AW175+(1-EXP(-LN(2)/2))/(LN(2)/2)*AQ176*AT176*VLOOKUP('Données projet'!$B$10,Paramètres!$A$1:$I$89,3,0)*0.475*44/12</f>
        <v>6.1104892187372251E-10</v>
      </c>
      <c r="AX176" s="21">
        <f t="shared" si="166"/>
        <v>36.823621844560215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69.309778758745438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7.688333333333337</v>
      </c>
      <c r="BD176" s="12">
        <f>IF('Données projet'!$A$88&gt;35,BD175+BC176-BL175,IF(A176&lt;'Données projet'!$A$88,$BA$205^A176,IF(A176='Données projet'!$A$88,'Données projet'!$B$88,BD175+BC176-BL175)))</f>
        <v>402.72166666666635</v>
      </c>
      <c r="BE176" s="13">
        <f>BD176*VLOOKUP('Données projet'!$B$11,Paramètres!$A$1:$I$89,3,0)*VLOOKUP('Données projet'!$B$11,Paramètres!$A$1:$I$89,5,0)</f>
        <v>408.35976999999968</v>
      </c>
      <c r="BF176" s="13">
        <f t="shared" si="167"/>
        <v>93.469434670776693</v>
      </c>
      <c r="BG176" s="20">
        <f t="shared" si="168"/>
        <v>874.01919813493544</v>
      </c>
      <c r="BH176" s="59">
        <f t="shared" si="116"/>
        <v>1164.8217202503354</v>
      </c>
      <c r="BI176" s="59">
        <f ca="1">AVERAGE(OFFSET($BH$3,0,0,'Données projet'!$E$11+1,1))-AVERAGE(OFFSET($H$3,0,0,'Données projet'!$E$11+1,1))</f>
        <v>559.91818701710872</v>
      </c>
      <c r="BJ176" s="59">
        <f t="shared" si="146"/>
        <v>273.47272623465915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45.623839149524819</v>
      </c>
      <c r="BQ176" s="21">
        <f>EXP(-LN(2)/25)*BQ175+(1-EXP(-LN(2)/25))/(LN(2)/25)*Calculateur!BL176*Calculateur!BN176*VLOOKUP('Données projet'!$B$11,Paramètres!$A$1:$I$89,3,0)*0.475*44/12</f>
        <v>20.235345456594313</v>
      </c>
      <c r="BR176" s="21">
        <f>EXP(-LN(2)/2)*BR175+(1-EXP(-LN(2)/2))/(LN(2)/2)*BL176*BO176*VLOOKUP('Données projet'!$B$11,Paramètres!$A$1:$I$89,3,0)*0.475*44/12</f>
        <v>2.5490802692404473E-4</v>
      </c>
      <c r="BS176" s="22">
        <f t="shared" si="169"/>
        <v>65.859439514146047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69.309778758745438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-1.1368683772161603E-13</v>
      </c>
      <c r="BZ176" s="13">
        <f>BY176*VLOOKUP('Données projet'!$B$12,Paramètres!$A$1:$I$89,3,0)*VLOOKUP('Données projet'!$B$12,Paramètres!$A$1:$I$89,5,0)</f>
        <v>-8.8675733422860506E-14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208.92677786250815</v>
      </c>
      <c r="CE176" s="59">
        <f t="shared" si="148"/>
        <v>207.54290142772214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3.5143125732572447</v>
      </c>
      <c r="CL176" s="21">
        <f>EXP(-LN(2)/25)*CL175+(1-EXP(-LN(2)/25))/(LN(2)/25)*Calculateur!CG176*Calculateur!CI176*VLOOKUP('Données projet'!$B$12,Paramètres!$A$1:$I$89,3,0)*0.475*44/12</f>
        <v>1.518070881440303</v>
      </c>
      <c r="CM176" s="21">
        <f>EXP(-LN(2)/2)*CM175+(1-EXP(-LN(2)/2))/(LN(2)/2)*CG176*CJ176*VLOOKUP('Données projet'!$B$12,Paramètres!$A$1:$I$89,3,0)*0.475*44/12</f>
        <v>8.6477864261666431E-15</v>
      </c>
      <c r="CN176" s="22">
        <f t="shared" si="172"/>
        <v>5.0323834546975563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69.309778758745438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2.5579538487363607E-13</v>
      </c>
      <c r="CU176" s="17">
        <f>CT176*VLOOKUP('Données projet'!$B$13,Paramètres!$A$1:$I$89,3,0)*VLOOKUP('Données projet'!$B$13,Paramètres!$A$1:$I$89,5,0)</f>
        <v>2.4341488824575211E-13</v>
      </c>
      <c r="CV176" s="13">
        <f t="shared" si="173"/>
        <v>3.2970717324875541E-12</v>
      </c>
      <c r="CW176" s="20">
        <f t="shared" si="174"/>
        <v>6.1663475311105072E-12</v>
      </c>
      <c r="CX176" s="59">
        <f t="shared" si="122"/>
        <v>290.80252211540608</v>
      </c>
      <c r="CY176" s="59">
        <f ca="1">AVERAGE(OFFSET($CX$3,0,0,'Données projet'!$E$13+1,1))-AVERAGE(OFFSET($H$3,0,0,'Données projet'!$E$13+1,1))</f>
        <v>470.42022791389275</v>
      </c>
      <c r="CZ176" s="59">
        <f t="shared" si="150"/>
        <v>300.26117330627346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28.228357857353689</v>
      </c>
      <c r="DG176" s="21">
        <f>EXP(-LN(2)/25)*DG175+(1-EXP(-LN(2)/25))/(LN(2)/25)*Calculateur!DB176*Calculateur!DD176*VLOOKUP('Données projet'!$B$13,Paramètres!$A$1:$I$89,3,0)*0.475*44/12</f>
        <v>18.274634204150992</v>
      </c>
      <c r="DH176" s="21">
        <f>EXP(-LN(2)/2)*DH175+(1-EXP(-LN(2)/2))/(LN(2)/2)*DB176*DE176*VLOOKUP('Données projet'!$B$13,Paramètres!$A$1:$I$89,3,0)*0.475*44/12</f>
        <v>1.208810328835532E-5</v>
      </c>
      <c r="DI176" s="22">
        <f t="shared" si="175"/>
        <v>46.503004149607975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69.309778758745438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7.688333333333337</v>
      </c>
      <c r="DO176" s="12">
        <f>IF('Données projet'!$A$166&gt;35,DO175+DN176-DW175,IF(A176&lt;'Données projet'!$A$166,$DL$205^A176,IF(A176='Données projet'!$A$166,'Données projet'!$B$166,DO175+DN176-DW175)))</f>
        <v>402.72166666666635</v>
      </c>
      <c r="DP176" s="17">
        <f>DO176*VLOOKUP('Données projet'!$B$14,Paramètres!$A$1:$I$89,3,0)*VLOOKUP('Données projet'!$B$14,Paramètres!$A$1:$I$89,5,0)</f>
        <v>389.51239599999968</v>
      </c>
      <c r="DQ176" s="13">
        <f t="shared" si="176"/>
        <v>89.647187887544248</v>
      </c>
      <c r="DR176" s="20">
        <f t="shared" si="177"/>
        <v>834.53627527080562</v>
      </c>
      <c r="DS176" s="59">
        <f t="shared" si="125"/>
        <v>1125.3387973862054</v>
      </c>
      <c r="DT176" s="59">
        <f ca="1">AVERAGE(OFFSET($DS$3,0,0,'Données projet'!$E$14+1,1))-AVERAGE(OFFSET($H$3,0,0,'Données projet'!$E$14+1,1))</f>
        <v>537.37164071064103</v>
      </c>
      <c r="DU176" s="59">
        <f t="shared" si="152"/>
        <v>263.29777321132235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25.589236186489352</v>
      </c>
      <c r="EB176" s="21">
        <f>EXP(-LN(2)/25)*EB175+(1-EXP(-LN(2)/25))/(LN(2)/25)*Calculateur!DW176*Calculateur!DY176*VLOOKUP('Données projet'!$B$14,Paramètres!$A$1:$I$89,3,0)*0.475*44/12</f>
        <v>21.410453344479485</v>
      </c>
      <c r="EC176" s="21">
        <f>EXP(-LN(2)/2)*EC175+(1-EXP(-LN(2)/2))/(LN(2)/2)*DW176*DZ176*VLOOKUP('Données projet'!$B$14,Paramètres!$A$1:$I$89,3,0)*0.475*44/12</f>
        <v>2.920404527593413</v>
      </c>
      <c r="ED176" s="22">
        <f t="shared" si="178"/>
        <v>49.920094058562249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69.309778758745438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69.309778758745438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69.309778758745438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69.309778758745438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45">
      <c r="A177" s="10">
        <f t="shared" si="161"/>
        <v>174</v>
      </c>
      <c r="B177" s="73">
        <f>'Scénario référence'!$B$16*5+'Scénario référence'!$B$17*0+'Scénario référence'!$B$18*5</f>
        <v>2.8499999999999996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10.449999999999998</v>
      </c>
      <c r="H177" s="67">
        <f t="shared" si="110"/>
        <v>214.86666666666667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69.321752554177692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3.979039320256561E-13</v>
      </c>
      <c r="O177" s="13">
        <f>N177*VLOOKUP('Données projet'!$B$9,Paramètres!$A$1:$I$89,3,0)*VLOOKUP('Données projet'!$B$9,Paramètres!$A$1:$I$89,5,0)</f>
        <v>3.6002347769681362E-13</v>
      </c>
      <c r="P177" s="13">
        <f t="shared" si="141"/>
        <v>4.6593569189922594E-12</v>
      </c>
      <c r="Q177" s="20">
        <f t="shared" si="162"/>
        <v>8.7420875242334695E-12</v>
      </c>
      <c r="R177" s="59">
        <f t="shared" si="109"/>
        <v>290.84642603199364</v>
      </c>
      <c r="S177" s="59">
        <f ca="1">AVERAGE(OFFSET($R$3,0,0,'Données projet'!$E$9+1,1))-AVERAGE(OFFSET($H$3,0,0,'Données projet'!$E$9+1,1))</f>
        <v>719.20816951277925</v>
      </c>
      <c r="T177" s="59">
        <f t="shared" si="142"/>
        <v>237.1127421841087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129.48390635101015</v>
      </c>
      <c r="AA177" s="21">
        <f>EXP(-LN(2)/25)*AA176+(1-EXP(-LN(2)/25))/(LN(2)/25)*Calculateur!V177*Calculateur!X177*VLOOKUP('Données projet'!$B$9,Paramètres!$A$1:$I$89,3,0)*0.475*44/12</f>
        <v>20.066382441450585</v>
      </c>
      <c r="AB177" s="21">
        <f>EXP(-LN(2)/2)*AB176+(1-EXP(-LN(2)/2))/(LN(2)/2)*V177*Y177*VLOOKUP('Données projet'!$B$9,Paramètres!$A$1:$I$89,3,0)*0.475*44/12</f>
        <v>6.2878768409728114E-2</v>
      </c>
      <c r="AC177" s="22">
        <f t="shared" si="163"/>
        <v>149.61316756087044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69.321752554177692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5.6843418860808015E-14</v>
      </c>
      <c r="AJ177" s="13">
        <f>AI177*VLOOKUP('Données projet'!$B$10,Paramètres!$A$1:$I$89,3,0)*VLOOKUP('Données projet'!$B$10,Paramètres!$A$1:$I$89,5,0)</f>
        <v>4.7884896048344674E-14</v>
      </c>
      <c r="AK177" s="13">
        <f t="shared" si="164"/>
        <v>7.8374629847779921E-13</v>
      </c>
      <c r="AL177" s="20">
        <f t="shared" si="165"/>
        <v>1.4484243304663672E-12</v>
      </c>
      <c r="AM177" s="59">
        <f t="shared" si="113"/>
        <v>290.84642603198631</v>
      </c>
      <c r="AN177" s="59">
        <f ca="1">AVERAGE(OFFSET($AM$3,0,0,'Données projet'!$E$10+1,1))-AVERAGE(OFFSET($H$3,0,0,'Données projet'!$E$10+1,1))</f>
        <v>442.79037205372367</v>
      </c>
      <c r="AO177" s="59">
        <f t="shared" si="144"/>
        <v>288.23553637727969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31.821139938695094</v>
      </c>
      <c r="AV177" s="21">
        <f>EXP(-LN(2)/25)*AV176+(1-EXP(-LN(2)/25))/(LN(2)/25)*Calculateur!AQ177*Calculateur!AS177*VLOOKUP('Données projet'!$B$10,Paramètres!$A$1:$I$89,3,0)*0.475*44/12</f>
        <v>4.2466191774342628</v>
      </c>
      <c r="AW177" s="21">
        <f>EXP(-LN(2)/2)*AW176+(1-EXP(-LN(2)/2))/(LN(2)/2)*AQ177*AT177*VLOOKUP('Données projet'!$B$10,Paramètres!$A$1:$I$89,3,0)*0.475*44/12</f>
        <v>4.3207683629363808E-10</v>
      </c>
      <c r="AX177" s="21">
        <f t="shared" si="166"/>
        <v>36.067759116561433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69.321752554177692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7.688333333333337</v>
      </c>
      <c r="BD177" s="12">
        <f>IF('Données projet'!$A$88&gt;35,BD176+BC177-BL176,IF(A177&lt;'Données projet'!$A$88,$BA$205^A177,IF(A177='Données projet'!$A$88,'Données projet'!$B$88,BD176+BC177-BL176)))</f>
        <v>410.40999999999968</v>
      </c>
      <c r="BE177" s="13">
        <f>BD177*VLOOKUP('Données projet'!$B$11,Paramètres!$A$1:$I$89,3,0)*VLOOKUP('Données projet'!$B$11,Paramètres!$A$1:$I$89,5,0)</f>
        <v>416.1557399999997</v>
      </c>
      <c r="BF177" s="13">
        <f t="shared" si="167"/>
        <v>95.044407695945651</v>
      </c>
      <c r="BG177" s="20">
        <f t="shared" si="168"/>
        <v>890.34025723710477</v>
      </c>
      <c r="BH177" s="59">
        <f t="shared" si="116"/>
        <v>1181.1866832690896</v>
      </c>
      <c r="BI177" s="59">
        <f ca="1">AVERAGE(OFFSET($BH$3,0,0,'Données projet'!$E$11+1,1))-AVERAGE(OFFSET($H$3,0,0,'Données projet'!$E$11+1,1))</f>
        <v>559.91818701710872</v>
      </c>
      <c r="BJ177" s="59">
        <f t="shared" si="146"/>
        <v>273.47272623465915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44.72918349159675</v>
      </c>
      <c r="BQ177" s="21">
        <f>EXP(-LN(2)/25)*BQ176+(1-EXP(-LN(2)/25))/(LN(2)/25)*Calculateur!BL177*Calculateur!BN177*VLOOKUP('Données projet'!$B$11,Paramètres!$A$1:$I$89,3,0)*0.475*44/12</f>
        <v>19.682008870953172</v>
      </c>
      <c r="BR177" s="21">
        <f>EXP(-LN(2)/2)*BR176+(1-EXP(-LN(2)/2))/(LN(2)/2)*BL177*BO177*VLOOKUP('Données projet'!$B$11,Paramètres!$A$1:$I$89,3,0)*0.475*44/12</f>
        <v>1.8024719441687507E-4</v>
      </c>
      <c r="BS177" s="22">
        <f t="shared" si="169"/>
        <v>64.411372609744348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69.321752554177692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-1.1368683772161603E-13</v>
      </c>
      <c r="BZ177" s="13">
        <f>BY177*VLOOKUP('Données projet'!$B$12,Paramètres!$A$1:$I$89,3,0)*VLOOKUP('Données projet'!$B$12,Paramètres!$A$1:$I$89,5,0)</f>
        <v>-8.8675733422860506E-14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208.92677786250815</v>
      </c>
      <c r="CE177" s="59">
        <f t="shared" si="148"/>
        <v>207.54290142772214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3.4453990472146847</v>
      </c>
      <c r="CL177" s="21">
        <f>EXP(-LN(2)/25)*CL176+(1-EXP(-LN(2)/25))/(LN(2)/25)*Calculateur!CG177*Calculateur!CI177*VLOOKUP('Données projet'!$B$12,Paramètres!$A$1:$I$89,3,0)*0.475*44/12</f>
        <v>1.4765591533554399</v>
      </c>
      <c r="CM177" s="21">
        <f>EXP(-LN(2)/2)*CM176+(1-EXP(-LN(2)/2))/(LN(2)/2)*CG177*CJ177*VLOOKUP('Données projet'!$B$12,Paramètres!$A$1:$I$89,3,0)*0.475*44/12</f>
        <v>6.1149084241954125E-15</v>
      </c>
      <c r="CN177" s="22">
        <f t="shared" si="172"/>
        <v>4.9219582005701303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69.321752554177692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2.5579538487363607E-13</v>
      </c>
      <c r="CU177" s="17">
        <f>CT177*VLOOKUP('Données projet'!$B$13,Paramètres!$A$1:$I$89,3,0)*VLOOKUP('Données projet'!$B$13,Paramètres!$A$1:$I$89,5,0)</f>
        <v>2.4341488824575211E-13</v>
      </c>
      <c r="CV177" s="13">
        <f t="shared" si="173"/>
        <v>3.2970717324875541E-12</v>
      </c>
      <c r="CW177" s="20">
        <f t="shared" si="174"/>
        <v>6.1663475311105072E-12</v>
      </c>
      <c r="CX177" s="59">
        <f t="shared" si="122"/>
        <v>290.84642603199103</v>
      </c>
      <c r="CY177" s="59">
        <f ca="1">AVERAGE(OFFSET($CX$3,0,0,'Données projet'!$E$13+1,1))-AVERAGE(OFFSET($H$3,0,0,'Données projet'!$E$13+1,1))</f>
        <v>470.42022791389275</v>
      </c>
      <c r="CZ177" s="59">
        <f t="shared" si="150"/>
        <v>300.26117330627346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27.674816977369179</v>
      </c>
      <c r="DG177" s="21">
        <f>EXP(-LN(2)/25)*DG176+(1-EXP(-LN(2)/25))/(LN(2)/25)*Calculateur!DB177*Calculateur!DD177*VLOOKUP('Données projet'!$B$13,Paramètres!$A$1:$I$89,3,0)*0.475*44/12</f>
        <v>17.774913370817238</v>
      </c>
      <c r="DH177" s="21">
        <f>EXP(-LN(2)/2)*DH176+(1-EXP(-LN(2)/2))/(LN(2)/2)*DB177*DE177*VLOOKUP('Données projet'!$B$13,Paramètres!$A$1:$I$89,3,0)*0.475*44/12</f>
        <v>8.5475798068794505E-6</v>
      </c>
      <c r="DI177" s="22">
        <f t="shared" si="175"/>
        <v>45.449738895766231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69.321752554177692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7.688333333333337</v>
      </c>
      <c r="DO177" s="12">
        <f>IF('Données projet'!$A$166&gt;35,DO176+DN177-DW176,IF(A177&lt;'Données projet'!$A$166,$DL$205^A177,IF(A177='Données projet'!$A$166,'Données projet'!$B$166,DO176+DN177-DW176)))</f>
        <v>410.40999999999968</v>
      </c>
      <c r="DP177" s="17">
        <f>DO177*VLOOKUP('Données projet'!$B$14,Paramètres!$A$1:$I$89,3,0)*VLOOKUP('Données projet'!$B$14,Paramètres!$A$1:$I$89,5,0)</f>
        <v>396.94855199999972</v>
      </c>
      <c r="DQ177" s="13">
        <f t="shared" si="176"/>
        <v>91.157755520722489</v>
      </c>
      <c r="DR177" s="20">
        <f t="shared" si="177"/>
        <v>850.11848559859118</v>
      </c>
      <c r="DS177" s="59">
        <f t="shared" si="125"/>
        <v>1140.9649116305761</v>
      </c>
      <c r="DT177" s="59">
        <f ca="1">AVERAGE(OFFSET($DS$3,0,0,'Données projet'!$E$14+1,1))-AVERAGE(OFFSET($H$3,0,0,'Données projet'!$E$14+1,1))</f>
        <v>537.37164071064103</v>
      </c>
      <c r="DU177" s="59">
        <f t="shared" si="152"/>
        <v>263.29777321132235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25.087446872765216</v>
      </c>
      <c r="EB177" s="21">
        <f>EXP(-LN(2)/25)*EB176+(1-EXP(-LN(2)/25))/(LN(2)/25)*Calculateur!DW177*Calculateur!DY177*VLOOKUP('Données projet'!$B$14,Paramètres!$A$1:$I$89,3,0)*0.475*44/12</f>
        <v>20.824983371847885</v>
      </c>
      <c r="EC177" s="21">
        <f>EXP(-LN(2)/2)*EC176+(1-EXP(-LN(2)/2))/(LN(2)/2)*DW177*DZ177*VLOOKUP('Données projet'!$B$14,Paramètres!$A$1:$I$89,3,0)*0.475*44/12</f>
        <v>2.0650378452691984</v>
      </c>
      <c r="ED177" s="22">
        <f t="shared" si="178"/>
        <v>47.977468089882301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69.321752554177692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69.321752554177692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69.321752554177692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69.321752554177692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45">
      <c r="A178" s="10">
        <f t="shared" si="161"/>
        <v>175</v>
      </c>
      <c r="B178" s="73">
        <f>'Scénario référence'!$B$16*5+'Scénario référence'!$B$17*0+'Scénario référence'!$B$18*5</f>
        <v>2.8499999999999996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10.449999999999998</v>
      </c>
      <c r="H178" s="67">
        <f t="shared" si="110"/>
        <v>214.86666666666667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69.333518631028568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3.979039320256561E-13</v>
      </c>
      <c r="O178" s="13">
        <f>N178*VLOOKUP('Données projet'!$B$9,Paramètres!$A$1:$I$89,3,0)*VLOOKUP('Données projet'!$B$9,Paramètres!$A$1:$I$89,5,0)</f>
        <v>3.6002347769681362E-13</v>
      </c>
      <c r="P178" s="13">
        <f t="shared" si="141"/>
        <v>4.6593569189922594E-12</v>
      </c>
      <c r="Q178" s="20">
        <f t="shared" si="162"/>
        <v>8.7420875242334695E-12</v>
      </c>
      <c r="R178" s="59">
        <f t="shared" si="109"/>
        <v>290.88956831378016</v>
      </c>
      <c r="S178" s="59">
        <f ca="1">AVERAGE(OFFSET($R$3,0,0,'Données projet'!$E$9+1,1))-AVERAGE(OFFSET($H$3,0,0,'Données projet'!$E$9+1,1))</f>
        <v>719.20816951277925</v>
      </c>
      <c r="T178" s="59">
        <f t="shared" si="142"/>
        <v>237.1127421841087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126.94480592485134</v>
      </c>
      <c r="AA178" s="21">
        <f>EXP(-LN(2)/25)*AA177+(1-EXP(-LN(2)/25))/(LN(2)/25)*Calculateur!V178*Calculateur!X178*VLOOKUP('Données projet'!$B$9,Paramètres!$A$1:$I$89,3,0)*0.475*44/12</f>
        <v>19.517666158343928</v>
      </c>
      <c r="AB178" s="21">
        <f>EXP(-LN(2)/2)*AB177+(1-EXP(-LN(2)/2))/(LN(2)/2)*V178*Y178*VLOOKUP('Données projet'!$B$9,Paramètres!$A$1:$I$89,3,0)*0.475*44/12</f>
        <v>4.4462003535177215E-2</v>
      </c>
      <c r="AC178" s="22">
        <f t="shared" si="163"/>
        <v>146.50693408673047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69.333518631028568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5.6843418860808015E-14</v>
      </c>
      <c r="AJ178" s="13">
        <f>AI178*VLOOKUP('Données projet'!$B$10,Paramètres!$A$1:$I$89,3,0)*VLOOKUP('Données projet'!$B$10,Paramètres!$A$1:$I$89,5,0)</f>
        <v>4.7884896048344674E-14</v>
      </c>
      <c r="AK178" s="13">
        <f t="shared" si="164"/>
        <v>7.8374629847779921E-13</v>
      </c>
      <c r="AL178" s="20">
        <f t="shared" si="165"/>
        <v>1.4484243304663672E-12</v>
      </c>
      <c r="AM178" s="59">
        <f t="shared" si="113"/>
        <v>290.88956831377283</v>
      </c>
      <c r="AN178" s="59">
        <f ca="1">AVERAGE(OFFSET($AM$3,0,0,'Données projet'!$E$10+1,1))-AVERAGE(OFFSET($H$3,0,0,'Données projet'!$E$10+1,1))</f>
        <v>442.79037205372367</v>
      </c>
      <c r="AO178" s="59">
        <f t="shared" si="144"/>
        <v>288.23553637727969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31.197146793476168</v>
      </c>
      <c r="AV178" s="21">
        <f>EXP(-LN(2)/25)*AV177+(1-EXP(-LN(2)/25))/(LN(2)/25)*Calculateur!AQ178*Calculateur!AS178*VLOOKUP('Données projet'!$B$10,Paramètres!$A$1:$I$89,3,0)*0.475*44/12</f>
        <v>4.1304951527073257</v>
      </c>
      <c r="AW178" s="21">
        <f>EXP(-LN(2)/2)*AW177+(1-EXP(-LN(2)/2))/(LN(2)/2)*AQ178*AT178*VLOOKUP('Données projet'!$B$10,Paramètres!$A$1:$I$89,3,0)*0.475*44/12</f>
        <v>3.0552446093686126E-10</v>
      </c>
      <c r="AX178" s="21">
        <f t="shared" si="166"/>
        <v>35.327641946489017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69.333518631028568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7.688333333333337</v>
      </c>
      <c r="BD178" s="12">
        <f>IF('Données projet'!$A$88&gt;35,BD177+BC178-BL177,IF(A178&lt;'Données projet'!$A$88,$BA$205^A178,IF(A178='Données projet'!$A$88,'Données projet'!$B$88,BD177+BC178-BL177)))</f>
        <v>418.09833333333302</v>
      </c>
      <c r="BE178" s="13">
        <f>BD178*VLOOKUP('Données projet'!$B$11,Paramètres!$A$1:$I$89,3,0)*VLOOKUP('Données projet'!$B$11,Paramètres!$A$1:$I$89,5,0)</f>
        <v>423.95170999999976</v>
      </c>
      <c r="BF178" s="13">
        <f t="shared" si="167"/>
        <v>96.615949933698687</v>
      </c>
      <c r="BG178" s="20">
        <f t="shared" si="168"/>
        <v>906.65534105119139</v>
      </c>
      <c r="BH178" s="59">
        <f t="shared" si="116"/>
        <v>1197.5449093649627</v>
      </c>
      <c r="BI178" s="59">
        <f ca="1">AVERAGE(OFFSET($BH$3,0,0,'Données projet'!$E$11+1,1))-AVERAGE(OFFSET($H$3,0,0,'Données projet'!$E$11+1,1))</f>
        <v>559.91818701710872</v>
      </c>
      <c r="BJ178" s="59">
        <f t="shared" si="146"/>
        <v>273.47272623465915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43.852071485434585</v>
      </c>
      <c r="BQ178" s="21">
        <f>EXP(-LN(2)/25)*BQ177+(1-EXP(-LN(2)/25))/(LN(2)/25)*Calculateur!BL178*Calculateur!BN178*VLOOKUP('Données projet'!$B$11,Paramètres!$A$1:$I$89,3,0)*0.475*44/12</f>
        <v>19.143803303345095</v>
      </c>
      <c r="BR178" s="21">
        <f>EXP(-LN(2)/2)*BR177+(1-EXP(-LN(2)/2))/(LN(2)/2)*BL178*BO178*VLOOKUP('Données projet'!$B$11,Paramètres!$A$1:$I$89,3,0)*0.475*44/12</f>
        <v>1.2745401346202237E-4</v>
      </c>
      <c r="BS178" s="22">
        <f t="shared" si="169"/>
        <v>62.996002242793139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69.333518631028568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-1.1368683772161603E-13</v>
      </c>
      <c r="BZ178" s="13">
        <f>BY178*VLOOKUP('Données projet'!$B$12,Paramètres!$A$1:$I$89,3,0)*VLOOKUP('Données projet'!$B$12,Paramètres!$A$1:$I$89,5,0)</f>
        <v>-8.8675733422860506E-14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208.92677786250815</v>
      </c>
      <c r="CE178" s="59">
        <f t="shared" si="148"/>
        <v>207.54290142772214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3.3778368733847191</v>
      </c>
      <c r="CL178" s="21">
        <f>EXP(-LN(2)/25)*CL177+(1-EXP(-LN(2)/25))/(LN(2)/25)*Calculateur!CG178*Calculateur!CI178*VLOOKUP('Données projet'!$B$12,Paramètres!$A$1:$I$89,3,0)*0.475*44/12</f>
        <v>1.4361825656580642</v>
      </c>
      <c r="CM178" s="21">
        <f>EXP(-LN(2)/2)*CM177+(1-EXP(-LN(2)/2))/(LN(2)/2)*CG178*CJ178*VLOOKUP('Données projet'!$B$12,Paramètres!$A$1:$I$89,3,0)*0.475*44/12</f>
        <v>4.3238932130833216E-15</v>
      </c>
      <c r="CN178" s="22">
        <f t="shared" si="172"/>
        <v>4.814019439042788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69.333518631028568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2.5579538487363607E-13</v>
      </c>
      <c r="CU178" s="17">
        <f>CT178*VLOOKUP('Données projet'!$B$13,Paramètres!$A$1:$I$89,3,0)*VLOOKUP('Données projet'!$B$13,Paramètres!$A$1:$I$89,5,0)</f>
        <v>2.4341488824575211E-13</v>
      </c>
      <c r="CV178" s="13">
        <f t="shared" si="173"/>
        <v>3.2970717324875541E-12</v>
      </c>
      <c r="CW178" s="20">
        <f t="shared" si="174"/>
        <v>6.1663475311105072E-12</v>
      </c>
      <c r="CX178" s="59">
        <f t="shared" si="122"/>
        <v>290.88956831377754</v>
      </c>
      <c r="CY178" s="59">
        <f ca="1">AVERAGE(OFFSET($CX$3,0,0,'Données projet'!$E$13+1,1))-AVERAGE(OFFSET($H$3,0,0,'Données projet'!$E$13+1,1))</f>
        <v>470.42022791389275</v>
      </c>
      <c r="CZ178" s="59">
        <f t="shared" si="150"/>
        <v>300.26117330627346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27.132130696414567</v>
      </c>
      <c r="DG178" s="21">
        <f>EXP(-LN(2)/25)*DG177+(1-EXP(-LN(2)/25))/(LN(2)/25)*Calculateur!DB178*Calculateur!DD178*VLOOKUP('Données projet'!$B$13,Paramètres!$A$1:$I$89,3,0)*0.475*44/12</f>
        <v>17.28885742995017</v>
      </c>
      <c r="DH178" s="21">
        <f>EXP(-LN(2)/2)*DH177+(1-EXP(-LN(2)/2))/(LN(2)/2)*DB178*DE178*VLOOKUP('Données projet'!$B$13,Paramètres!$A$1:$I$89,3,0)*0.475*44/12</f>
        <v>6.0440516441776599E-6</v>
      </c>
      <c r="DI178" s="22">
        <f t="shared" si="175"/>
        <v>44.420994170416378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69.333518631028568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7.688333333333337</v>
      </c>
      <c r="DO178" s="12">
        <f>IF('Données projet'!$A$166&gt;35,DO177+DN178-DW177,IF(A178&lt;'Données projet'!$A$166,$DL$205^A178,IF(A178='Données projet'!$A$166,'Données projet'!$B$166,DO177+DN178-DW177)))</f>
        <v>418.09833333333302</v>
      </c>
      <c r="DP178" s="17">
        <f>DO178*VLOOKUP('Données projet'!$B$14,Paramètres!$A$1:$I$89,3,0)*VLOOKUP('Données projet'!$B$14,Paramètres!$A$1:$I$89,5,0)</f>
        <v>404.3847079999997</v>
      </c>
      <c r="DQ178" s="13">
        <f t="shared" si="176"/>
        <v>92.665032661718087</v>
      </c>
      <c r="DR178" s="20">
        <f t="shared" si="177"/>
        <v>865.6949649858251</v>
      </c>
      <c r="DS178" s="59">
        <f t="shared" si="125"/>
        <v>1156.5845332995964</v>
      </c>
      <c r="DT178" s="59">
        <f ca="1">AVERAGE(OFFSET($DS$3,0,0,'Données projet'!$E$14+1,1))-AVERAGE(OFFSET($H$3,0,0,'Données projet'!$E$14+1,1))</f>
        <v>537.37164071064103</v>
      </c>
      <c r="DU178" s="59">
        <f t="shared" si="152"/>
        <v>263.29777321132235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24.595497341421954</v>
      </c>
      <c r="EB178" s="21">
        <f>EXP(-LN(2)/25)*EB177+(1-EXP(-LN(2)/25))/(LN(2)/25)*Calculateur!DW178*Calculateur!DY178*VLOOKUP('Données projet'!$B$14,Paramètres!$A$1:$I$89,3,0)*0.475*44/12</f>
        <v>20.255523106406425</v>
      </c>
      <c r="EC178" s="21">
        <f>EXP(-LN(2)/2)*EC177+(1-EXP(-LN(2)/2))/(LN(2)/2)*DW178*DZ178*VLOOKUP('Données projet'!$B$14,Paramètres!$A$1:$I$89,3,0)*0.475*44/12</f>
        <v>1.4602022637967067</v>
      </c>
      <c r="ED178" s="22">
        <f t="shared" si="178"/>
        <v>46.311222711625085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69.333518631028568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69.333518631028568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69.333518631028568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69.333518631028568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45">
      <c r="A179" s="10">
        <f t="shared" si="161"/>
        <v>176</v>
      </c>
      <c r="B179" s="73">
        <f>'Scénario référence'!$B$16*5+'Scénario référence'!$B$17*0+'Scénario référence'!$B$18*5</f>
        <v>2.8499999999999996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10.449999999999998</v>
      </c>
      <c r="H179" s="67">
        <f t="shared" si="110"/>
        <v>214.86666666666667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69.345080592751117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3.979039320256561E-13</v>
      </c>
      <c r="O179" s="13">
        <f>N179*VLOOKUP('Données projet'!$B$9,Paramètres!$A$1:$I$89,3,0)*VLOOKUP('Données projet'!$B$9,Paramètres!$A$1:$I$89,5,0)</f>
        <v>3.6002347769681362E-13</v>
      </c>
      <c r="P179" s="13">
        <f t="shared" si="141"/>
        <v>4.6593569189922594E-12</v>
      </c>
      <c r="Q179" s="20">
        <f t="shared" si="162"/>
        <v>8.7420875242334695E-12</v>
      </c>
      <c r="R179" s="59">
        <f t="shared" si="109"/>
        <v>290.9319621734295</v>
      </c>
      <c r="S179" s="59">
        <f ca="1">AVERAGE(OFFSET($R$3,0,0,'Données projet'!$E$9+1,1))-AVERAGE(OFFSET($H$3,0,0,'Données projet'!$E$9+1,1))</f>
        <v>719.20816951277925</v>
      </c>
      <c r="T179" s="59">
        <f t="shared" si="142"/>
        <v>237.1127421841087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124.45549570935117</v>
      </c>
      <c r="AA179" s="21">
        <f>EXP(-LN(2)/25)*AA178+(1-EXP(-LN(2)/25))/(LN(2)/25)*Calculateur!V179*Calculateur!X179*VLOOKUP('Données projet'!$B$9,Paramètres!$A$1:$I$89,3,0)*0.475*44/12</f>
        <v>18.983954550854559</v>
      </c>
      <c r="AB179" s="21">
        <f>EXP(-LN(2)/2)*AB178+(1-EXP(-LN(2)/2))/(LN(2)/2)*V179*Y179*VLOOKUP('Données projet'!$B$9,Paramètres!$A$1:$I$89,3,0)*0.475*44/12</f>
        <v>3.1439384204864057E-2</v>
      </c>
      <c r="AC179" s="22">
        <f t="shared" si="163"/>
        <v>143.47088964441059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69.345080592751117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5.6843418860808015E-14</v>
      </c>
      <c r="AJ179" s="13">
        <f>AI179*VLOOKUP('Données projet'!$B$10,Paramètres!$A$1:$I$89,3,0)*VLOOKUP('Données projet'!$B$10,Paramètres!$A$1:$I$89,5,0)</f>
        <v>4.7884896048344674E-14</v>
      </c>
      <c r="AK179" s="13">
        <f t="shared" si="164"/>
        <v>7.8374629847779921E-13</v>
      </c>
      <c r="AL179" s="20">
        <f t="shared" si="165"/>
        <v>1.4484243304663672E-12</v>
      </c>
      <c r="AM179" s="59">
        <f t="shared" si="113"/>
        <v>290.93196217342216</v>
      </c>
      <c r="AN179" s="59">
        <f ca="1">AVERAGE(OFFSET($AM$3,0,0,'Données projet'!$E$10+1,1))-AVERAGE(OFFSET($H$3,0,0,'Données projet'!$E$10+1,1))</f>
        <v>442.79037205372367</v>
      </c>
      <c r="AO179" s="59">
        <f t="shared" si="144"/>
        <v>288.23553637727969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30.585389773236749</v>
      </c>
      <c r="AV179" s="21">
        <f>EXP(-LN(2)/25)*AV178+(1-EXP(-LN(2)/25))/(LN(2)/25)*Calculateur!AQ179*Calculateur!AS179*VLOOKUP('Données projet'!$B$10,Paramètres!$A$1:$I$89,3,0)*0.475*44/12</f>
        <v>4.0175465455432438</v>
      </c>
      <c r="AW179" s="21">
        <f>EXP(-LN(2)/2)*AW178+(1-EXP(-LN(2)/2))/(LN(2)/2)*AQ179*AT179*VLOOKUP('Données projet'!$B$10,Paramètres!$A$1:$I$89,3,0)*0.475*44/12</f>
        <v>2.1603841814681904E-10</v>
      </c>
      <c r="AX179" s="21">
        <f t="shared" si="166"/>
        <v>34.602936318996036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69.345080592751117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7.688333333333337</v>
      </c>
      <c r="BD179" s="12">
        <f>IF('Données projet'!$A$88&gt;35,BD178+BC179-BL178,IF(A179&lt;'Données projet'!$A$88,$BA$205^A179,IF(A179='Données projet'!$A$88,'Données projet'!$B$88,BD178+BC179-BL178)))</f>
        <v>425.78666666666635</v>
      </c>
      <c r="BE179" s="13">
        <f>BD179*VLOOKUP('Données projet'!$B$11,Paramètres!$A$1:$I$89,3,0)*VLOOKUP('Données projet'!$B$11,Paramètres!$A$1:$I$89,5,0)</f>
        <v>431.74767999999972</v>
      </c>
      <c r="BF179" s="13">
        <f t="shared" si="167"/>
        <v>98.184131748284557</v>
      </c>
      <c r="BG179" s="20">
        <f t="shared" si="168"/>
        <v>922.96457212826181</v>
      </c>
      <c r="BH179" s="59">
        <f t="shared" si="116"/>
        <v>1213.8965343016825</v>
      </c>
      <c r="BI179" s="59">
        <f ca="1">AVERAGE(OFFSET($BH$3,0,0,'Données projet'!$E$11+1,1))-AVERAGE(OFFSET($H$3,0,0,'Données projet'!$E$11+1,1))</f>
        <v>559.91818701710872</v>
      </c>
      <c r="BJ179" s="59">
        <f t="shared" si="146"/>
        <v>273.47272623465915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42.992159110727762</v>
      </c>
      <c r="BQ179" s="21">
        <f>EXP(-LN(2)/25)*BQ178+(1-EXP(-LN(2)/25))/(LN(2)/25)*Calculateur!BL179*Calculateur!BN179*VLOOKUP('Données projet'!$B$11,Paramètres!$A$1:$I$89,3,0)*0.475*44/12</f>
        <v>18.620314995286261</v>
      </c>
      <c r="BR179" s="21">
        <f>EXP(-LN(2)/2)*BR178+(1-EXP(-LN(2)/2))/(LN(2)/2)*BL179*BO179*VLOOKUP('Données projet'!$B$11,Paramètres!$A$1:$I$89,3,0)*0.475*44/12</f>
        <v>9.0123597208437533E-5</v>
      </c>
      <c r="BS179" s="22">
        <f t="shared" si="169"/>
        <v>61.61256422961123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69.345080592751117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-1.1368683772161603E-13</v>
      </c>
      <c r="BZ179" s="13">
        <f>BY179*VLOOKUP('Données projet'!$B$12,Paramètres!$A$1:$I$89,3,0)*VLOOKUP('Données projet'!$B$12,Paramètres!$A$1:$I$89,5,0)</f>
        <v>-8.8675733422860506E-14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208.92677786250815</v>
      </c>
      <c r="CE179" s="59">
        <f t="shared" si="148"/>
        <v>207.54290142772214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3.3115995525747022</v>
      </c>
      <c r="CL179" s="21">
        <f>EXP(-LN(2)/25)*CL178+(1-EXP(-LN(2)/25))/(LN(2)/25)*Calculateur!CG179*Calculateur!CI179*VLOOKUP('Données projet'!$B$12,Paramètres!$A$1:$I$89,3,0)*0.475*44/12</f>
        <v>1.3969100778745858</v>
      </c>
      <c r="CM179" s="21">
        <f>EXP(-LN(2)/2)*CM178+(1-EXP(-LN(2)/2))/(LN(2)/2)*CG179*CJ179*VLOOKUP('Données projet'!$B$12,Paramètres!$A$1:$I$89,3,0)*0.475*44/12</f>
        <v>3.0574542120977062E-15</v>
      </c>
      <c r="CN179" s="22">
        <f t="shared" si="172"/>
        <v>4.7085096304492904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69.345080592751117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2.5579538487363607E-13</v>
      </c>
      <c r="CU179" s="17">
        <f>CT179*VLOOKUP('Données projet'!$B$13,Paramètres!$A$1:$I$89,3,0)*VLOOKUP('Données projet'!$B$13,Paramètres!$A$1:$I$89,5,0)</f>
        <v>2.4341488824575211E-13</v>
      </c>
      <c r="CV179" s="13">
        <f t="shared" si="173"/>
        <v>3.2970717324875541E-12</v>
      </c>
      <c r="CW179" s="20">
        <f t="shared" si="174"/>
        <v>6.1663475311105072E-12</v>
      </c>
      <c r="CX179" s="59">
        <f t="shared" si="122"/>
        <v>290.93196217342688</v>
      </c>
      <c r="CY179" s="59">
        <f ca="1">AVERAGE(OFFSET($CX$3,0,0,'Données projet'!$E$13+1,1))-AVERAGE(OFFSET($H$3,0,0,'Données projet'!$E$13+1,1))</f>
        <v>470.42022791389275</v>
      </c>
      <c r="CZ179" s="59">
        <f t="shared" si="150"/>
        <v>300.26117330627346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26.600086162423526</v>
      </c>
      <c r="DG179" s="21">
        <f>EXP(-LN(2)/25)*DG178+(1-EXP(-LN(2)/25))/(LN(2)/25)*Calculateur!DB179*Calculateur!DD179*VLOOKUP('Données projet'!$B$13,Paramètres!$A$1:$I$89,3,0)*0.475*44/12</f>
        <v>16.816092714346684</v>
      </c>
      <c r="DH179" s="21">
        <f>EXP(-LN(2)/2)*DH178+(1-EXP(-LN(2)/2))/(LN(2)/2)*DB179*DE179*VLOOKUP('Données projet'!$B$13,Paramètres!$A$1:$I$89,3,0)*0.475*44/12</f>
        <v>4.2737899034397253E-6</v>
      </c>
      <c r="DI179" s="22">
        <f t="shared" si="175"/>
        <v>43.416183150560116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69.345080592751117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7.688333333333337</v>
      </c>
      <c r="DO179" s="12">
        <f>IF('Données projet'!$A$166&gt;35,DO178+DN179-DW178,IF(A179&lt;'Données projet'!$A$166,$DL$205^A179,IF(A179='Données projet'!$A$166,'Données projet'!$B$166,DO178+DN179-DW178)))</f>
        <v>425.78666666666635</v>
      </c>
      <c r="DP179" s="17">
        <f>DO179*VLOOKUP('Données projet'!$B$14,Paramètres!$A$1:$I$89,3,0)*VLOOKUP('Données projet'!$B$14,Paramètres!$A$1:$I$89,5,0)</f>
        <v>411.82086399999974</v>
      </c>
      <c r="DQ179" s="13">
        <f t="shared" si="176"/>
        <v>94.169086797374149</v>
      </c>
      <c r="DR179" s="20">
        <f t="shared" si="177"/>
        <v>881.26583097209289</v>
      </c>
      <c r="DS179" s="59">
        <f t="shared" si="125"/>
        <v>1172.1977931455135</v>
      </c>
      <c r="DT179" s="59">
        <f ca="1">AVERAGE(OFFSET($DS$3,0,0,'Données projet'!$E$14+1,1))-AVERAGE(OFFSET($H$3,0,0,'Données projet'!$E$14+1,1))</f>
        <v>537.37164071064103</v>
      </c>
      <c r="DU179" s="59">
        <f t="shared" si="152"/>
        <v>263.29777321132235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24.113194640328746</v>
      </c>
      <c r="EB179" s="21">
        <f>EXP(-LN(2)/25)*EB178+(1-EXP(-LN(2)/25))/(LN(2)/25)*Calculateur!DW179*Calculateur!DY179*VLOOKUP('Données projet'!$B$14,Paramètres!$A$1:$I$89,3,0)*0.475*44/12</f>
        <v>19.701634761870075</v>
      </c>
      <c r="EC179" s="21">
        <f>EXP(-LN(2)/2)*EC178+(1-EXP(-LN(2)/2))/(LN(2)/2)*DW179*DZ179*VLOOKUP('Données projet'!$B$14,Paramètres!$A$1:$I$89,3,0)*0.475*44/12</f>
        <v>1.0325189226345992</v>
      </c>
      <c r="ED179" s="22">
        <f t="shared" si="178"/>
        <v>44.847348324833426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69.345080592751117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69.345080592751117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69.345080592751117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69.345080592751117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45">
      <c r="A180" s="10">
        <f t="shared" si="161"/>
        <v>177</v>
      </c>
      <c r="B180" s="73">
        <f>'Scénario référence'!$B$16*5+'Scénario référence'!$B$17*0+'Scénario référence'!$B$18*5</f>
        <v>2.8499999999999996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10.449999999999998</v>
      </c>
      <c r="H180" s="67">
        <f t="shared" si="110"/>
        <v>214.86666666666667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69.356441980286434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3.979039320256561E-13</v>
      </c>
      <c r="O180" s="13">
        <f>N180*VLOOKUP('Données projet'!$B$9,Paramètres!$A$1:$I$89,3,0)*VLOOKUP('Données projet'!$B$9,Paramètres!$A$1:$I$89,5,0)</f>
        <v>3.6002347769681362E-13</v>
      </c>
      <c r="P180" s="13">
        <f t="shared" si="141"/>
        <v>4.6593569189922594E-12</v>
      </c>
      <c r="Q180" s="20">
        <f t="shared" si="162"/>
        <v>8.7420875242334695E-12</v>
      </c>
      <c r="R180" s="59">
        <f t="shared" si="109"/>
        <v>290.97362059439234</v>
      </c>
      <c r="S180" s="59">
        <f ca="1">AVERAGE(OFFSET($R$3,0,0,'Données projet'!$E$9+1,1))-AVERAGE(OFFSET($H$3,0,0,'Données projet'!$E$9+1,1))</f>
        <v>719.20816951277925</v>
      </c>
      <c r="T180" s="59">
        <f t="shared" si="142"/>
        <v>237.1127421841087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122.01499934884765</v>
      </c>
      <c r="AA180" s="21">
        <f>EXP(-LN(2)/25)*AA179+(1-EXP(-LN(2)/25))/(LN(2)/25)*Calculateur!V180*Calculateur!X180*VLOOKUP('Données projet'!$B$9,Paramètres!$A$1:$I$89,3,0)*0.475*44/12</f>
        <v>18.464837315338659</v>
      </c>
      <c r="AB180" s="21">
        <f>EXP(-LN(2)/2)*AB179+(1-EXP(-LN(2)/2))/(LN(2)/2)*V180*Y180*VLOOKUP('Données projet'!$B$9,Paramètres!$A$1:$I$89,3,0)*0.475*44/12</f>
        <v>2.2231001767588607E-2</v>
      </c>
      <c r="AC180" s="22">
        <f t="shared" si="163"/>
        <v>140.50206766595389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69.356441980286434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5.6843418860808015E-14</v>
      </c>
      <c r="AJ180" s="13">
        <f>AI180*VLOOKUP('Données projet'!$B$10,Paramètres!$A$1:$I$89,3,0)*VLOOKUP('Données projet'!$B$10,Paramètres!$A$1:$I$89,5,0)</f>
        <v>4.7884896048344674E-14</v>
      </c>
      <c r="AK180" s="13">
        <f t="shared" si="164"/>
        <v>7.8374629847779921E-13</v>
      </c>
      <c r="AL180" s="20">
        <f t="shared" si="165"/>
        <v>1.4484243304663672E-12</v>
      </c>
      <c r="AM180" s="59">
        <f t="shared" si="113"/>
        <v>290.97362059438501</v>
      </c>
      <c r="AN180" s="59">
        <f ca="1">AVERAGE(OFFSET($AM$3,0,0,'Données projet'!$E$10+1,1))-AVERAGE(OFFSET($H$3,0,0,'Données projet'!$E$10+1,1))</f>
        <v>442.79037205372367</v>
      </c>
      <c r="AO180" s="59">
        <f t="shared" si="144"/>
        <v>288.23553637727969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29.985628935029286</v>
      </c>
      <c r="AV180" s="21">
        <f>EXP(-LN(2)/25)*AV179+(1-EXP(-LN(2)/25))/(LN(2)/25)*Calculateur!AQ180*Calculateur!AS180*VLOOKUP('Données projet'!$B$10,Paramètres!$A$1:$I$89,3,0)*0.475*44/12</f>
        <v>3.9076865239817731</v>
      </c>
      <c r="AW180" s="21">
        <f>EXP(-LN(2)/2)*AW179+(1-EXP(-LN(2)/2))/(LN(2)/2)*AQ180*AT180*VLOOKUP('Données projet'!$B$10,Paramètres!$A$1:$I$89,3,0)*0.475*44/12</f>
        <v>1.5276223046843063E-10</v>
      </c>
      <c r="AX180" s="21">
        <f t="shared" si="166"/>
        <v>33.893315459163816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69.356441980286434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7.688333333333337</v>
      </c>
      <c r="BD180" s="12">
        <f>IF('Données projet'!$A$88&gt;35,BD179+BC180-BL179,IF(A180&lt;'Données projet'!$A$88,$BA$205^A180,IF(A180='Données projet'!$A$88,'Données projet'!$B$88,BD179+BC180-BL179)))</f>
        <v>433.47499999999968</v>
      </c>
      <c r="BE180" s="13">
        <f>BD180*VLOOKUP('Données projet'!$B$11,Paramètres!$A$1:$I$89,3,0)*VLOOKUP('Données projet'!$B$11,Paramètres!$A$1:$I$89,5,0)</f>
        <v>439.54364999999967</v>
      </c>
      <c r="BF180" s="13">
        <f t="shared" si="167"/>
        <v>99.749020817344601</v>
      </c>
      <c r="BG180" s="20">
        <f t="shared" si="168"/>
        <v>939.26806834020806</v>
      </c>
      <c r="BH180" s="59">
        <f t="shared" si="116"/>
        <v>1230.2416889345916</v>
      </c>
      <c r="BI180" s="59">
        <f ca="1">AVERAGE(OFFSET($BH$3,0,0,'Données projet'!$E$11+1,1))-AVERAGE(OFFSET($H$3,0,0,'Données projet'!$E$11+1,1))</f>
        <v>559.91818701710872</v>
      </c>
      <c r="BJ180" s="59">
        <f t="shared" si="146"/>
        <v>273.47272623465915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42.149109093194177</v>
      </c>
      <c r="BQ180" s="21">
        <f>EXP(-LN(2)/25)*BQ179+(1-EXP(-LN(2)/25))/(LN(2)/25)*Calculateur!BL180*Calculateur!BN180*VLOOKUP('Données projet'!$B$11,Paramètres!$A$1:$I$89,3,0)*0.475*44/12</f>
        <v>18.111141502540349</v>
      </c>
      <c r="BR180" s="21">
        <f>EXP(-LN(2)/2)*BR179+(1-EXP(-LN(2)/2))/(LN(2)/2)*BL180*BO180*VLOOKUP('Données projet'!$B$11,Paramètres!$A$1:$I$89,3,0)*0.475*44/12</f>
        <v>6.3727006731011183E-5</v>
      </c>
      <c r="BS180" s="22">
        <f t="shared" si="169"/>
        <v>60.260314322741259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69.356441980286434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-1.1368683772161603E-13</v>
      </c>
      <c r="BZ180" s="13">
        <f>BY180*VLOOKUP('Données projet'!$B$12,Paramètres!$A$1:$I$89,3,0)*VLOOKUP('Données projet'!$B$12,Paramètres!$A$1:$I$89,5,0)</f>
        <v>-8.8675733422860506E-14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208.92677786250815</v>
      </c>
      <c r="CE180" s="59">
        <f t="shared" si="148"/>
        <v>207.54290142772214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3.2466611052249932</v>
      </c>
      <c r="CL180" s="21">
        <f>EXP(-LN(2)/25)*CL179+(1-EXP(-LN(2)/25))/(LN(2)/25)*Calculateur!CG180*Calculateur!CI180*VLOOKUP('Données projet'!$B$12,Paramètres!$A$1:$I$89,3,0)*0.475*44/12</f>
        <v>1.358711498334797</v>
      </c>
      <c r="CM180" s="21">
        <f>EXP(-LN(2)/2)*CM179+(1-EXP(-LN(2)/2))/(LN(2)/2)*CG180*CJ180*VLOOKUP('Données projet'!$B$12,Paramètres!$A$1:$I$89,3,0)*0.475*44/12</f>
        <v>2.1619466065416608E-15</v>
      </c>
      <c r="CN180" s="22">
        <f t="shared" si="172"/>
        <v>4.6053726035597915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69.356441980286434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2.5579538487363607E-13</v>
      </c>
      <c r="CU180" s="17">
        <f>CT180*VLOOKUP('Données projet'!$B$13,Paramètres!$A$1:$I$89,3,0)*VLOOKUP('Données projet'!$B$13,Paramètres!$A$1:$I$89,5,0)</f>
        <v>2.4341488824575211E-13</v>
      </c>
      <c r="CV180" s="13">
        <f t="shared" si="173"/>
        <v>3.2970717324875541E-12</v>
      </c>
      <c r="CW180" s="20">
        <f t="shared" si="174"/>
        <v>6.1663475311105072E-12</v>
      </c>
      <c r="CX180" s="59">
        <f t="shared" si="122"/>
        <v>290.97362059438973</v>
      </c>
      <c r="CY180" s="59">
        <f ca="1">AVERAGE(OFFSET($CX$3,0,0,'Données projet'!$E$13+1,1))-AVERAGE(OFFSET($H$3,0,0,'Données projet'!$E$13+1,1))</f>
        <v>470.42022791389275</v>
      </c>
      <c r="CZ180" s="59">
        <f t="shared" si="150"/>
        <v>300.26117330627346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26.078474697228927</v>
      </c>
      <c r="DG180" s="21">
        <f>EXP(-LN(2)/25)*DG179+(1-EXP(-LN(2)/25))/(LN(2)/25)*Calculateur!DB180*Calculateur!DD180*VLOOKUP('Données projet'!$B$13,Paramètres!$A$1:$I$89,3,0)*0.475*44/12</f>
        <v>16.356255774752992</v>
      </c>
      <c r="DH180" s="21">
        <f>EXP(-LN(2)/2)*DH179+(1-EXP(-LN(2)/2))/(LN(2)/2)*DB180*DE180*VLOOKUP('Données projet'!$B$13,Paramètres!$A$1:$I$89,3,0)*0.475*44/12</f>
        <v>3.0220258220888299E-6</v>
      </c>
      <c r="DI180" s="22">
        <f t="shared" si="175"/>
        <v>42.434733494007745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69.356441980286434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7.688333333333337</v>
      </c>
      <c r="DO180" s="12">
        <f>IF('Données projet'!$A$166&gt;35,DO179+DN180-DW179,IF(A180&lt;'Données projet'!$A$166,$DL$205^A180,IF(A180='Données projet'!$A$166,'Données projet'!$B$166,DO179+DN180-DW179)))</f>
        <v>433.47499999999968</v>
      </c>
      <c r="DP180" s="17">
        <f>DO180*VLOOKUP('Données projet'!$B$14,Paramètres!$A$1:$I$89,3,0)*VLOOKUP('Données projet'!$B$14,Paramètres!$A$1:$I$89,5,0)</f>
        <v>419.25701999999967</v>
      </c>
      <c r="DQ180" s="13">
        <f t="shared" si="176"/>
        <v>95.669982837789078</v>
      </c>
      <c r="DR180" s="20">
        <f t="shared" si="177"/>
        <v>896.83119660914872</v>
      </c>
      <c r="DS180" s="59">
        <f t="shared" si="125"/>
        <v>1187.8048172035324</v>
      </c>
      <c r="DT180" s="59">
        <f ca="1">AVERAGE(OFFSET($DS$3,0,0,'Données projet'!$E$14+1,1))-AVERAGE(OFFSET($H$3,0,0,'Données projet'!$E$14+1,1))</f>
        <v>537.37164071064103</v>
      </c>
      <c r="DU180" s="59">
        <f t="shared" si="152"/>
        <v>263.29777321132235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23.640349601028376</v>
      </c>
      <c r="EB180" s="21">
        <f>EXP(-LN(2)/25)*EB179+(1-EXP(-LN(2)/25))/(LN(2)/25)*Calculateur!DW180*Calculateur!DY180*VLOOKUP('Données projet'!$B$14,Paramètres!$A$1:$I$89,3,0)*0.475*44/12</f>
        <v>19.162892523242796</v>
      </c>
      <c r="EC180" s="21">
        <f>EXP(-LN(2)/2)*EC179+(1-EXP(-LN(2)/2))/(LN(2)/2)*DW180*DZ180*VLOOKUP('Données projet'!$B$14,Paramètres!$A$1:$I$89,3,0)*0.475*44/12</f>
        <v>0.73010113189835335</v>
      </c>
      <c r="ED180" s="22">
        <f t="shared" si="178"/>
        <v>43.533343256169523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69.356441980286434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69.356441980286434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69.356441980286434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69.356441980286434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45">
      <c r="A181" s="10">
        <f t="shared" si="161"/>
        <v>178</v>
      </c>
      <c r="B181" s="73">
        <f>'Scénario référence'!$B$16*5+'Scénario référence'!$B$17*0+'Scénario référence'!$B$18*5</f>
        <v>2.8499999999999996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10.449999999999998</v>
      </c>
      <c r="H181" s="67">
        <f t="shared" si="110"/>
        <v>214.86666666666667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69.367606273148283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3.979039320256561E-13</v>
      </c>
      <c r="O181" s="13">
        <f>N181*VLOOKUP('Données projet'!$B$9,Paramètres!$A$1:$I$89,3,0)*VLOOKUP('Données projet'!$B$9,Paramètres!$A$1:$I$89,5,0)</f>
        <v>3.6002347769681362E-13</v>
      </c>
      <c r="P181" s="13">
        <f t="shared" si="141"/>
        <v>4.6593569189922594E-12</v>
      </c>
      <c r="Q181" s="20">
        <f t="shared" si="162"/>
        <v>8.7420875242334695E-12</v>
      </c>
      <c r="R181" s="59">
        <f t="shared" si="109"/>
        <v>291.01455633488575</v>
      </c>
      <c r="S181" s="59">
        <f ca="1">AVERAGE(OFFSET($R$3,0,0,'Données projet'!$E$9+1,1))-AVERAGE(OFFSET($H$3,0,0,'Données projet'!$E$9+1,1))</f>
        <v>719.20816951277925</v>
      </c>
      <c r="T181" s="59">
        <f t="shared" si="142"/>
        <v>237.1127421841087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119.62235963341782</v>
      </c>
      <c r="AA181" s="21">
        <f>EXP(-LN(2)/25)*AA180+(1-EXP(-LN(2)/25))/(LN(2)/25)*Calculateur!V181*Calculateur!X181*VLOOKUP('Données projet'!$B$9,Paramètres!$A$1:$I$89,3,0)*0.475*44/12</f>
        <v>17.959915367927131</v>
      </c>
      <c r="AB181" s="21">
        <f>EXP(-LN(2)/2)*AB180+(1-EXP(-LN(2)/2))/(LN(2)/2)*V181*Y181*VLOOKUP('Données projet'!$B$9,Paramètres!$A$1:$I$89,3,0)*0.475*44/12</f>
        <v>1.5719692102432029E-2</v>
      </c>
      <c r="AC181" s="22">
        <f t="shared" si="163"/>
        <v>137.59799469344739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69.367606273148283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5.6843418860808015E-14</v>
      </c>
      <c r="AJ181" s="13">
        <f>AI181*VLOOKUP('Données projet'!$B$10,Paramètres!$A$1:$I$89,3,0)*VLOOKUP('Données projet'!$B$10,Paramètres!$A$1:$I$89,5,0)</f>
        <v>4.7884896048344674E-14</v>
      </c>
      <c r="AK181" s="13">
        <f t="shared" si="164"/>
        <v>7.8374629847779921E-13</v>
      </c>
      <c r="AL181" s="20">
        <f t="shared" si="165"/>
        <v>1.4484243304663672E-12</v>
      </c>
      <c r="AM181" s="59">
        <f t="shared" si="113"/>
        <v>291.01455633487842</v>
      </c>
      <c r="AN181" s="59">
        <f ca="1">AVERAGE(OFFSET($AM$3,0,0,'Données projet'!$E$10+1,1))-AVERAGE(OFFSET($H$3,0,0,'Données projet'!$E$10+1,1))</f>
        <v>442.79037205372367</v>
      </c>
      <c r="AO181" s="59">
        <f t="shared" si="144"/>
        <v>288.23553637727969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29.397629041041082</v>
      </c>
      <c r="AV181" s="21">
        <f>EXP(-LN(2)/25)*AV180+(1-EXP(-LN(2)/25))/(LN(2)/25)*Calculateur!AQ181*Calculateur!AS181*VLOOKUP('Données projet'!$B$10,Paramètres!$A$1:$I$89,3,0)*0.475*44/12</f>
        <v>3.8008306304871882</v>
      </c>
      <c r="AW181" s="21">
        <f>EXP(-LN(2)/2)*AW180+(1-EXP(-LN(2)/2))/(LN(2)/2)*AQ181*AT181*VLOOKUP('Données projet'!$B$10,Paramètres!$A$1:$I$89,3,0)*0.475*44/12</f>
        <v>1.0801920907340952E-10</v>
      </c>
      <c r="AX181" s="21">
        <f t="shared" si="166"/>
        <v>33.198459671636286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69.367606273148283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7.688333333333337</v>
      </c>
      <c r="BD181" s="12">
        <f>IF('Données projet'!$A$88&gt;35,BD180+BC181-BL180,IF(A181&lt;'Données projet'!$A$88,$BA$205^A181,IF(A181='Données projet'!$A$88,'Données projet'!$B$88,BD180+BC181-BL180)))</f>
        <v>441.16333333333301</v>
      </c>
      <c r="BE181" s="13">
        <f>BD181*VLOOKUP('Données projet'!$B$11,Paramètres!$A$1:$I$89,3,0)*VLOOKUP('Données projet'!$B$11,Paramètres!$A$1:$I$89,5,0)</f>
        <v>447.33961999999968</v>
      </c>
      <c r="BF181" s="13">
        <f t="shared" si="167"/>
        <v>101.31068228028938</v>
      </c>
      <c r="BG181" s="20">
        <f t="shared" si="168"/>
        <v>955.56594313817016</v>
      </c>
      <c r="BH181" s="59">
        <f t="shared" si="116"/>
        <v>1246.5804994730472</v>
      </c>
      <c r="BI181" s="59">
        <f ca="1">AVERAGE(OFFSET($BH$3,0,0,'Données projet'!$E$11+1,1))-AVERAGE(OFFSET($H$3,0,0,'Données projet'!$E$11+1,1))</f>
        <v>559.91818701710872</v>
      </c>
      <c r="BJ181" s="59">
        <f t="shared" si="146"/>
        <v>273.47272623465915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41.322590772294689</v>
      </c>
      <c r="BQ181" s="21">
        <f>EXP(-LN(2)/25)*BQ180+(1-EXP(-LN(2)/25))/(LN(2)/25)*Calculateur!BL181*Calculateur!BN181*VLOOKUP('Données projet'!$B$11,Paramètres!$A$1:$I$89,3,0)*0.475*44/12</f>
        <v>17.615891385729846</v>
      </c>
      <c r="BR181" s="21">
        <f>EXP(-LN(2)/2)*BR180+(1-EXP(-LN(2)/2))/(LN(2)/2)*BL181*BO181*VLOOKUP('Données projet'!$B$11,Paramètres!$A$1:$I$89,3,0)*0.475*44/12</f>
        <v>4.5061798604218766E-5</v>
      </c>
      <c r="BS181" s="22">
        <f t="shared" si="169"/>
        <v>58.938527219823136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69.367606273148283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-1.1368683772161603E-13</v>
      </c>
      <c r="BZ181" s="13">
        <f>BY181*VLOOKUP('Données projet'!$B$12,Paramètres!$A$1:$I$89,3,0)*VLOOKUP('Données projet'!$B$12,Paramètres!$A$1:$I$89,5,0)</f>
        <v>-8.8675733422860506E-14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208.92677786250815</v>
      </c>
      <c r="CE181" s="59">
        <f t="shared" si="148"/>
        <v>207.54290142772214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3.1829960612192703</v>
      </c>
      <c r="CL181" s="21">
        <f>EXP(-LN(2)/25)*CL180+(1-EXP(-LN(2)/25))/(LN(2)/25)*Calculateur!CG181*Calculateur!CI181*VLOOKUP('Données projet'!$B$12,Paramètres!$A$1:$I$89,3,0)*0.475*44/12</f>
        <v>1.3215574609612997</v>
      </c>
      <c r="CM181" s="21">
        <f>EXP(-LN(2)/2)*CM180+(1-EXP(-LN(2)/2))/(LN(2)/2)*CG181*CJ181*VLOOKUP('Données projet'!$B$12,Paramètres!$A$1:$I$89,3,0)*0.475*44/12</f>
        <v>1.5287271060488531E-15</v>
      </c>
      <c r="CN181" s="22">
        <f t="shared" si="172"/>
        <v>4.5045535221805721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69.367606273148283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2.5579538487363607E-13</v>
      </c>
      <c r="CU181" s="17">
        <f>CT181*VLOOKUP('Données projet'!$B$13,Paramètres!$A$1:$I$89,3,0)*VLOOKUP('Données projet'!$B$13,Paramètres!$A$1:$I$89,5,0)</f>
        <v>2.4341488824575211E-13</v>
      </c>
      <c r="CV181" s="13">
        <f t="shared" si="173"/>
        <v>3.2970717324875541E-12</v>
      </c>
      <c r="CW181" s="20">
        <f t="shared" si="174"/>
        <v>6.1663475311105072E-12</v>
      </c>
      <c r="CX181" s="59">
        <f t="shared" si="122"/>
        <v>291.01455633488314</v>
      </c>
      <c r="CY181" s="59">
        <f ca="1">AVERAGE(OFFSET($CX$3,0,0,'Données projet'!$E$13+1,1))-AVERAGE(OFFSET($H$3,0,0,'Données projet'!$E$13+1,1))</f>
        <v>470.42022791389275</v>
      </c>
      <c r="CZ181" s="59">
        <f t="shared" si="150"/>
        <v>300.26117330627346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25.567091714715218</v>
      </c>
      <c r="DG181" s="21">
        <f>EXP(-LN(2)/25)*DG180+(1-EXP(-LN(2)/25))/(LN(2)/25)*Calculateur!DB181*Calculateur!DD181*VLOOKUP('Données projet'!$B$13,Paramètres!$A$1:$I$89,3,0)*0.475*44/12</f>
        <v>15.908993100454262</v>
      </c>
      <c r="DH181" s="21">
        <f>EXP(-LN(2)/2)*DH180+(1-EXP(-LN(2)/2))/(LN(2)/2)*DB181*DE181*VLOOKUP('Données projet'!$B$13,Paramètres!$A$1:$I$89,3,0)*0.475*44/12</f>
        <v>2.1368949517198626E-6</v>
      </c>
      <c r="DI181" s="22">
        <f t="shared" si="175"/>
        <v>41.476086952064428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69.367606273148283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7.688333333333337</v>
      </c>
      <c r="DO181" s="12">
        <f>IF('Données projet'!$A$166&gt;35,DO180+DN181-DW180,IF(A181&lt;'Données projet'!$A$166,$DL$205^A181,IF(A181='Données projet'!$A$166,'Données projet'!$B$166,DO180+DN181-DW180)))</f>
        <v>441.16333333333301</v>
      </c>
      <c r="DP181" s="17">
        <f>DO181*VLOOKUP('Données projet'!$B$14,Paramètres!$A$1:$I$89,3,0)*VLOOKUP('Données projet'!$B$14,Paramètres!$A$1:$I$89,5,0)</f>
        <v>426.69317599999971</v>
      </c>
      <c r="DQ181" s="13">
        <f t="shared" si="176"/>
        <v>97.167783258626656</v>
      </c>
      <c r="DR181" s="20">
        <f t="shared" si="177"/>
        <v>912.39117070877421</v>
      </c>
      <c r="DS181" s="59">
        <f t="shared" si="125"/>
        <v>1203.4057270436513</v>
      </c>
      <c r="DT181" s="59">
        <f ca="1">AVERAGE(OFFSET($DS$3,0,0,'Données projet'!$E$14+1,1))-AVERAGE(OFFSET($H$3,0,0,'Données projet'!$E$14+1,1))</f>
        <v>537.37164071064103</v>
      </c>
      <c r="DU181" s="59">
        <f t="shared" si="152"/>
        <v>263.29777321132235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23.176776764541689</v>
      </c>
      <c r="EB181" s="21">
        <f>EXP(-LN(2)/25)*EB180+(1-EXP(-LN(2)/25))/(LN(2)/25)*Calculateur!DW181*Calculateur!DY181*VLOOKUP('Données projet'!$B$14,Paramètres!$A$1:$I$89,3,0)*0.475*44/12</f>
        <v>18.638882219462001</v>
      </c>
      <c r="EC181" s="21">
        <f>EXP(-LN(2)/2)*EC180+(1-EXP(-LN(2)/2))/(LN(2)/2)*DW181*DZ181*VLOOKUP('Données projet'!$B$14,Paramètres!$A$1:$I$89,3,0)*0.475*44/12</f>
        <v>0.51625946131729961</v>
      </c>
      <c r="ED181" s="22">
        <f t="shared" si="178"/>
        <v>42.331918445320987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69.367606273148283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69.367606273148283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69.367606273148283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69.367606273148283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45">
      <c r="A182" s="10">
        <f t="shared" si="161"/>
        <v>179</v>
      </c>
      <c r="B182" s="73">
        <f>'Scénario référence'!$B$16*5+'Scénario référence'!$B$17*0+'Scénario référence'!$B$18*5</f>
        <v>2.8499999999999996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10.449999999999998</v>
      </c>
      <c r="H182" s="67">
        <f t="shared" si="110"/>
        <v>214.86666666666667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69.378576890488588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3.979039320256561E-13</v>
      </c>
      <c r="O182" s="13">
        <f>N182*VLOOKUP('Données projet'!$B$9,Paramètres!$A$1:$I$89,3,0)*VLOOKUP('Données projet'!$B$9,Paramètres!$A$1:$I$89,5,0)</f>
        <v>3.6002347769681362E-13</v>
      </c>
      <c r="P182" s="13">
        <f t="shared" si="141"/>
        <v>4.6593569189922594E-12</v>
      </c>
      <c r="Q182" s="20">
        <f t="shared" si="162"/>
        <v>8.7420875242334695E-12</v>
      </c>
      <c r="R182" s="59">
        <f t="shared" si="109"/>
        <v>291.05478193180028</v>
      </c>
      <c r="S182" s="59">
        <f ca="1">AVERAGE(OFFSET($R$3,0,0,'Données projet'!$E$9+1,1))-AVERAGE(OFFSET($H$3,0,0,'Données projet'!$E$9+1,1))</f>
        <v>719.20816951277925</v>
      </c>
      <c r="T182" s="59">
        <f t="shared" si="142"/>
        <v>237.1127421841087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117.27663812344143</v>
      </c>
      <c r="AA182" s="21">
        <f>EXP(-LN(2)/25)*AA181+(1-EXP(-LN(2)/25))/(LN(2)/25)*Calculateur!V182*Calculateur!X182*VLOOKUP('Données projet'!$B$9,Paramètres!$A$1:$I$89,3,0)*0.475*44/12</f>
        <v>17.468800537720263</v>
      </c>
      <c r="AB182" s="21">
        <f>EXP(-LN(2)/2)*AB181+(1-EXP(-LN(2)/2))/(LN(2)/2)*V182*Y182*VLOOKUP('Données projet'!$B$9,Paramètres!$A$1:$I$89,3,0)*0.475*44/12</f>
        <v>1.1115500883794304E-2</v>
      </c>
      <c r="AC182" s="22">
        <f t="shared" si="163"/>
        <v>134.75655416204549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69.378576890488588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5.6843418860808015E-14</v>
      </c>
      <c r="AJ182" s="13">
        <f>AI182*VLOOKUP('Données projet'!$B$10,Paramètres!$A$1:$I$89,3,0)*VLOOKUP('Données projet'!$B$10,Paramètres!$A$1:$I$89,5,0)</f>
        <v>4.7884896048344674E-14</v>
      </c>
      <c r="AK182" s="13">
        <f t="shared" si="164"/>
        <v>7.8374629847779921E-13</v>
      </c>
      <c r="AL182" s="20">
        <f t="shared" si="165"/>
        <v>1.4484243304663672E-12</v>
      </c>
      <c r="AM182" s="59">
        <f t="shared" si="113"/>
        <v>291.05478193179295</v>
      </c>
      <c r="AN182" s="59">
        <f ca="1">AVERAGE(OFFSET($AM$3,0,0,'Données projet'!$E$10+1,1))-AVERAGE(OFFSET($H$3,0,0,'Données projet'!$E$10+1,1))</f>
        <v>442.79037205372367</v>
      </c>
      <c r="AO182" s="59">
        <f t="shared" si="144"/>
        <v>288.23553637727969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28.821159466329462</v>
      </c>
      <c r="AV182" s="21">
        <f>EXP(-LN(2)/25)*AV181+(1-EXP(-LN(2)/25))/(LN(2)/25)*Calculateur!AQ182*Calculateur!AS182*VLOOKUP('Données projet'!$B$10,Paramètres!$A$1:$I$89,3,0)*0.475*44/12</f>
        <v>3.6968967170195199</v>
      </c>
      <c r="AW182" s="21">
        <f>EXP(-LN(2)/2)*AW181+(1-EXP(-LN(2)/2))/(LN(2)/2)*AQ182*AT182*VLOOKUP('Données projet'!$B$10,Paramètres!$A$1:$I$89,3,0)*0.475*44/12</f>
        <v>7.6381115234215314E-11</v>
      </c>
      <c r="AX182" s="21">
        <f t="shared" si="166"/>
        <v>32.518056183425365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69.378576890488588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7.688333333333337</v>
      </c>
      <c r="BD182" s="12">
        <f>IF('Données projet'!$A$88&gt;35,BD181+BC182-BL181,IF(A182&lt;'Données projet'!$A$88,$BA$205^A182,IF(A182='Données projet'!$A$88,'Données projet'!$B$88,BD181+BC182-BL181)))</f>
        <v>448.85166666666635</v>
      </c>
      <c r="BE182" s="13">
        <f>BD182*VLOOKUP('Données projet'!$B$11,Paramètres!$A$1:$I$89,3,0)*VLOOKUP('Données projet'!$B$11,Paramètres!$A$1:$I$89,5,0)</f>
        <v>455.13558999999975</v>
      </c>
      <c r="BF182" s="13">
        <f t="shared" si="167"/>
        <v>102.86917887604061</v>
      </c>
      <c r="BG182" s="20">
        <f t="shared" si="168"/>
        <v>971.85830579243668</v>
      </c>
      <c r="BH182" s="59">
        <f t="shared" si="116"/>
        <v>1262.9130877242283</v>
      </c>
      <c r="BI182" s="59">
        <f ca="1">AVERAGE(OFFSET($BH$3,0,0,'Données projet'!$E$11+1,1))-AVERAGE(OFFSET($H$3,0,0,'Données projet'!$E$11+1,1))</f>
        <v>559.91818701710872</v>
      </c>
      <c r="BJ182" s="59">
        <f t="shared" si="146"/>
        <v>273.47272623465915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40.512279971541645</v>
      </c>
      <c r="BQ182" s="21">
        <f>EXP(-LN(2)/25)*BQ181+(1-EXP(-LN(2)/25))/(LN(2)/25)*Calculateur!BL182*Calculateur!BN182*VLOOKUP('Données projet'!$B$11,Paramètres!$A$1:$I$89,3,0)*0.475*44/12</f>
        <v>17.134183909407597</v>
      </c>
      <c r="BR182" s="21">
        <f>EXP(-LN(2)/2)*BR181+(1-EXP(-LN(2)/2))/(LN(2)/2)*BL182*BO182*VLOOKUP('Données projet'!$B$11,Paramètres!$A$1:$I$89,3,0)*0.475*44/12</f>
        <v>3.1863503365505592E-5</v>
      </c>
      <c r="BS182" s="22">
        <f t="shared" si="169"/>
        <v>57.646495744452608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69.378576890488588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-1.1368683772161603E-13</v>
      </c>
      <c r="BZ182" s="13">
        <f>BY182*VLOOKUP('Données projet'!$B$12,Paramètres!$A$1:$I$89,3,0)*VLOOKUP('Données projet'!$B$12,Paramètres!$A$1:$I$89,5,0)</f>
        <v>-8.8675733422860506E-14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208.92677786250815</v>
      </c>
      <c r="CE182" s="59">
        <f t="shared" si="148"/>
        <v>207.54290142772214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3.1205794498946569</v>
      </c>
      <c r="CL182" s="21">
        <f>EXP(-LN(2)/25)*CL181+(1-EXP(-LN(2)/25))/(LN(2)/25)*Calculateur!CG182*Calculateur!CI182*VLOOKUP('Données projet'!$B$12,Paramètres!$A$1:$I$89,3,0)*0.475*44/12</f>
        <v>1.2854194026936265</v>
      </c>
      <c r="CM182" s="21">
        <f>EXP(-LN(2)/2)*CM181+(1-EXP(-LN(2)/2))/(LN(2)/2)*CG182*CJ182*VLOOKUP('Données projet'!$B$12,Paramètres!$A$1:$I$89,3,0)*0.475*44/12</f>
        <v>1.0809733032708304E-15</v>
      </c>
      <c r="CN182" s="22">
        <f t="shared" si="172"/>
        <v>4.4059988525882838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69.378576890488588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2.5579538487363607E-13</v>
      </c>
      <c r="CU182" s="17">
        <f>CT182*VLOOKUP('Données projet'!$B$13,Paramètres!$A$1:$I$89,3,0)*VLOOKUP('Données projet'!$B$13,Paramètres!$A$1:$I$89,5,0)</f>
        <v>2.4341488824575211E-13</v>
      </c>
      <c r="CV182" s="13">
        <f t="shared" si="173"/>
        <v>3.2970717324875541E-12</v>
      </c>
      <c r="CW182" s="20">
        <f t="shared" si="174"/>
        <v>6.1663475311105072E-12</v>
      </c>
      <c r="CX182" s="59">
        <f t="shared" si="122"/>
        <v>291.05478193179766</v>
      </c>
      <c r="CY182" s="59">
        <f ca="1">AVERAGE(OFFSET($CX$3,0,0,'Données projet'!$E$13+1,1))-AVERAGE(OFFSET($H$3,0,0,'Données projet'!$E$13+1,1))</f>
        <v>470.42022791389275</v>
      </c>
      <c r="CZ182" s="59">
        <f t="shared" si="150"/>
        <v>300.26117330627346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25.065736640575782</v>
      </c>
      <c r="DG182" s="21">
        <f>EXP(-LN(2)/25)*DG181+(1-EXP(-LN(2)/25))/(LN(2)/25)*Calculateur!DB182*Calculateur!DD182*VLOOKUP('Données projet'!$B$13,Paramètres!$A$1:$I$89,3,0)*0.475*44/12</f>
        <v>15.473960847504754</v>
      </c>
      <c r="DH182" s="21">
        <f>EXP(-LN(2)/2)*DH181+(1-EXP(-LN(2)/2))/(LN(2)/2)*DB182*DE182*VLOOKUP('Données projet'!$B$13,Paramètres!$A$1:$I$89,3,0)*0.475*44/12</f>
        <v>1.511012911044415E-6</v>
      </c>
      <c r="DI182" s="22">
        <f t="shared" si="175"/>
        <v>40.539698999093446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69.378576890488588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7.688333333333337</v>
      </c>
      <c r="DO182" s="12">
        <f>IF('Données projet'!$A$166&gt;35,DO181+DN182-DW181,IF(A182&lt;'Données projet'!$A$166,$DL$205^A182,IF(A182='Données projet'!$A$166,'Données projet'!$B$166,DO181+DN182-DW181)))</f>
        <v>448.85166666666635</v>
      </c>
      <c r="DP182" s="17">
        <f>DO182*VLOOKUP('Données projet'!$B$14,Paramètres!$A$1:$I$89,3,0)*VLOOKUP('Données projet'!$B$14,Paramètres!$A$1:$I$89,5,0)</f>
        <v>434.12933199999975</v>
      </c>
      <c r="DQ182" s="13">
        <f t="shared" si="176"/>
        <v>98.662548233225337</v>
      </c>
      <c r="DR182" s="20">
        <f t="shared" si="177"/>
        <v>927.94585807286694</v>
      </c>
      <c r="DS182" s="59">
        <f t="shared" si="125"/>
        <v>1219.0006400046584</v>
      </c>
      <c r="DT182" s="59">
        <f ca="1">AVERAGE(OFFSET($DS$3,0,0,'Données projet'!$E$14+1,1))-AVERAGE(OFFSET($H$3,0,0,'Données projet'!$E$14+1,1))</f>
        <v>537.37164071064103</v>
      </c>
      <c r="DU182" s="59">
        <f t="shared" si="152"/>
        <v>263.29777321132235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22.722294308626996</v>
      </c>
      <c r="EB182" s="21">
        <f>EXP(-LN(2)/25)*EB181+(1-EXP(-LN(2)/25))/(LN(2)/25)*Calculateur!DW182*Calculateur!DY182*VLOOKUP('Données projet'!$B$14,Paramètres!$A$1:$I$89,3,0)*0.475*44/12</f>
        <v>18.129201004994595</v>
      </c>
      <c r="EC182" s="21">
        <f>EXP(-LN(2)/2)*EC181+(1-EXP(-LN(2)/2))/(LN(2)/2)*DW182*DZ182*VLOOKUP('Données projet'!$B$14,Paramètres!$A$1:$I$89,3,0)*0.475*44/12</f>
        <v>0.36505056594917668</v>
      </c>
      <c r="ED182" s="22">
        <f t="shared" si="178"/>
        <v>41.216545879570766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69.378576890488588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69.378576890488588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69.378576890488588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69.378576890488588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45">
      <c r="A183" s="10">
        <f t="shared" si="161"/>
        <v>180</v>
      </c>
      <c r="B183" s="73">
        <f>'Scénario référence'!$B$16*5+'Scénario référence'!$B$17*0+'Scénario référence'!$B$18*5</f>
        <v>2.8499999999999996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10.449999999999998</v>
      </c>
      <c r="H183" s="67">
        <f t="shared" si="110"/>
        <v>214.86666666666667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69.389357192144672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3.979039320256561E-13</v>
      </c>
      <c r="O183" s="13">
        <f>N183*VLOOKUP('Données projet'!$B$9,Paramètres!$A$1:$I$89,3,0)*VLOOKUP('Données projet'!$B$9,Paramètres!$A$1:$I$89,5,0)</f>
        <v>3.6002347769681362E-13</v>
      </c>
      <c r="P183" s="13">
        <f t="shared" si="141"/>
        <v>4.6593569189922594E-12</v>
      </c>
      <c r="Q183" s="20">
        <f t="shared" si="162"/>
        <v>8.7420875242334695E-12</v>
      </c>
      <c r="R183" s="59">
        <f t="shared" si="109"/>
        <v>291.09430970453923</v>
      </c>
      <c r="S183" s="59">
        <f ca="1">AVERAGE(OFFSET($R$3,0,0,'Données projet'!$E$9+1,1))-AVERAGE(OFFSET($H$3,0,0,'Données projet'!$E$9+1,1))</f>
        <v>719.20816951277925</v>
      </c>
      <c r="T183" s="59">
        <f t="shared" si="142"/>
        <v>237.1127421841087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114.97691478152683</v>
      </c>
      <c r="AA183" s="21">
        <f>EXP(-LN(2)/25)*AA182+(1-EXP(-LN(2)/25))/(LN(2)/25)*Calculateur!V183*Calculateur!X183*VLOOKUP('Données projet'!$B$9,Paramètres!$A$1:$I$89,3,0)*0.475*44/12</f>
        <v>16.991115268372006</v>
      </c>
      <c r="AB183" s="21">
        <f>EXP(-LN(2)/2)*AB182+(1-EXP(-LN(2)/2))/(LN(2)/2)*V183*Y183*VLOOKUP('Données projet'!$B$9,Paramètres!$A$1:$I$89,3,0)*0.475*44/12</f>
        <v>7.8598460512160143E-3</v>
      </c>
      <c r="AC183" s="22">
        <f t="shared" si="163"/>
        <v>131.97588989595005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69.389357192144672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5.6843418860808015E-14</v>
      </c>
      <c r="AJ183" s="13">
        <f>AI183*VLOOKUP('Données projet'!$B$10,Paramètres!$A$1:$I$89,3,0)*VLOOKUP('Données projet'!$B$10,Paramètres!$A$1:$I$89,5,0)</f>
        <v>4.7884896048344674E-14</v>
      </c>
      <c r="AK183" s="13">
        <f t="shared" si="164"/>
        <v>7.8374629847779921E-13</v>
      </c>
      <c r="AL183" s="20">
        <f t="shared" si="165"/>
        <v>1.4484243304663672E-12</v>
      </c>
      <c r="AM183" s="59">
        <f t="shared" si="113"/>
        <v>291.0943097045319</v>
      </c>
      <c r="AN183" s="59">
        <f ca="1">AVERAGE(OFFSET($AM$3,0,0,'Données projet'!$E$10+1,1))-AVERAGE(OFFSET($H$3,0,0,'Données projet'!$E$10+1,1))</f>
        <v>442.79037205372367</v>
      </c>
      <c r="AO183" s="59">
        <f t="shared" si="144"/>
        <v>288.23553637727969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28.255994108366217</v>
      </c>
      <c r="AV183" s="21">
        <f>EXP(-LN(2)/25)*AV182+(1-EXP(-LN(2)/25))/(LN(2)/25)*Calculateur!AQ183*Calculateur!AS183*VLOOKUP('Données projet'!$B$10,Paramètres!$A$1:$I$89,3,0)*0.475*44/12</f>
        <v>3.5958048818812722</v>
      </c>
      <c r="AW183" s="21">
        <f>EXP(-LN(2)/2)*AW182+(1-EXP(-LN(2)/2))/(LN(2)/2)*AQ183*AT183*VLOOKUP('Données projet'!$B$10,Paramètres!$A$1:$I$89,3,0)*0.475*44/12</f>
        <v>5.4009604536704761E-11</v>
      </c>
      <c r="AX183" s="21">
        <f t="shared" si="166"/>
        <v>31.851798990301496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69.389357192144672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>
        <f>VLOOKUP(A183,'Données projet'!$A$87:$I$107,2,0)</f>
        <v>456.54</v>
      </c>
      <c r="BB183" s="12">
        <f>VLOOKUP(A183,'Données projet'!$A$87:$I$107,9,0)</f>
        <v>7.688333333333337</v>
      </c>
      <c r="BC183" s="12">
        <f t="array" ref="BC183">INDEX(BB:BB,MIN(IF(ISNUMBER(BB183:BB379),ROW(BB183:BB379),"")))</f>
        <v>7.688333333333337</v>
      </c>
      <c r="BD183" s="12">
        <f>IF('Données projet'!$A$88&gt;35,BD182+BC183-BL182,IF(A183&lt;'Données projet'!$A$88,$BA$205^A183,IF(A183='Données projet'!$A$88,'Données projet'!$B$88,BD182+BC183-BL182)))</f>
        <v>456.53999999999968</v>
      </c>
      <c r="BE183" s="13">
        <f>BD183*VLOOKUP('Données projet'!$B$11,Paramètres!$A$1:$I$89,3,0)*VLOOKUP('Données projet'!$B$11,Paramètres!$A$1:$I$89,5,0)</f>
        <v>462.93155999999971</v>
      </c>
      <c r="BF183" s="13">
        <f t="shared" si="167"/>
        <v>104.42457107106746</v>
      </c>
      <c r="BG183" s="20">
        <f t="shared" si="168"/>
        <v>988.145261615442</v>
      </c>
      <c r="BH183" s="59">
        <f t="shared" si="116"/>
        <v>1279.2395713199726</v>
      </c>
      <c r="BI183" s="59">
        <f ca="1">AVERAGE(OFFSET($BH$3,0,0,'Données projet'!$E$11+1,1))-AVERAGE(OFFSET($H$3,0,0,'Données projet'!$E$11+1,1))</f>
        <v>559.91818701710872</v>
      </c>
      <c r="BJ183" s="59">
        <f t="shared" si="146"/>
        <v>273.47272623465915</v>
      </c>
      <c r="BK183" s="15">
        <f>IF(ISNA(VLOOKUP(A183,'Données projet'!$A$87:$I$107,3,0)),0,VLOOKUP(A183,'Données projet'!$A$87:$I$107,3,0))</f>
        <v>13</v>
      </c>
      <c r="BL183" s="15">
        <f>IF(ISNA(VLOOKUP(A183,'Données projet'!$A$87:$I$107,4,0)),0,VLOOKUP(A183,'Données projet'!$A$87:$I$107,4,0))</f>
        <v>175.59000000000003</v>
      </c>
      <c r="BM183" s="16">
        <f>IF(ISNA(VLOOKUP(A183,'Données projet'!$A$87:$I$107,5,0)),0%,VLOOKUP(A183,'Données projet'!$A$87:$I$107,5,0)*VLOOKUP('Données projet'!$B$11,Paramètres!$A$1:$I$89,7,0))</f>
        <v>0.215</v>
      </c>
      <c r="BN183" s="16">
        <f>IF(ISNA(VLOOKUP(A183,'Données projet'!$A$87:$I$107,6,0)),0%,VLOOKUP(A183,'Données projet'!$A$87:$I$107,6,0)*VLOOKUP('Données projet'!$B$11,Paramètres!$A$1:$I$89,7,0))</f>
        <v>8.6000000000000007E-2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82.035680546187592</v>
      </c>
      <c r="BQ183" s="21">
        <f>EXP(-LN(2)/25)*BQ182+(1-EXP(-LN(2)/25))/(LN(2)/25)*Calculateur!BL183*Calculateur!BN183*VLOOKUP('Données projet'!$B$11,Paramètres!$A$1:$I$89,3,0)*0.475*44/12</f>
        <v>33.526128863976865</v>
      </c>
      <c r="BR183" s="21">
        <f>EXP(-LN(2)/2)*BR182+(1-EXP(-LN(2)/2))/(LN(2)/2)*BL183*BO183*VLOOKUP('Données projet'!$B$11,Paramètres!$A$1:$I$89,3,0)*0.475*44/12</f>
        <v>2.2530899302109383E-5</v>
      </c>
      <c r="BS183" s="22">
        <f t="shared" si="169"/>
        <v>115.56183194106376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69.389357192144672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-1.1368683772161603E-13</v>
      </c>
      <c r="BZ183" s="13">
        <f>BY183*VLOOKUP('Données projet'!$B$12,Paramètres!$A$1:$I$89,3,0)*VLOOKUP('Données projet'!$B$12,Paramètres!$A$1:$I$89,5,0)</f>
        <v>-8.8675733422860506E-14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208.92677786250815</v>
      </c>
      <c r="CE183" s="59">
        <f t="shared" si="148"/>
        <v>207.54290142772214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3.0593867902477454</v>
      </c>
      <c r="CL183" s="21">
        <f>EXP(-LN(2)/25)*CL182+(1-EXP(-LN(2)/25))/(LN(2)/25)*Calculateur!CG183*Calculateur!CI183*VLOOKUP('Données projet'!$B$12,Paramètres!$A$1:$I$89,3,0)*0.475*44/12</f>
        <v>1.2502695415297007</v>
      </c>
      <c r="CM183" s="21">
        <f>EXP(-LN(2)/2)*CM182+(1-EXP(-LN(2)/2))/(LN(2)/2)*CG183*CJ183*VLOOKUP('Données projet'!$B$12,Paramètres!$A$1:$I$89,3,0)*0.475*44/12</f>
        <v>7.6436355302442656E-16</v>
      </c>
      <c r="CN183" s="22">
        <f t="shared" si="172"/>
        <v>4.3096563317774468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69.389357192144672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2.5579538487363607E-13</v>
      </c>
      <c r="CU183" s="17">
        <f>CT183*VLOOKUP('Données projet'!$B$13,Paramètres!$A$1:$I$89,3,0)*VLOOKUP('Données projet'!$B$13,Paramètres!$A$1:$I$89,5,0)</f>
        <v>2.4341488824575211E-13</v>
      </c>
      <c r="CV183" s="13">
        <f t="shared" si="173"/>
        <v>3.2970717324875541E-12</v>
      </c>
      <c r="CW183" s="20">
        <f t="shared" si="174"/>
        <v>6.1663475311105072E-12</v>
      </c>
      <c r="CX183" s="59">
        <f t="shared" si="122"/>
        <v>291.09430970453661</v>
      </c>
      <c r="CY183" s="59">
        <f ca="1">AVERAGE(OFFSET($CX$3,0,0,'Données projet'!$E$13+1,1))-AVERAGE(OFFSET($H$3,0,0,'Données projet'!$E$13+1,1))</f>
        <v>470.42022791389275</v>
      </c>
      <c r="CZ183" s="59">
        <f t="shared" si="150"/>
        <v>300.26117330627346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24.57421283364382</v>
      </c>
      <c r="DG183" s="21">
        <f>EXP(-LN(2)/25)*DG182+(1-EXP(-LN(2)/25))/(LN(2)/25)*Calculateur!DB183*Calculateur!DD183*VLOOKUP('Données projet'!$B$13,Paramètres!$A$1:$I$89,3,0)*0.475*44/12</f>
        <v>15.050824574389502</v>
      </c>
      <c r="DH183" s="21">
        <f>EXP(-LN(2)/2)*DH182+(1-EXP(-LN(2)/2))/(LN(2)/2)*DB183*DE183*VLOOKUP('Données projet'!$B$13,Paramètres!$A$1:$I$89,3,0)*0.475*44/12</f>
        <v>1.0684474758599313E-6</v>
      </c>
      <c r="DI183" s="22">
        <f t="shared" si="175"/>
        <v>39.625038476480796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69.389357192144672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>
        <f>VLOOKUP(A183,'Données projet'!$A$165:$I$185,2,0)</f>
        <v>456.54</v>
      </c>
      <c r="DM183" s="12">
        <f>VLOOKUP(A183,'Données projet'!$A$165:$I$185,9,0)</f>
        <v>7.688333333333337</v>
      </c>
      <c r="DN183" s="12">
        <f t="array" ref="DN183">INDEX(DM:DM,MIN(IF(ISNUMBER(DM183:DM379),ROW(DM183:DM379),"")))</f>
        <v>7.688333333333337</v>
      </c>
      <c r="DO183" s="12">
        <f>IF('Données projet'!$A$166&gt;35,DO182+DN183-DW182,IF(A183&lt;'Données projet'!$A$166,$DL$205^A183,IF(A183='Données projet'!$A$166,'Données projet'!$B$166,DO182+DN183-DW182)))</f>
        <v>456.53999999999968</v>
      </c>
      <c r="DP183" s="17">
        <f>DO183*VLOOKUP('Données projet'!$B$14,Paramètres!$A$1:$I$89,3,0)*VLOOKUP('Données projet'!$B$14,Paramètres!$A$1:$I$89,5,0)</f>
        <v>441.56548799999968</v>
      </c>
      <c r="DQ183" s="13">
        <f t="shared" si="176"/>
        <v>100.15433575539794</v>
      </c>
      <c r="DR183" s="20">
        <f t="shared" si="177"/>
        <v>943.49535970731733</v>
      </c>
      <c r="DS183" s="59">
        <f t="shared" si="125"/>
        <v>1234.5896694118478</v>
      </c>
      <c r="DT183" s="59">
        <f ca="1">AVERAGE(OFFSET($DS$3,0,0,'Données projet'!$E$14+1,1))-AVERAGE(OFFSET($H$3,0,0,'Données projet'!$E$14+1,1))</f>
        <v>537.37164071064103</v>
      </c>
      <c r="DU183" s="59">
        <f t="shared" si="152"/>
        <v>263.29777321132235</v>
      </c>
      <c r="DV183" s="15">
        <f>IF(ISNA(VLOOKUP(A183,'Données projet'!$A$165:$I$185,3,0)),0,VLOOKUP(A183,'Données projet'!$A$165:$I$185,3,0))</f>
        <v>13</v>
      </c>
      <c r="DW183" s="15">
        <f>IF(ISNA(VLOOKUP(A183,'Données projet'!$A$165:$I$185,4,0)),0,VLOOKUP(A183,'Données projet'!$A$165:$I$185,4,0))</f>
        <v>175.59000000000003</v>
      </c>
      <c r="DX183" s="16">
        <f>IF(ISNA(VLOOKUP(A183,'Données projet'!$A$165:$I$185,5,0)),0%,VLOOKUP(A183,'Données projet'!$A$165:$I$185,5,0)*VLOOKUP('Données projet'!$B$14,Paramètres!$A$1:$I$89,7,0))</f>
        <v>0.1075</v>
      </c>
      <c r="DY183" s="16">
        <f>IF(ISNA(VLOOKUP(A183,'Données projet'!$A$165:$I$185,6,0)),0%,VLOOKUP(A183,'Données projet'!$A$165:$I$185,6,0)*VLOOKUP('Données projet'!$B$14,Paramètres!$A$1:$I$89,7,0))</f>
        <v>0.1075</v>
      </c>
      <c r="DZ183" s="16">
        <f>IF(ISNA(VLOOKUP(A183,'Données projet'!$A$165:$I$185,7,0)),0%,VLOOKUP(A183,'Données projet'!$A$165:$I$185,7,0))</f>
        <v>0.25</v>
      </c>
      <c r="EA183" s="21">
        <f>EXP(-LN(2)/35)*EA182+(1-EXP(-LN(2)/35))/(LN(2)/35)*DW183*DX183*VLOOKUP('Données projet'!$B$14,Paramètres!$A$1:$I$89,3,0)*0.475*44/12</f>
        <v>42.459069698311211</v>
      </c>
      <c r="EB183" s="21">
        <f>EXP(-LN(2)/25)*EB182+(1-EXP(-LN(2)/25))/(LN(2)/25)*Calculateur!DW183*Calculateur!DY183*VLOOKUP('Données projet'!$B$14,Paramètres!$A$1:$I$89,3,0)*0.475*44/12</f>
        <v>37.736337186801592</v>
      </c>
      <c r="EC183" s="21">
        <f>EXP(-LN(2)/2)*EC182+(1-EXP(-LN(2)/2))/(LN(2)/2)*DW183*DZ183*VLOOKUP('Données projet'!$B$14,Paramètres!$A$1:$I$89,3,0)*0.475*44/12</f>
        <v>40.318076558877088</v>
      </c>
      <c r="ED183" s="22">
        <f t="shared" si="178"/>
        <v>120.51348344398988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69.389357192144672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69.389357192144672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69.389357192144672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69.389357192144672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45">
      <c r="A184" s="10">
        <f t="shared" si="161"/>
        <v>181</v>
      </c>
      <c r="B184" s="73">
        <f>'Scénario référence'!$B$16*5+'Scénario référence'!$B$17*0+'Scénario référence'!$B$18*5</f>
        <v>2.8499999999999996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10.449999999999998</v>
      </c>
      <c r="H184" s="67">
        <f t="shared" si="110"/>
        <v>214.86666666666667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69.399950479668163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3.979039320256561E-13</v>
      </c>
      <c r="O184" s="13">
        <f>N184*VLOOKUP('Données projet'!$B$9,Paramètres!$A$1:$I$89,3,0)*VLOOKUP('Données projet'!$B$9,Paramètres!$A$1:$I$89,5,0)</f>
        <v>3.6002347769681362E-13</v>
      </c>
      <c r="P184" s="13">
        <f t="shared" si="141"/>
        <v>4.6593569189922594E-12</v>
      </c>
      <c r="Q184" s="20">
        <f t="shared" si="162"/>
        <v>8.7420875242334695E-12</v>
      </c>
      <c r="R184" s="59">
        <f t="shared" si="109"/>
        <v>291.13315175879205</v>
      </c>
      <c r="S184" s="59">
        <f ca="1">AVERAGE(OFFSET($R$3,0,0,'Données projet'!$E$9+1,1))-AVERAGE(OFFSET($H$3,0,0,'Données projet'!$E$9+1,1))</f>
        <v>719.20816951277925</v>
      </c>
      <c r="T184" s="59">
        <f t="shared" si="142"/>
        <v>237.1127421841087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112.72228761165444</v>
      </c>
      <c r="AA184" s="21">
        <f>EXP(-LN(2)/25)*AA183+(1-EXP(-LN(2)/25))/(LN(2)/25)*Calculateur!V184*Calculateur!X184*VLOOKUP('Données projet'!$B$9,Paramètres!$A$1:$I$89,3,0)*0.475*44/12</f>
        <v>16.526492327834454</v>
      </c>
      <c r="AB184" s="21">
        <f>EXP(-LN(2)/2)*AB183+(1-EXP(-LN(2)/2))/(LN(2)/2)*V184*Y184*VLOOKUP('Données projet'!$B$9,Paramètres!$A$1:$I$89,3,0)*0.475*44/12</f>
        <v>5.5577504418971519E-3</v>
      </c>
      <c r="AC184" s="22">
        <f t="shared" si="163"/>
        <v>129.25433768993079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69.399950479668163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5.6843418860808015E-14</v>
      </c>
      <c r="AJ184" s="13">
        <f>AI184*VLOOKUP('Données projet'!$B$10,Paramètres!$A$1:$I$89,3,0)*VLOOKUP('Données projet'!$B$10,Paramètres!$A$1:$I$89,5,0)</f>
        <v>4.7884896048344674E-14</v>
      </c>
      <c r="AK184" s="13">
        <f t="shared" si="164"/>
        <v>7.8374629847779921E-13</v>
      </c>
      <c r="AL184" s="20">
        <f t="shared" si="165"/>
        <v>1.4484243304663672E-12</v>
      </c>
      <c r="AM184" s="59">
        <f t="shared" si="113"/>
        <v>291.13315175878472</v>
      </c>
      <c r="AN184" s="59">
        <f ca="1">AVERAGE(OFFSET($AM$3,0,0,'Données projet'!$E$10+1,1))-AVERAGE(OFFSET($H$3,0,0,'Données projet'!$E$10+1,1))</f>
        <v>442.79037205372367</v>
      </c>
      <c r="AO184" s="59">
        <f t="shared" si="144"/>
        <v>288.23553637727969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27.7019112983558</v>
      </c>
      <c r="AV184" s="21">
        <f>EXP(-LN(2)/25)*AV183+(1-EXP(-LN(2)/25))/(LN(2)/25)*Calculateur!AQ184*Calculateur!AS184*VLOOKUP('Données projet'!$B$10,Paramètres!$A$1:$I$89,3,0)*0.475*44/12</f>
        <v>3.4974774082910685</v>
      </c>
      <c r="AW184" s="21">
        <f>EXP(-LN(2)/2)*AW183+(1-EXP(-LN(2)/2))/(LN(2)/2)*AQ184*AT184*VLOOKUP('Données projet'!$B$10,Paramètres!$A$1:$I$89,3,0)*0.475*44/12</f>
        <v>3.8190557617107657E-11</v>
      </c>
      <c r="AX184" s="21">
        <f t="shared" si="166"/>
        <v>31.19938870668506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69.399950479668163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4.7974999999999994</v>
      </c>
      <c r="BD184" s="12">
        <f>IF('Données projet'!$A$88&gt;35,BD183+BC184-BL183,IF(A184&lt;'Données projet'!$A$88,$BA$205^A184,IF(A184='Données projet'!$A$88,'Données projet'!$B$88,BD183+BC184-BL183)))</f>
        <v>285.74749999999966</v>
      </c>
      <c r="BE184" s="13">
        <f>BD184*VLOOKUP('Données projet'!$B$11,Paramètres!$A$1:$I$89,3,0)*VLOOKUP('Données projet'!$B$11,Paramètres!$A$1:$I$89,5,0)</f>
        <v>289.74796499999968</v>
      </c>
      <c r="BF184" s="13">
        <f t="shared" si="167"/>
        <v>69.022913217160536</v>
      </c>
      <c r="BG184" s="20">
        <f t="shared" si="168"/>
        <v>624.85927956155399</v>
      </c>
      <c r="BH184" s="59">
        <f t="shared" si="116"/>
        <v>915.99243132033735</v>
      </c>
      <c r="BI184" s="59">
        <f ca="1">AVERAGE(OFFSET($BH$3,0,0,'Données projet'!$E$11+1,1))-AVERAGE(OFFSET($H$3,0,0,'Données projet'!$E$11+1,1))</f>
        <v>559.91818701710872</v>
      </c>
      <c r="BJ184" s="59">
        <f t="shared" si="146"/>
        <v>273.47272623465915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80.427010887501254</v>
      </c>
      <c r="BQ184" s="21">
        <f>EXP(-LN(2)/25)*BQ183+(1-EXP(-LN(2)/25))/(LN(2)/25)*Calculateur!BL184*Calculateur!BN184*VLOOKUP('Données projet'!$B$11,Paramètres!$A$1:$I$89,3,0)*0.475*44/12</f>
        <v>32.609355107128927</v>
      </c>
      <c r="BR184" s="21">
        <f>EXP(-LN(2)/2)*BR183+(1-EXP(-LN(2)/2))/(LN(2)/2)*BL184*BO184*VLOOKUP('Données projet'!$B$11,Paramètres!$A$1:$I$89,3,0)*0.475*44/12</f>
        <v>1.5931751682752796E-5</v>
      </c>
      <c r="BS184" s="22">
        <f t="shared" si="169"/>
        <v>113.03638192638186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69.399950479668163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-1.1368683772161603E-13</v>
      </c>
      <c r="BZ184" s="13">
        <f>BY184*VLOOKUP('Données projet'!$B$12,Paramètres!$A$1:$I$89,3,0)*VLOOKUP('Données projet'!$B$12,Paramètres!$A$1:$I$89,5,0)</f>
        <v>-8.8675733422860506E-14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208.92677786250815</v>
      </c>
      <c r="CE184" s="59">
        <f t="shared" si="148"/>
        <v>207.54290142772214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2.9993940813326727</v>
      </c>
      <c r="CL184" s="21">
        <f>EXP(-LN(2)/25)*CL183+(1-EXP(-LN(2)/25))/(LN(2)/25)*Calculateur!CG184*Calculateur!CI184*VLOOKUP('Données projet'!$B$12,Paramètres!$A$1:$I$89,3,0)*0.475*44/12</f>
        <v>1.2160808551677533</v>
      </c>
      <c r="CM184" s="21">
        <f>EXP(-LN(2)/2)*CM183+(1-EXP(-LN(2)/2))/(LN(2)/2)*CG184*CJ184*VLOOKUP('Données projet'!$B$12,Paramètres!$A$1:$I$89,3,0)*0.475*44/12</f>
        <v>5.404866516354152E-16</v>
      </c>
      <c r="CN184" s="22">
        <f t="shared" si="172"/>
        <v>4.2154749365004269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69.399950479668163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2.5579538487363607E-13</v>
      </c>
      <c r="CU184" s="17">
        <f>CT184*VLOOKUP('Données projet'!$B$13,Paramètres!$A$1:$I$89,3,0)*VLOOKUP('Données projet'!$B$13,Paramètres!$A$1:$I$89,5,0)</f>
        <v>2.4341488824575211E-13</v>
      </c>
      <c r="CV184" s="13">
        <f t="shared" si="173"/>
        <v>3.2970717324875541E-12</v>
      </c>
      <c r="CW184" s="20">
        <f t="shared" si="174"/>
        <v>6.1663475311105072E-12</v>
      </c>
      <c r="CX184" s="59">
        <f t="shared" si="122"/>
        <v>291.13315175878944</v>
      </c>
      <c r="CY184" s="59">
        <f ca="1">AVERAGE(OFFSET($CX$3,0,0,'Données projet'!$E$13+1,1))-AVERAGE(OFFSET($H$3,0,0,'Données projet'!$E$13+1,1))</f>
        <v>470.42022791389275</v>
      </c>
      <c r="CZ184" s="59">
        <f t="shared" si="150"/>
        <v>300.26117330627346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24.092327508765873</v>
      </c>
      <c r="DG184" s="21">
        <f>EXP(-LN(2)/25)*DG183+(1-EXP(-LN(2)/25))/(LN(2)/25)*Calculateur!DB184*Calculateur!DD184*VLOOKUP('Données projet'!$B$13,Paramètres!$A$1:$I$89,3,0)*0.475*44/12</f>
        <v>14.639258984914356</v>
      </c>
      <c r="DH184" s="21">
        <f>EXP(-LN(2)/2)*DH183+(1-EXP(-LN(2)/2))/(LN(2)/2)*DB184*DE184*VLOOKUP('Données projet'!$B$13,Paramètres!$A$1:$I$89,3,0)*0.475*44/12</f>
        <v>7.5550645552220748E-7</v>
      </c>
      <c r="DI184" s="22">
        <f t="shared" si="175"/>
        <v>38.731587249186681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69.399950479668163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4.7974999999999994</v>
      </c>
      <c r="DO184" s="12">
        <f>IF('Données projet'!$A$166&gt;35,DO183+DN184-DW183,IF(A184&lt;'Données projet'!$A$166,$DL$205^A184,IF(A184='Données projet'!$A$166,'Données projet'!$B$166,DO183+DN184-DW183)))</f>
        <v>285.74749999999966</v>
      </c>
      <c r="DP184" s="17">
        <f>DO184*VLOOKUP('Données projet'!$B$14,Paramètres!$A$1:$I$89,3,0)*VLOOKUP('Données projet'!$B$14,Paramètres!$A$1:$I$89,5,0)</f>
        <v>276.37498199999965</v>
      </c>
      <c r="DQ184" s="13">
        <f t="shared" si="176"/>
        <v>66.200358347294468</v>
      </c>
      <c r="DR184" s="20">
        <f t="shared" si="177"/>
        <v>596.65205110487057</v>
      </c>
      <c r="DS184" s="59">
        <f t="shared" si="125"/>
        <v>887.78520286365392</v>
      </c>
      <c r="DT184" s="59">
        <f ca="1">AVERAGE(OFFSET($DS$3,0,0,'Données projet'!$E$14+1,1))-AVERAGE(OFFSET($H$3,0,0,'Données projet'!$E$14+1,1))</f>
        <v>537.37164071064103</v>
      </c>
      <c r="DU184" s="59">
        <f t="shared" si="152"/>
        <v>263.29777321132235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41.626473239002678</v>
      </c>
      <c r="EB184" s="21">
        <f>EXP(-LN(2)/25)*EB183+(1-EXP(-LN(2)/25))/(LN(2)/25)*Calculateur!DW184*Calculateur!DY184*VLOOKUP('Données projet'!$B$14,Paramètres!$A$1:$I$89,3,0)*0.475*44/12</f>
        <v>36.70443506196078</v>
      </c>
      <c r="EC184" s="21">
        <f>EXP(-LN(2)/2)*EC183+(1-EXP(-LN(2)/2))/(LN(2)/2)*DW184*DZ184*VLOOKUP('Données projet'!$B$14,Paramètres!$A$1:$I$89,3,0)*0.475*44/12</f>
        <v>28.509185339180373</v>
      </c>
      <c r="ED184" s="22">
        <f t="shared" si="178"/>
        <v>106.84009364014383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69.399950479668163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69.399950479668163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69.399950479668163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69.399950479668163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45">
      <c r="A185" s="10">
        <f t="shared" si="161"/>
        <v>182</v>
      </c>
      <c r="B185" s="73">
        <f>'Scénario référence'!$B$16*5+'Scénario référence'!$B$17*0+'Scénario référence'!$B$18*5</f>
        <v>2.8499999999999996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10.449999999999998</v>
      </c>
      <c r="H185" s="67">
        <f t="shared" si="110"/>
        <v>214.86666666666667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69.410359997336172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3.979039320256561E-13</v>
      </c>
      <c r="O185" s="13">
        <f>N185*VLOOKUP('Données projet'!$B$9,Paramètres!$A$1:$I$89,3,0)*VLOOKUP('Données projet'!$B$9,Paramètres!$A$1:$I$89,5,0)</f>
        <v>3.6002347769681362E-13</v>
      </c>
      <c r="P185" s="13">
        <f t="shared" si="141"/>
        <v>4.6593569189922594E-12</v>
      </c>
      <c r="Q185" s="20">
        <f t="shared" si="162"/>
        <v>8.7420875242334695E-12</v>
      </c>
      <c r="R185" s="59">
        <f t="shared" si="109"/>
        <v>291.17131999024139</v>
      </c>
      <c r="S185" s="59">
        <f ca="1">AVERAGE(OFFSET($R$3,0,0,'Données projet'!$E$9+1,1))-AVERAGE(OFFSET($H$3,0,0,'Données projet'!$E$9+1,1))</f>
        <v>719.20816951277925</v>
      </c>
      <c r="T185" s="59">
        <f t="shared" si="142"/>
        <v>237.1127421841087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110.51187230539647</v>
      </c>
      <c r="AA185" s="21">
        <f>EXP(-LN(2)/25)*AA184+(1-EXP(-LN(2)/25))/(LN(2)/25)*Calculateur!V185*Calculateur!X185*VLOOKUP('Données projet'!$B$9,Paramètres!$A$1:$I$89,3,0)*0.475*44/12</f>
        <v>16.07457452603936</v>
      </c>
      <c r="AB185" s="21">
        <f>EXP(-LN(2)/2)*AB184+(1-EXP(-LN(2)/2))/(LN(2)/2)*V185*Y185*VLOOKUP('Données projet'!$B$9,Paramètres!$A$1:$I$89,3,0)*0.475*44/12</f>
        <v>3.9299230256080071E-3</v>
      </c>
      <c r="AC185" s="22">
        <f t="shared" si="163"/>
        <v>126.59037675446143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69.410359997336172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5.6843418860808015E-14</v>
      </c>
      <c r="AJ185" s="13">
        <f>AI185*VLOOKUP('Données projet'!$B$10,Paramètres!$A$1:$I$89,3,0)*VLOOKUP('Données projet'!$B$10,Paramètres!$A$1:$I$89,5,0)</f>
        <v>4.7884896048344674E-14</v>
      </c>
      <c r="AK185" s="13">
        <f t="shared" si="164"/>
        <v>7.8374629847779921E-13</v>
      </c>
      <c r="AL185" s="20">
        <f t="shared" si="165"/>
        <v>1.4484243304663672E-12</v>
      </c>
      <c r="AM185" s="59">
        <f t="shared" si="113"/>
        <v>291.17131999023405</v>
      </c>
      <c r="AN185" s="59">
        <f ca="1">AVERAGE(OFFSET($AM$3,0,0,'Données projet'!$E$10+1,1))-AVERAGE(OFFSET($H$3,0,0,'Données projet'!$E$10+1,1))</f>
        <v>442.79037205372367</v>
      </c>
      <c r="AO185" s="59">
        <f t="shared" si="144"/>
        <v>288.23553637727969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27.158693714292543</v>
      </c>
      <c r="AV185" s="21">
        <f>EXP(-LN(2)/25)*AV184+(1-EXP(-LN(2)/25))/(LN(2)/25)*Calculateur!AQ185*Calculateur!AS185*VLOOKUP('Données projet'!$B$10,Paramètres!$A$1:$I$89,3,0)*0.475*44/12</f>
        <v>3.4018387046370058</v>
      </c>
      <c r="AW185" s="21">
        <f>EXP(-LN(2)/2)*AW184+(1-EXP(-LN(2)/2))/(LN(2)/2)*AQ185*AT185*VLOOKUP('Données projet'!$B$10,Paramètres!$A$1:$I$89,3,0)*0.475*44/12</f>
        <v>2.700480226835238E-11</v>
      </c>
      <c r="AX185" s="21">
        <f t="shared" si="166"/>
        <v>30.560532418956551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69.410359997336172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4.7974999999999994</v>
      </c>
      <c r="BD185" s="12">
        <f>IF('Données projet'!$A$88&gt;35,BD184+BC185-BL184,IF(A185&lt;'Données projet'!$A$88,$BA$205^A185,IF(A185='Données projet'!$A$88,'Données projet'!$B$88,BD184+BC185-BL184)))</f>
        <v>290.54499999999967</v>
      </c>
      <c r="BE185" s="13">
        <f>BD185*VLOOKUP('Données projet'!$B$11,Paramètres!$A$1:$I$89,3,0)*VLOOKUP('Données projet'!$B$11,Paramètres!$A$1:$I$89,5,0)</f>
        <v>294.61262999999968</v>
      </c>
      <c r="BF185" s="13">
        <f t="shared" si="167"/>
        <v>70.045875436649951</v>
      </c>
      <c r="BG185" s="20">
        <f t="shared" si="168"/>
        <v>635.11356363549817</v>
      </c>
      <c r="BH185" s="59">
        <f t="shared" si="116"/>
        <v>926.2848836257308</v>
      </c>
      <c r="BI185" s="59">
        <f ca="1">AVERAGE(OFFSET($BH$3,0,0,'Données projet'!$E$11+1,1))-AVERAGE(OFFSET($H$3,0,0,'Données projet'!$E$11+1,1))</f>
        <v>559.91818701710872</v>
      </c>
      <c r="BJ185" s="59">
        <f t="shared" si="146"/>
        <v>273.47272623465915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78.849886259630154</v>
      </c>
      <c r="BQ185" s="21">
        <f>EXP(-LN(2)/25)*BQ184+(1-EXP(-LN(2)/25))/(LN(2)/25)*Calculateur!BL185*Calculateur!BN185*VLOOKUP('Données projet'!$B$11,Paramètres!$A$1:$I$89,3,0)*0.475*44/12</f>
        <v>31.71765057687303</v>
      </c>
      <c r="BR185" s="21">
        <f>EXP(-LN(2)/2)*BR184+(1-EXP(-LN(2)/2))/(LN(2)/2)*BL185*BO185*VLOOKUP('Données projet'!$B$11,Paramètres!$A$1:$I$89,3,0)*0.475*44/12</f>
        <v>1.1265449651054692E-5</v>
      </c>
      <c r="BS185" s="22">
        <f t="shared" si="169"/>
        <v>110.56754810195284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69.410359997336172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-1.1368683772161603E-13</v>
      </c>
      <c r="BZ185" s="13">
        <f>BY185*VLOOKUP('Données projet'!$B$12,Paramètres!$A$1:$I$89,3,0)*VLOOKUP('Données projet'!$B$12,Paramètres!$A$1:$I$89,5,0)</f>
        <v>-8.8675733422860506E-14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208.92677786250815</v>
      </c>
      <c r="CE185" s="59">
        <f t="shared" si="148"/>
        <v>207.54290142772214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2.9405777928474857</v>
      </c>
      <c r="CL185" s="21">
        <f>EXP(-LN(2)/25)*CL184+(1-EXP(-LN(2)/25))/(LN(2)/25)*Calculateur!CG185*Calculateur!CI185*VLOOKUP('Données projet'!$B$12,Paramètres!$A$1:$I$89,3,0)*0.475*44/12</f>
        <v>1.1828270602322783</v>
      </c>
      <c r="CM185" s="21">
        <f>EXP(-LN(2)/2)*CM184+(1-EXP(-LN(2)/2))/(LN(2)/2)*CG185*CJ185*VLOOKUP('Données projet'!$B$12,Paramètres!$A$1:$I$89,3,0)*0.475*44/12</f>
        <v>3.8218177651221328E-16</v>
      </c>
      <c r="CN185" s="22">
        <f t="shared" si="172"/>
        <v>4.123404853079764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69.410359997336172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2.5579538487363607E-13</v>
      </c>
      <c r="CU185" s="17">
        <f>CT185*VLOOKUP('Données projet'!$B$13,Paramètres!$A$1:$I$89,3,0)*VLOOKUP('Données projet'!$B$13,Paramètres!$A$1:$I$89,5,0)</f>
        <v>2.4341488824575211E-13</v>
      </c>
      <c r="CV185" s="13">
        <f t="shared" si="173"/>
        <v>3.2970717324875541E-12</v>
      </c>
      <c r="CW185" s="20">
        <f t="shared" si="174"/>
        <v>6.1663475311105072E-12</v>
      </c>
      <c r="CX185" s="59">
        <f t="shared" si="122"/>
        <v>291.17131999023877</v>
      </c>
      <c r="CY185" s="59">
        <f ca="1">AVERAGE(OFFSET($CX$3,0,0,'Données projet'!$E$13+1,1))-AVERAGE(OFFSET($H$3,0,0,'Données projet'!$E$13+1,1))</f>
        <v>470.42022791389275</v>
      </c>
      <c r="CZ185" s="59">
        <f t="shared" si="150"/>
        <v>300.26117330627346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23.619891661187758</v>
      </c>
      <c r="DG185" s="21">
        <f>EXP(-LN(2)/25)*DG184+(1-EXP(-LN(2)/25))/(LN(2)/25)*Calculateur!DB185*Calculateur!DD185*VLOOKUP('Données projet'!$B$13,Paramètres!$A$1:$I$89,3,0)*0.475*44/12</f>
        <v>14.238947678126701</v>
      </c>
      <c r="DH185" s="21">
        <f>EXP(-LN(2)/2)*DH184+(1-EXP(-LN(2)/2))/(LN(2)/2)*DB185*DE185*VLOOKUP('Données projet'!$B$13,Paramètres!$A$1:$I$89,3,0)*0.475*44/12</f>
        <v>5.3422373792996566E-7</v>
      </c>
      <c r="DI185" s="22">
        <f t="shared" si="175"/>
        <v>37.858839873538194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69.410359997336172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4.7974999999999994</v>
      </c>
      <c r="DO185" s="12">
        <f>IF('Données projet'!$A$166&gt;35,DO184+DN185-DW184,IF(A185&lt;'Données projet'!$A$166,$DL$205^A185,IF(A185='Données projet'!$A$166,'Données projet'!$B$166,DO184+DN185-DW184)))</f>
        <v>290.54499999999967</v>
      </c>
      <c r="DP185" s="17">
        <f>DO185*VLOOKUP('Données projet'!$B$14,Paramètres!$A$1:$I$89,3,0)*VLOOKUP('Données projet'!$B$14,Paramètres!$A$1:$I$89,5,0)</f>
        <v>281.01512399999973</v>
      </c>
      <c r="DQ185" s="13">
        <f t="shared" si="176"/>
        <v>67.181488559705002</v>
      </c>
      <c r="DR185" s="20">
        <f t="shared" si="177"/>
        <v>606.44243354148568</v>
      </c>
      <c r="DS185" s="59">
        <f t="shared" si="125"/>
        <v>897.61375353171832</v>
      </c>
      <c r="DT185" s="59">
        <f ca="1">AVERAGE(OFFSET($DS$3,0,0,'Données projet'!$E$14+1,1))-AVERAGE(OFFSET($H$3,0,0,'Données projet'!$E$14+1,1))</f>
        <v>537.37164071064103</v>
      </c>
      <c r="DU185" s="59">
        <f t="shared" si="152"/>
        <v>263.29777321132235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40.81020348842749</v>
      </c>
      <c r="EB185" s="21">
        <f>EXP(-LN(2)/25)*EB184+(1-EXP(-LN(2)/25))/(LN(2)/25)*Calculateur!DW185*Calculateur!DY185*VLOOKUP('Données projet'!$B$14,Paramètres!$A$1:$I$89,3,0)*0.475*44/12</f>
        <v>35.700750354989111</v>
      </c>
      <c r="EC185" s="21">
        <f>EXP(-LN(2)/2)*EC184+(1-EXP(-LN(2)/2))/(LN(2)/2)*DW185*DZ185*VLOOKUP('Données projet'!$B$14,Paramètres!$A$1:$I$89,3,0)*0.475*44/12</f>
        <v>20.159038279438548</v>
      </c>
      <c r="ED185" s="22">
        <f t="shared" si="178"/>
        <v>96.669992122855149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69.410359997336172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69.410359997336172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69.410359997336172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69.410359997336172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45">
      <c r="A186" s="10">
        <f t="shared" si="161"/>
        <v>183</v>
      </c>
      <c r="B186" s="73">
        <f>'Scénario référence'!$B$16*5+'Scénario référence'!$B$17*0+'Scénario référence'!$B$18*5</f>
        <v>2.8499999999999996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10.449999999999998</v>
      </c>
      <c r="H186" s="67">
        <f t="shared" si="110"/>
        <v>214.86666666666667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69.420588933144828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3.979039320256561E-13</v>
      </c>
      <c r="O186" s="13">
        <f>N186*VLOOKUP('Données projet'!$B$9,Paramètres!$A$1:$I$89,3,0)*VLOOKUP('Données projet'!$B$9,Paramètres!$A$1:$I$89,5,0)</f>
        <v>3.6002347769681362E-13</v>
      </c>
      <c r="P186" s="13">
        <f t="shared" si="141"/>
        <v>4.6593569189922594E-12</v>
      </c>
      <c r="Q186" s="20">
        <f t="shared" si="162"/>
        <v>8.7420875242334695E-12</v>
      </c>
      <c r="R186" s="59">
        <f t="shared" si="109"/>
        <v>291.20882608820642</v>
      </c>
      <c r="S186" s="59">
        <f ca="1">AVERAGE(OFFSET($R$3,0,0,'Données projet'!$E$9+1,1))-AVERAGE(OFFSET($H$3,0,0,'Données projet'!$E$9+1,1))</f>
        <v>719.20816951277925</v>
      </c>
      <c r="T186" s="59">
        <f t="shared" si="142"/>
        <v>237.1127421841087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108.344801895074</v>
      </c>
      <c r="AA186" s="21">
        <f>EXP(-LN(2)/25)*AA185+(1-EXP(-LN(2)/25))/(LN(2)/25)*Calculateur!V186*Calculateur!X186*VLOOKUP('Données projet'!$B$9,Paramètres!$A$1:$I$89,3,0)*0.475*44/12</f>
        <v>15.635014440299678</v>
      </c>
      <c r="AB186" s="21">
        <f>EXP(-LN(2)/2)*AB185+(1-EXP(-LN(2)/2))/(LN(2)/2)*V186*Y186*VLOOKUP('Données projet'!$B$9,Paramètres!$A$1:$I$89,3,0)*0.475*44/12</f>
        <v>2.7788752209485759E-3</v>
      </c>
      <c r="AC186" s="22">
        <f t="shared" si="163"/>
        <v>123.98259521059462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69.420588933144828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5.6843418860808015E-14</v>
      </c>
      <c r="AJ186" s="13">
        <f>AI186*VLOOKUP('Données projet'!$B$10,Paramètres!$A$1:$I$89,3,0)*VLOOKUP('Données projet'!$B$10,Paramètres!$A$1:$I$89,5,0)</f>
        <v>4.7884896048344674E-14</v>
      </c>
      <c r="AK186" s="13">
        <f t="shared" si="164"/>
        <v>7.8374629847779921E-13</v>
      </c>
      <c r="AL186" s="20">
        <f t="shared" si="165"/>
        <v>1.4484243304663672E-12</v>
      </c>
      <c r="AM186" s="59">
        <f t="shared" si="113"/>
        <v>291.20882608819909</v>
      </c>
      <c r="AN186" s="59">
        <f ca="1">AVERAGE(OFFSET($AM$3,0,0,'Données projet'!$E$10+1,1))-AVERAGE(OFFSET($H$3,0,0,'Données projet'!$E$10+1,1))</f>
        <v>442.79037205372367</v>
      </c>
      <c r="AO186" s="59">
        <f t="shared" si="144"/>
        <v>288.23553637727969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26.626128295722758</v>
      </c>
      <c r="AV186" s="21">
        <f>EXP(-LN(2)/25)*AV185+(1-EXP(-LN(2)/25))/(LN(2)/25)*Calculateur!AQ186*Calculateur!AS186*VLOOKUP('Données projet'!$B$10,Paramètres!$A$1:$I$89,3,0)*0.475*44/12</f>
        <v>3.3088152463637845</v>
      </c>
      <c r="AW186" s="21">
        <f>EXP(-LN(2)/2)*AW185+(1-EXP(-LN(2)/2))/(LN(2)/2)*AQ186*AT186*VLOOKUP('Données projet'!$B$10,Paramètres!$A$1:$I$89,3,0)*0.475*44/12</f>
        <v>1.9095278808553829E-11</v>
      </c>
      <c r="AX186" s="21">
        <f t="shared" si="166"/>
        <v>29.934943542105639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69.420588933144828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4.7974999999999994</v>
      </c>
      <c r="BD186" s="12">
        <f>IF('Données projet'!$A$88&gt;35,BD185+BC186-BL185,IF(A186&lt;'Données projet'!$A$88,$BA$205^A186,IF(A186='Données projet'!$A$88,'Données projet'!$B$88,BD185+BC186-BL185)))</f>
        <v>295.34249999999969</v>
      </c>
      <c r="BE186" s="13">
        <f>BD186*VLOOKUP('Données projet'!$B$11,Paramètres!$A$1:$I$89,3,0)*VLOOKUP('Données projet'!$B$11,Paramètres!$A$1:$I$89,5,0)</f>
        <v>299.47729499999969</v>
      </c>
      <c r="BF186" s="13">
        <f t="shared" si="167"/>
        <v>71.066873311318389</v>
      </c>
      <c r="BG186" s="20">
        <f t="shared" si="168"/>
        <v>645.36442647554566</v>
      </c>
      <c r="BH186" s="59">
        <f t="shared" si="116"/>
        <v>936.57325256374338</v>
      </c>
      <c r="BI186" s="59">
        <f ca="1">AVERAGE(OFFSET($BH$3,0,0,'Données projet'!$E$11+1,1))-AVERAGE(OFFSET($H$3,0,0,'Données projet'!$E$11+1,1))</f>
        <v>559.91818701710872</v>
      </c>
      <c r="BJ186" s="59">
        <f t="shared" si="146"/>
        <v>273.47272623465915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77.303688083760562</v>
      </c>
      <c r="BQ186" s="21">
        <f>EXP(-LN(2)/25)*BQ185+(1-EXP(-LN(2)/25))/(LN(2)/25)*Calculateur!BL186*Calculateur!BN186*VLOOKUP('Données projet'!$B$11,Paramètres!$A$1:$I$89,3,0)*0.475*44/12</f>
        <v>30.850329753889685</v>
      </c>
      <c r="BR186" s="21">
        <f>EXP(-LN(2)/2)*BR185+(1-EXP(-LN(2)/2))/(LN(2)/2)*BL186*BO186*VLOOKUP('Données projet'!$B$11,Paramètres!$A$1:$I$89,3,0)*0.475*44/12</f>
        <v>7.9658758413763979E-6</v>
      </c>
      <c r="BS186" s="22">
        <f t="shared" si="169"/>
        <v>108.15402580352608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69.420588933144828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-1.1368683772161603E-13</v>
      </c>
      <c r="BZ186" s="13">
        <f>BY186*VLOOKUP('Données projet'!$B$12,Paramètres!$A$1:$I$89,3,0)*VLOOKUP('Données projet'!$B$12,Paramètres!$A$1:$I$89,5,0)</f>
        <v>-8.8675733422860506E-14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208.92677786250815</v>
      </c>
      <c r="CE186" s="59">
        <f t="shared" si="148"/>
        <v>207.54290142772214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2.8829148559050992</v>
      </c>
      <c r="CL186" s="21">
        <f>EXP(-LN(2)/25)*CL185+(1-EXP(-LN(2)/25))/(LN(2)/25)*Calculateur!CG186*Calculateur!CI186*VLOOKUP('Données projet'!$B$12,Paramètres!$A$1:$I$89,3,0)*0.475*44/12</f>
        <v>1.150482592068055</v>
      </c>
      <c r="CM186" s="21">
        <f>EXP(-LN(2)/2)*CM185+(1-EXP(-LN(2)/2))/(LN(2)/2)*CG186*CJ186*VLOOKUP('Données projet'!$B$12,Paramètres!$A$1:$I$89,3,0)*0.475*44/12</f>
        <v>2.702433258177076E-16</v>
      </c>
      <c r="CN186" s="22">
        <f t="shared" si="172"/>
        <v>4.0333974479731545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69.420588933144828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2.5579538487363607E-13</v>
      </c>
      <c r="CU186" s="17">
        <f>CT186*VLOOKUP('Données projet'!$B$13,Paramètres!$A$1:$I$89,3,0)*VLOOKUP('Données projet'!$B$13,Paramètres!$A$1:$I$89,5,0)</f>
        <v>2.4341488824575211E-13</v>
      </c>
      <c r="CV186" s="13">
        <f t="shared" si="173"/>
        <v>3.2970717324875541E-12</v>
      </c>
      <c r="CW186" s="20">
        <f t="shared" si="174"/>
        <v>6.1663475311105072E-12</v>
      </c>
      <c r="CX186" s="59">
        <f t="shared" si="122"/>
        <v>291.20882608820381</v>
      </c>
      <c r="CY186" s="59">
        <f ca="1">AVERAGE(OFFSET($CX$3,0,0,'Données projet'!$E$13+1,1))-AVERAGE(OFFSET($H$3,0,0,'Données projet'!$E$13+1,1))</f>
        <v>470.42022791389275</v>
      </c>
      <c r="CZ186" s="59">
        <f t="shared" si="150"/>
        <v>300.26117330627346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23.156719992423234</v>
      </c>
      <c r="DG186" s="21">
        <f>EXP(-LN(2)/25)*DG185+(1-EXP(-LN(2)/25))/(LN(2)/25)*Calculateur!DB186*Calculateur!DD186*VLOOKUP('Données projet'!$B$13,Paramètres!$A$1:$I$89,3,0)*0.475*44/12</f>
        <v>13.849582905074612</v>
      </c>
      <c r="DH186" s="21">
        <f>EXP(-LN(2)/2)*DH185+(1-EXP(-LN(2)/2))/(LN(2)/2)*DB186*DE186*VLOOKUP('Données projet'!$B$13,Paramètres!$A$1:$I$89,3,0)*0.475*44/12</f>
        <v>3.7775322776110374E-7</v>
      </c>
      <c r="DI186" s="22">
        <f t="shared" si="175"/>
        <v>37.006303275251071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69.420588933144828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4.7974999999999994</v>
      </c>
      <c r="DO186" s="12">
        <f>IF('Données projet'!$A$166&gt;35,DO185+DN186-DW185,IF(A186&lt;'Données projet'!$A$166,$DL$205^A186,IF(A186='Données projet'!$A$166,'Données projet'!$B$166,DO185+DN186-DW185)))</f>
        <v>295.34249999999969</v>
      </c>
      <c r="DP186" s="17">
        <f>DO186*VLOOKUP('Données projet'!$B$14,Paramètres!$A$1:$I$89,3,0)*VLOOKUP('Données projet'!$B$14,Paramètres!$A$1:$I$89,5,0)</f>
        <v>285.6552659999997</v>
      </c>
      <c r="DQ186" s="13">
        <f t="shared" si="176"/>
        <v>68.160734755272316</v>
      </c>
      <c r="DR186" s="20">
        <f t="shared" si="177"/>
        <v>616.22953464876537</v>
      </c>
      <c r="DS186" s="59">
        <f t="shared" si="125"/>
        <v>907.43836073696298</v>
      </c>
      <c r="DT186" s="59">
        <f ca="1">AVERAGE(OFFSET($DS$3,0,0,'Données projet'!$E$14+1,1))-AVERAGE(OFFSET($H$3,0,0,'Données projet'!$E$14+1,1))</f>
        <v>537.37164071064103</v>
      </c>
      <c r="DU186" s="59">
        <f t="shared" si="152"/>
        <v>263.29777321132235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40.009940289785696</v>
      </c>
      <c r="EB186" s="21">
        <f>EXP(-LN(2)/25)*EB185+(1-EXP(-LN(2)/25))/(LN(2)/25)*Calculateur!DW186*Calculateur!DY186*VLOOKUP('Données projet'!$B$14,Paramètres!$A$1:$I$89,3,0)*0.475*44/12</f>
        <v>34.724511459111071</v>
      </c>
      <c r="EC186" s="21">
        <f>EXP(-LN(2)/2)*EC185+(1-EXP(-LN(2)/2))/(LN(2)/2)*DW186*DZ186*VLOOKUP('Données projet'!$B$14,Paramètres!$A$1:$I$89,3,0)*0.475*44/12</f>
        <v>14.25459266959019</v>
      </c>
      <c r="ED186" s="22">
        <f t="shared" si="178"/>
        <v>88.989044418486955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69.420588933144828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69.420588933144828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69.420588933144828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69.420588933144828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45">
      <c r="A187" s="10">
        <f t="shared" si="161"/>
        <v>184</v>
      </c>
      <c r="B187" s="73">
        <f>'Scénario référence'!$B$16*5+'Scénario référence'!$B$17*0+'Scénario référence'!$B$18*5</f>
        <v>2.8499999999999996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10.449999999999998</v>
      </c>
      <c r="H187" s="67">
        <f t="shared" si="110"/>
        <v>214.86666666666667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69.430640419785675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3.979039320256561E-13</v>
      </c>
      <c r="O187" s="13">
        <f>N187*VLOOKUP('Données projet'!$B$9,Paramètres!$A$1:$I$89,3,0)*VLOOKUP('Données projet'!$B$9,Paramètres!$A$1:$I$89,5,0)</f>
        <v>3.6002347769681362E-13</v>
      </c>
      <c r="P187" s="13">
        <f t="shared" si="141"/>
        <v>4.6593569189922594E-12</v>
      </c>
      <c r="Q187" s="20">
        <f t="shared" si="162"/>
        <v>8.7420875242334695E-12</v>
      </c>
      <c r="R187" s="59">
        <f t="shared" si="109"/>
        <v>291.24568153922286</v>
      </c>
      <c r="S187" s="59">
        <f ca="1">AVERAGE(OFFSET($R$3,0,0,'Données projet'!$E$9+1,1))-AVERAGE(OFFSET($H$3,0,0,'Données projet'!$E$9+1,1))</f>
        <v>719.20816951277925</v>
      </c>
      <c r="T187" s="59">
        <f t="shared" si="142"/>
        <v>237.1127421841087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106.22022641371552</v>
      </c>
      <c r="AA187" s="21">
        <f>EXP(-LN(2)/25)*AA186+(1-EXP(-LN(2)/25))/(LN(2)/25)*Calculateur!V187*Calculateur!X187*VLOOKUP('Données projet'!$B$9,Paramètres!$A$1:$I$89,3,0)*0.475*44/12</f>
        <v>15.207474148220008</v>
      </c>
      <c r="AB187" s="21">
        <f>EXP(-LN(2)/2)*AB186+(1-EXP(-LN(2)/2))/(LN(2)/2)*V187*Y187*VLOOKUP('Données projet'!$B$9,Paramètres!$A$1:$I$89,3,0)*0.475*44/12</f>
        <v>1.9649615128040036E-3</v>
      </c>
      <c r="AC187" s="22">
        <f t="shared" si="163"/>
        <v>121.42966552344832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69.430640419785675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5.6843418860808015E-14</v>
      </c>
      <c r="AJ187" s="13">
        <f>AI187*VLOOKUP('Données projet'!$B$10,Paramètres!$A$1:$I$89,3,0)*VLOOKUP('Données projet'!$B$10,Paramètres!$A$1:$I$89,5,0)</f>
        <v>4.7884896048344674E-14</v>
      </c>
      <c r="AK187" s="13">
        <f t="shared" si="164"/>
        <v>7.8374629847779921E-13</v>
      </c>
      <c r="AL187" s="20">
        <f t="shared" si="165"/>
        <v>1.4484243304663672E-12</v>
      </c>
      <c r="AM187" s="59">
        <f t="shared" si="113"/>
        <v>291.24568153921552</v>
      </c>
      <c r="AN187" s="59">
        <f ca="1">AVERAGE(OFFSET($AM$3,0,0,'Données projet'!$E$10+1,1))-AVERAGE(OFFSET($H$3,0,0,'Données projet'!$E$10+1,1))</f>
        <v>442.79037205372367</v>
      </c>
      <c r="AO187" s="59">
        <f t="shared" si="144"/>
        <v>288.23553637727969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26.104006160178294</v>
      </c>
      <c r="AV187" s="21">
        <f>EXP(-LN(2)/25)*AV186+(1-EXP(-LN(2)/25))/(LN(2)/25)*Calculateur!AQ187*Calculateur!AS187*VLOOKUP('Données projet'!$B$10,Paramètres!$A$1:$I$89,3,0)*0.475*44/12</f>
        <v>3.2183355194489356</v>
      </c>
      <c r="AW187" s="21">
        <f>EXP(-LN(2)/2)*AW186+(1-EXP(-LN(2)/2))/(LN(2)/2)*AQ187*AT187*VLOOKUP('Données projet'!$B$10,Paramètres!$A$1:$I$89,3,0)*0.475*44/12</f>
        <v>1.350240113417619E-11</v>
      </c>
      <c r="AX187" s="21">
        <f t="shared" si="166"/>
        <v>29.322341679640733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69.430640419785675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>
        <f>VLOOKUP(A187,'Données projet'!$A$87:$I$107,2,0)</f>
        <v>300.14</v>
      </c>
      <c r="BB187" s="12">
        <f>VLOOKUP(A187,'Données projet'!$A$87:$I$107,9,0)</f>
        <v>4.7974999999999994</v>
      </c>
      <c r="BC187" s="12">
        <f t="array" ref="BC187">INDEX(BB:BB,MIN(IF(ISNUMBER(BB187:BB383),ROW(BB187:BB383),"")))</f>
        <v>4.7974999999999994</v>
      </c>
      <c r="BD187" s="12">
        <f>IF('Données projet'!$A$88&gt;35,BD186+BC187-BL186,IF(A187&lt;'Données projet'!$A$88,$BA$205^A187,IF(A187='Données projet'!$A$88,'Données projet'!$B$88,BD186+BC187-BL186)))</f>
        <v>300.1399999999997</v>
      </c>
      <c r="BE187" s="13">
        <f>BD187*VLOOKUP('Données projet'!$B$11,Paramètres!$A$1:$I$89,3,0)*VLOOKUP('Données projet'!$B$11,Paramètres!$A$1:$I$89,5,0)</f>
        <v>304.34195999999969</v>
      </c>
      <c r="BF187" s="13">
        <f t="shared" si="167"/>
        <v>72.085942433343163</v>
      </c>
      <c r="BG187" s="20">
        <f t="shared" si="168"/>
        <v>655.61193007140548</v>
      </c>
      <c r="BH187" s="59">
        <f t="shared" si="116"/>
        <v>946.85761161061964</v>
      </c>
      <c r="BI187" s="59">
        <f ca="1">AVERAGE(OFFSET($BH$3,0,0,'Données projet'!$E$11+1,1))-AVERAGE(OFFSET($H$3,0,0,'Données projet'!$E$11+1,1))</f>
        <v>559.91818701710872</v>
      </c>
      <c r="BJ187" s="59">
        <f t="shared" si="146"/>
        <v>273.47272623465915</v>
      </c>
      <c r="BK187" s="15">
        <f>IF(ISNA(VLOOKUP(A187,'Données projet'!$A$87:$I$107,3,0)),0,VLOOKUP(A187,'Données projet'!$A$87:$I$107,3,0))</f>
        <v>14</v>
      </c>
      <c r="BL187" s="15">
        <f>IF(ISNA(VLOOKUP(A187,'Données projet'!$A$87:$I$107,4,0)),0,VLOOKUP(A187,'Données projet'!$A$87:$I$107,4,0))</f>
        <v>101.19999999999999</v>
      </c>
      <c r="BM187" s="16">
        <f>IF(ISNA(VLOOKUP(A187,'Données projet'!$A$87:$I$107,5,0)),0%,VLOOKUP(A187,'Données projet'!$A$87:$I$107,5,0)*VLOOKUP('Données projet'!$B$11,Paramètres!$A$1:$I$89,7,0))</f>
        <v>0.215</v>
      </c>
      <c r="BN187" s="16">
        <f>IF(ISNA(VLOOKUP(A187,'Données projet'!$A$87:$I$107,6,0)),0%,VLOOKUP(A187,'Données projet'!$A$87:$I$107,6,0)*VLOOKUP('Données projet'!$B$11,Paramètres!$A$1:$I$89,7,0))</f>
        <v>8.6000000000000007E-2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100.17737397216023</v>
      </c>
      <c r="BQ187" s="21">
        <f>EXP(-LN(2)/25)*BQ186+(1-EXP(-LN(2)/25))/(LN(2)/25)*Calculateur!BL187*Calculateur!BN187*VLOOKUP('Données projet'!$B$11,Paramètres!$A$1:$I$89,3,0)*0.475*44/12</f>
        <v>39.724139086128069</v>
      </c>
      <c r="BR187" s="21">
        <f>EXP(-LN(2)/2)*BR186+(1-EXP(-LN(2)/2))/(LN(2)/2)*BL187*BO187*VLOOKUP('Données projet'!$B$11,Paramètres!$A$1:$I$89,3,0)*0.475*44/12</f>
        <v>5.6327248255273458E-6</v>
      </c>
      <c r="BS187" s="22">
        <f t="shared" si="169"/>
        <v>139.90151869101311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69.430640419785675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-1.1368683772161603E-13</v>
      </c>
      <c r="BZ187" s="13">
        <f>BY187*VLOOKUP('Données projet'!$B$12,Paramètres!$A$1:$I$89,3,0)*VLOOKUP('Données projet'!$B$12,Paramètres!$A$1:$I$89,5,0)</f>
        <v>-8.8675733422860506E-14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208.92677786250815</v>
      </c>
      <c r="CE187" s="59">
        <f t="shared" si="148"/>
        <v>207.54290142772214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2.8263826539852341</v>
      </c>
      <c r="CL187" s="21">
        <f>EXP(-LN(2)/25)*CL186+(1-EXP(-LN(2)/25))/(LN(2)/25)*Calculateur!CG187*Calculateur!CI187*VLOOKUP('Données projet'!$B$12,Paramètres!$A$1:$I$89,3,0)*0.475*44/12</f>
        <v>1.1190225850867039</v>
      </c>
      <c r="CM187" s="21">
        <f>EXP(-LN(2)/2)*CM186+(1-EXP(-LN(2)/2))/(LN(2)/2)*CG187*CJ187*VLOOKUP('Données projet'!$B$12,Paramètres!$A$1:$I$89,3,0)*0.475*44/12</f>
        <v>1.9109088825610664E-16</v>
      </c>
      <c r="CN187" s="22">
        <f t="shared" si="172"/>
        <v>3.9454052390719383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69.430640419785675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2.5579538487363607E-13</v>
      </c>
      <c r="CU187" s="17">
        <f>CT187*VLOOKUP('Données projet'!$B$13,Paramètres!$A$1:$I$89,3,0)*VLOOKUP('Données projet'!$B$13,Paramètres!$A$1:$I$89,5,0)</f>
        <v>2.4341488824575211E-13</v>
      </c>
      <c r="CV187" s="13">
        <f t="shared" si="173"/>
        <v>3.2970717324875541E-12</v>
      </c>
      <c r="CW187" s="20">
        <f t="shared" si="174"/>
        <v>6.1663475311105072E-12</v>
      </c>
      <c r="CX187" s="59">
        <f t="shared" si="122"/>
        <v>291.24568153922024</v>
      </c>
      <c r="CY187" s="59">
        <f ca="1">AVERAGE(OFFSET($CX$3,0,0,'Données projet'!$E$13+1,1))-AVERAGE(OFFSET($H$3,0,0,'Données projet'!$E$13+1,1))</f>
        <v>470.42022791389275</v>
      </c>
      <c r="CZ187" s="59">
        <f t="shared" si="150"/>
        <v>300.26117330627346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22.702630837576361</v>
      </c>
      <c r="DG187" s="21">
        <f>EXP(-LN(2)/25)*DG186+(1-EXP(-LN(2)/25))/(LN(2)/25)*Calculateur!DB187*Calculateur!DD187*VLOOKUP('Données projet'!$B$13,Paramètres!$A$1:$I$89,3,0)*0.475*44/12</f>
        <v>13.470865332217436</v>
      </c>
      <c r="DH187" s="21">
        <f>EXP(-LN(2)/2)*DH186+(1-EXP(-LN(2)/2))/(LN(2)/2)*DB187*DE187*VLOOKUP('Données projet'!$B$13,Paramètres!$A$1:$I$89,3,0)*0.475*44/12</f>
        <v>2.6711186896498283E-7</v>
      </c>
      <c r="DI187" s="22">
        <f t="shared" si="175"/>
        <v>36.173496436905666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69.430640419785675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>
        <f>VLOOKUP(A187,'Données projet'!$A$165:$I$185,2,0)</f>
        <v>300.14</v>
      </c>
      <c r="DM187" s="12">
        <f>VLOOKUP(A187,'Données projet'!$A$165:$I$185,9,0)</f>
        <v>4.7974999999999994</v>
      </c>
      <c r="DN187" s="12">
        <f t="array" ref="DN187">INDEX(DM:DM,MIN(IF(ISNUMBER(DM187:DM383),ROW(DM187:DM383),"")))</f>
        <v>4.7974999999999994</v>
      </c>
      <c r="DO187" s="12">
        <f>IF('Données projet'!$A$166&gt;35,DO186+DN187-DW186,IF(A187&lt;'Données projet'!$A$166,$DL$205^A187,IF(A187='Données projet'!$A$166,'Données projet'!$B$166,DO186+DN187-DW186)))</f>
        <v>300.1399999999997</v>
      </c>
      <c r="DP187" s="17">
        <f>DO187*VLOOKUP('Données projet'!$B$14,Paramètres!$A$1:$I$89,3,0)*VLOOKUP('Données projet'!$B$14,Paramètres!$A$1:$I$89,5,0)</f>
        <v>290.29540799999972</v>
      </c>
      <c r="DQ187" s="13">
        <f t="shared" si="176"/>
        <v>69.138131070702386</v>
      </c>
      <c r="DR187" s="20">
        <f t="shared" si="177"/>
        <v>626.01341388147284</v>
      </c>
      <c r="DS187" s="59">
        <f t="shared" si="125"/>
        <v>917.25909542068689</v>
      </c>
      <c r="DT187" s="59">
        <f ca="1">AVERAGE(OFFSET($DS$3,0,0,'Données projet'!$E$14+1,1))-AVERAGE(OFFSET($H$3,0,0,'Données projet'!$E$14+1,1))</f>
        <v>537.37164071064103</v>
      </c>
      <c r="DU187" s="59">
        <f t="shared" si="152"/>
        <v>263.29777321132235</v>
      </c>
      <c r="DV187" s="15">
        <f>IF(ISNA(VLOOKUP(A187,'Données projet'!$A$165:$I$185,3,0)),0,VLOOKUP(A187,'Données projet'!$A$165:$I$185,3,0))</f>
        <v>14</v>
      </c>
      <c r="DW187" s="15">
        <f>IF(ISNA(VLOOKUP(A187,'Données projet'!$A$165:$I$185,4,0)),0,VLOOKUP(A187,'Données projet'!$A$165:$I$185,4,0))</f>
        <v>101.19999999999999</v>
      </c>
      <c r="DX187" s="16">
        <f>IF(ISNA(VLOOKUP(A187,'Données projet'!$A$165:$I$185,5,0)),0%,VLOOKUP(A187,'Données projet'!$A$165:$I$185,5,0)*VLOOKUP('Données projet'!$B$14,Paramètres!$A$1:$I$89,7,0))</f>
        <v>0.1075</v>
      </c>
      <c r="DY187" s="16">
        <f>IF(ISNA(VLOOKUP(A187,'Données projet'!$A$165:$I$185,6,0)),0%,VLOOKUP(A187,'Données projet'!$A$165:$I$185,6,0)*VLOOKUP('Données projet'!$B$14,Paramètres!$A$1:$I$89,7,0))</f>
        <v>0.1075</v>
      </c>
      <c r="DZ187" s="16">
        <f>IF(ISNA(VLOOKUP(A187,'Données projet'!$A$165:$I$185,7,0)),0%,VLOOKUP(A187,'Données projet'!$A$165:$I$185,7,0))</f>
        <v>0.25</v>
      </c>
      <c r="EA187" s="21">
        <f>EXP(-LN(2)/35)*EA186+(1-EXP(-LN(2)/35))/(LN(2)/35)*DW187*DX187*VLOOKUP('Données projet'!$B$14,Paramètres!$A$1:$I$89,3,0)*0.475*44/12</f>
        <v>50.85731570120268</v>
      </c>
      <c r="EB187" s="21">
        <f>EXP(-LN(2)/25)*EB186+(1-EXP(-LN(2)/25))/(LN(2)/25)*Calculateur!DW187*Calculateur!DY187*VLOOKUP('Données projet'!$B$14,Paramètres!$A$1:$I$89,3,0)*0.475*44/12</f>
        <v>45.36111440075252</v>
      </c>
      <c r="EC187" s="21">
        <f>EXP(-LN(2)/2)*EC186+(1-EXP(-LN(2)/2))/(LN(2)/2)*DW187*DZ187*VLOOKUP('Données projet'!$B$14,Paramètres!$A$1:$I$89,3,0)*0.475*44/12</f>
        <v>33.16777370441946</v>
      </c>
      <c r="ED187" s="22">
        <f t="shared" si="178"/>
        <v>129.38620380637465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69.430640419785675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69.430640419785675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69.430640419785675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69.430640419785675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45">
      <c r="A188" s="10">
        <f t="shared" si="161"/>
        <v>185</v>
      </c>
      <c r="B188" s="73">
        <f>'Scénario référence'!$B$16*5+'Scénario référence'!$B$17*0+'Scénario référence'!$B$18*5</f>
        <v>2.8499999999999996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10.449999999999998</v>
      </c>
      <c r="H188" s="67">
        <f t="shared" si="110"/>
        <v>214.86666666666667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69.440517535605068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3.979039320256561E-13</v>
      </c>
      <c r="O188" s="13">
        <f>N188*VLOOKUP('Données projet'!$B$9,Paramètres!$A$1:$I$89,3,0)*VLOOKUP('Données projet'!$B$9,Paramètres!$A$1:$I$89,5,0)</f>
        <v>3.6002347769681362E-13</v>
      </c>
      <c r="P188" s="13">
        <f t="shared" si="141"/>
        <v>4.6593569189922594E-12</v>
      </c>
      <c r="Q188" s="20">
        <f t="shared" si="162"/>
        <v>8.7420875242334695E-12</v>
      </c>
      <c r="R188" s="59">
        <f t="shared" si="109"/>
        <v>291.28189763056065</v>
      </c>
      <c r="S188" s="59">
        <f ca="1">AVERAGE(OFFSET($R$3,0,0,'Données projet'!$E$9+1,1))-AVERAGE(OFFSET($H$3,0,0,'Données projet'!$E$9+1,1))</f>
        <v>719.20816951277925</v>
      </c>
      <c r="T188" s="59">
        <f t="shared" si="142"/>
        <v>237.1127421841087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104.1373125616834</v>
      </c>
      <c r="AA188" s="21">
        <f>EXP(-LN(2)/25)*AA187+(1-EXP(-LN(2)/25))/(LN(2)/25)*Calculateur!V188*Calculateur!X188*VLOOKUP('Données projet'!$B$9,Paramètres!$A$1:$I$89,3,0)*0.475*44/12</f>
        <v>14.791624967910623</v>
      </c>
      <c r="AB188" s="21">
        <f>EXP(-LN(2)/2)*AB187+(1-EXP(-LN(2)/2))/(LN(2)/2)*V188*Y188*VLOOKUP('Données projet'!$B$9,Paramètres!$A$1:$I$89,3,0)*0.475*44/12</f>
        <v>1.389437610474288E-3</v>
      </c>
      <c r="AC188" s="22">
        <f t="shared" si="163"/>
        <v>118.93032696720449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69.440517535605068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5.6843418860808015E-14</v>
      </c>
      <c r="AJ188" s="13">
        <f>AI188*VLOOKUP('Données projet'!$B$10,Paramètres!$A$1:$I$89,3,0)*VLOOKUP('Données projet'!$B$10,Paramètres!$A$1:$I$89,5,0)</f>
        <v>4.7884896048344674E-14</v>
      </c>
      <c r="AK188" s="13">
        <f t="shared" si="164"/>
        <v>7.8374629847779921E-13</v>
      </c>
      <c r="AL188" s="20">
        <f t="shared" si="165"/>
        <v>1.4484243304663672E-12</v>
      </c>
      <c r="AM188" s="59">
        <f t="shared" si="113"/>
        <v>291.28189763055332</v>
      </c>
      <c r="AN188" s="59">
        <f ca="1">AVERAGE(OFFSET($AM$3,0,0,'Données projet'!$E$10+1,1))-AVERAGE(OFFSET($H$3,0,0,'Données projet'!$E$10+1,1))</f>
        <v>442.79037205372367</v>
      </c>
      <c r="AO188" s="59">
        <f t="shared" si="144"/>
        <v>288.23553637727969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25.5921225212488</v>
      </c>
      <c r="AV188" s="21">
        <f>EXP(-LN(2)/25)*AV187+(1-EXP(-LN(2)/25))/(LN(2)/25)*Calculateur!AQ188*Calculateur!AS188*VLOOKUP('Données projet'!$B$10,Paramètres!$A$1:$I$89,3,0)*0.475*44/12</f>
        <v>3.130329965424695</v>
      </c>
      <c r="AW188" s="21">
        <f>EXP(-LN(2)/2)*AW187+(1-EXP(-LN(2)/2))/(LN(2)/2)*AQ188*AT188*VLOOKUP('Données projet'!$B$10,Paramètres!$A$1:$I$89,3,0)*0.475*44/12</f>
        <v>9.5476394042769143E-12</v>
      </c>
      <c r="AX188" s="21">
        <f t="shared" si="166"/>
        <v>28.722452486683043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69.440517535605068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3.0825000000000031</v>
      </c>
      <c r="BD188" s="12">
        <f>IF('Données projet'!$A$88&gt;35,BD187+BC188-BL187,IF(A188&lt;'Données projet'!$A$88,$BA$205^A188,IF(A188='Données projet'!$A$88,'Données projet'!$B$88,BD187+BC188-BL187)))</f>
        <v>202.0224999999997</v>
      </c>
      <c r="BE188" s="13">
        <f>BD188*VLOOKUP('Données projet'!$B$11,Paramètres!$A$1:$I$89,3,0)*VLOOKUP('Données projet'!$B$11,Paramètres!$A$1:$I$89,5,0)</f>
        <v>204.8508149999997</v>
      </c>
      <c r="BF188" s="13">
        <f t="shared" si="167"/>
        <v>50.808738613533862</v>
      </c>
      <c r="BG188" s="20">
        <f t="shared" si="168"/>
        <v>445.27372254357095</v>
      </c>
      <c r="BH188" s="59">
        <f t="shared" si="116"/>
        <v>736.55562017412285</v>
      </c>
      <c r="BI188" s="59">
        <f ca="1">AVERAGE(OFFSET($BH$3,0,0,'Données projet'!$E$11+1,1))-AVERAGE(OFFSET($H$3,0,0,'Données projet'!$E$11+1,1))</f>
        <v>559.91818701710872</v>
      </c>
      <c r="BJ188" s="59">
        <f t="shared" si="146"/>
        <v>273.47272623465915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98.212956770730955</v>
      </c>
      <c r="BQ188" s="21">
        <f>EXP(-LN(2)/25)*BQ187+(1-EXP(-LN(2)/25))/(LN(2)/25)*Calculateur!BL188*Calculateur!BN188*VLOOKUP('Données projet'!$B$11,Paramètres!$A$1:$I$89,3,0)*0.475*44/12</f>
        <v>38.637880413816212</v>
      </c>
      <c r="BR188" s="21">
        <f>EXP(-LN(2)/2)*BR187+(1-EXP(-LN(2)/2))/(LN(2)/2)*BL188*BO188*VLOOKUP('Données projet'!$B$11,Paramètres!$A$1:$I$89,3,0)*0.475*44/12</f>
        <v>3.982937920688199E-6</v>
      </c>
      <c r="BS188" s="22">
        <f t="shared" si="169"/>
        <v>136.8508411674851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69.440517535605068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-1.1368683772161603E-13</v>
      </c>
      <c r="BZ188" s="13">
        <f>BY188*VLOOKUP('Données projet'!$B$12,Paramètres!$A$1:$I$89,3,0)*VLOOKUP('Données projet'!$B$12,Paramètres!$A$1:$I$89,5,0)</f>
        <v>-8.8675733422860506E-14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208.92677786250815</v>
      </c>
      <c r="CE188" s="59">
        <f t="shared" si="148"/>
        <v>207.54290142772214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2.7709590140637794</v>
      </c>
      <c r="CL188" s="21">
        <f>EXP(-LN(2)/25)*CL187+(1-EXP(-LN(2)/25))/(LN(2)/25)*Calculateur!CG188*Calculateur!CI188*VLOOKUP('Données projet'!$B$12,Paramètres!$A$1:$I$89,3,0)*0.475*44/12</f>
        <v>1.0884228536506679</v>
      </c>
      <c r="CM188" s="21">
        <f>EXP(-LN(2)/2)*CM187+(1-EXP(-LN(2)/2))/(LN(2)/2)*CG188*CJ188*VLOOKUP('Données projet'!$B$12,Paramètres!$A$1:$I$89,3,0)*0.475*44/12</f>
        <v>1.351216629088538E-16</v>
      </c>
      <c r="CN188" s="22">
        <f t="shared" si="172"/>
        <v>3.8593818677144474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69.440517535605068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2.5579538487363607E-13</v>
      </c>
      <c r="CU188" s="17">
        <f>CT188*VLOOKUP('Données projet'!$B$13,Paramètres!$A$1:$I$89,3,0)*VLOOKUP('Données projet'!$B$13,Paramètres!$A$1:$I$89,5,0)</f>
        <v>2.4341488824575211E-13</v>
      </c>
      <c r="CV188" s="13">
        <f t="shared" si="173"/>
        <v>3.2970717324875541E-12</v>
      </c>
      <c r="CW188" s="20">
        <f t="shared" si="174"/>
        <v>6.1663475311105072E-12</v>
      </c>
      <c r="CX188" s="59">
        <f t="shared" si="122"/>
        <v>291.28189763055803</v>
      </c>
      <c r="CY188" s="59">
        <f ca="1">AVERAGE(OFFSET($CX$3,0,0,'Données projet'!$E$13+1,1))-AVERAGE(OFFSET($H$3,0,0,'Données projet'!$E$13+1,1))</f>
        <v>470.42022791389275</v>
      </c>
      <c r="CZ188" s="59">
        <f t="shared" si="150"/>
        <v>300.26117330627346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22.257446094088998</v>
      </c>
      <c r="DG188" s="21">
        <f>EXP(-LN(2)/25)*DG187+(1-EXP(-LN(2)/25))/(LN(2)/25)*Calculateur!DB188*Calculateur!DD188*VLOOKUP('Données projet'!$B$13,Paramètres!$A$1:$I$89,3,0)*0.475*44/12</f>
        <v>13.10250381130593</v>
      </c>
      <c r="DH188" s="21">
        <f>EXP(-LN(2)/2)*DH187+(1-EXP(-LN(2)/2))/(LN(2)/2)*DB188*DE188*VLOOKUP('Données projet'!$B$13,Paramètres!$A$1:$I$89,3,0)*0.475*44/12</f>
        <v>1.8887661388055187E-7</v>
      </c>
      <c r="DI188" s="22">
        <f t="shared" si="175"/>
        <v>35.359950094271539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69.440517535605068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3.0825000000000031</v>
      </c>
      <c r="DO188" s="12">
        <f>IF('Données projet'!$A$166&gt;35,DO187+DN188-DW187,IF(A188&lt;'Données projet'!$A$166,$DL$205^A188,IF(A188='Données projet'!$A$166,'Données projet'!$B$166,DO187+DN188-DW187)))</f>
        <v>202.0224999999997</v>
      </c>
      <c r="DP188" s="17">
        <f>DO188*VLOOKUP('Données projet'!$B$14,Paramètres!$A$1:$I$89,3,0)*VLOOKUP('Données projet'!$B$14,Paramètres!$A$1:$I$89,5,0)</f>
        <v>195.39616199999969</v>
      </c>
      <c r="DQ188" s="13">
        <f t="shared" si="176"/>
        <v>48.731016217868188</v>
      </c>
      <c r="DR188" s="20">
        <f t="shared" si="177"/>
        <v>425.18816872945314</v>
      </c>
      <c r="DS188" s="59">
        <f t="shared" si="125"/>
        <v>716.47006636000503</v>
      </c>
      <c r="DT188" s="59">
        <f ca="1">AVERAGE(OFFSET($DS$3,0,0,'Données projet'!$E$14+1,1))-AVERAGE(OFFSET($H$3,0,0,'Données projet'!$E$14+1,1))</f>
        <v>537.37164071064103</v>
      </c>
      <c r="DU188" s="59">
        <f t="shared" si="152"/>
        <v>263.29777321132235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49.860034760201714</v>
      </c>
      <c r="EB188" s="21">
        <f>EXP(-LN(2)/25)*EB187+(1-EXP(-LN(2)/25))/(LN(2)/25)*Calculateur!DW188*Calculateur!DY188*VLOOKUP('Données projet'!$B$14,Paramètres!$A$1:$I$89,3,0)*0.475*44/12</f>
        <v>44.120712342026607</v>
      </c>
      <c r="EC188" s="21">
        <f>EXP(-LN(2)/2)*EC187+(1-EXP(-LN(2)/2))/(LN(2)/2)*DW188*DZ188*VLOOKUP('Données projet'!$B$14,Paramètres!$A$1:$I$89,3,0)*0.475*44/12</f>
        <v>23.453157703255858</v>
      </c>
      <c r="ED188" s="22">
        <f t="shared" si="178"/>
        <v>117.43390480548418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69.440517535605068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69.440517535605068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69.440517535605068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69.440517535605068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45">
      <c r="A189" s="10">
        <f t="shared" si="161"/>
        <v>186</v>
      </c>
      <c r="B189" s="73">
        <f>'Scénario référence'!$B$16*5+'Scénario référence'!$B$17*0+'Scénario référence'!$B$18*5</f>
        <v>2.8499999999999996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10.449999999999998</v>
      </c>
      <c r="H189" s="67">
        <f t="shared" si="110"/>
        <v>214.86666666666667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69.450223305546913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3.979039320256561E-13</v>
      </c>
      <c r="O189" s="13">
        <f>N189*VLOOKUP('Données projet'!$B$9,Paramètres!$A$1:$I$89,3,0)*VLOOKUP('Données projet'!$B$9,Paramètres!$A$1:$I$89,5,0)</f>
        <v>3.6002347769681362E-13</v>
      </c>
      <c r="P189" s="13">
        <f t="shared" si="141"/>
        <v>4.6593569189922594E-12</v>
      </c>
      <c r="Q189" s="20">
        <f t="shared" si="162"/>
        <v>8.7420875242334695E-12</v>
      </c>
      <c r="R189" s="59">
        <f t="shared" si="109"/>
        <v>291.31748545368077</v>
      </c>
      <c r="S189" s="59">
        <f ca="1">AVERAGE(OFFSET($R$3,0,0,'Données projet'!$E$9+1,1))-AVERAGE(OFFSET($H$3,0,0,'Données projet'!$E$9+1,1))</f>
        <v>719.20816951277925</v>
      </c>
      <c r="T189" s="59">
        <f t="shared" si="142"/>
        <v>237.1127421841087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102.09524337983763</v>
      </c>
      <c r="AA189" s="21">
        <f>EXP(-LN(2)/25)*AA188+(1-EXP(-LN(2)/25))/(LN(2)/25)*Calculateur!V189*Calculateur!X189*VLOOKUP('Données projet'!$B$9,Paramètres!$A$1:$I$89,3,0)*0.475*44/12</f>
        <v>14.387147205305357</v>
      </c>
      <c r="AB189" s="21">
        <f>EXP(-LN(2)/2)*AB188+(1-EXP(-LN(2)/2))/(LN(2)/2)*V189*Y189*VLOOKUP('Données projet'!$B$9,Paramètres!$A$1:$I$89,3,0)*0.475*44/12</f>
        <v>9.8248075640200178E-4</v>
      </c>
      <c r="AC189" s="22">
        <f t="shared" si="163"/>
        <v>116.48337306589939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69.450223305546913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5.6843418860808015E-14</v>
      </c>
      <c r="AJ189" s="13">
        <f>AI189*VLOOKUP('Données projet'!$B$10,Paramètres!$A$1:$I$89,3,0)*VLOOKUP('Données projet'!$B$10,Paramètres!$A$1:$I$89,5,0)</f>
        <v>4.7884896048344674E-14</v>
      </c>
      <c r="AK189" s="13">
        <f t="shared" si="164"/>
        <v>7.8374629847779921E-13</v>
      </c>
      <c r="AL189" s="20">
        <f t="shared" si="165"/>
        <v>1.4484243304663672E-12</v>
      </c>
      <c r="AM189" s="59">
        <f t="shared" si="113"/>
        <v>291.31748545367344</v>
      </c>
      <c r="AN189" s="59">
        <f ca="1">AVERAGE(OFFSET($AM$3,0,0,'Données projet'!$E$10+1,1))-AVERAGE(OFFSET($H$3,0,0,'Données projet'!$E$10+1,1))</f>
        <v>442.79037205372367</v>
      </c>
      <c r="AO189" s="59">
        <f t="shared" si="144"/>
        <v>288.23553637727969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25.090276608260524</v>
      </c>
      <c r="AV189" s="21">
        <f>EXP(-LN(2)/25)*AV188+(1-EXP(-LN(2)/25))/(LN(2)/25)*Calculateur!AQ189*Calculateur!AS189*VLOOKUP('Données projet'!$B$10,Paramètres!$A$1:$I$89,3,0)*0.475*44/12</f>
        <v>3.0447309279032582</v>
      </c>
      <c r="AW189" s="21">
        <f>EXP(-LN(2)/2)*AW188+(1-EXP(-LN(2)/2))/(LN(2)/2)*AQ189*AT189*VLOOKUP('Données projet'!$B$10,Paramètres!$A$1:$I$89,3,0)*0.475*44/12</f>
        <v>6.7512005670880951E-12</v>
      </c>
      <c r="AX189" s="21">
        <f t="shared" si="166"/>
        <v>28.135007536170534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69.450223305546913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3.0825000000000031</v>
      </c>
      <c r="BD189" s="12">
        <f>IF('Données projet'!$A$88&gt;35,BD188+BC189-BL188,IF(A189&lt;'Données projet'!$A$88,$BA$205^A189,IF(A189='Données projet'!$A$88,'Données projet'!$B$88,BD188+BC189-BL188)))</f>
        <v>205.10499999999971</v>
      </c>
      <c r="BE189" s="13">
        <f>BD189*VLOOKUP('Données projet'!$B$11,Paramètres!$A$1:$I$89,3,0)*VLOOKUP('Données projet'!$B$11,Paramètres!$A$1:$I$89,5,0)</f>
        <v>207.97646999999969</v>
      </c>
      <c r="BF189" s="13">
        <f t="shared" si="167"/>
        <v>51.493144603798712</v>
      </c>
      <c r="BG189" s="20">
        <f t="shared" si="168"/>
        <v>451.90957876828219</v>
      </c>
      <c r="BH189" s="59">
        <f t="shared" si="116"/>
        <v>743.22706422195415</v>
      </c>
      <c r="BI189" s="59">
        <f ca="1">AVERAGE(OFFSET($BH$3,0,0,'Données projet'!$E$11+1,1))-AVERAGE(OFFSET($H$3,0,0,'Données projet'!$E$11+1,1))</f>
        <v>559.91818701710872</v>
      </c>
      <c r="BJ189" s="59">
        <f t="shared" si="146"/>
        <v>273.47272623465915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96.287060592445528</v>
      </c>
      <c r="BQ189" s="21">
        <f>EXP(-LN(2)/25)*BQ188+(1-EXP(-LN(2)/25))/(LN(2)/25)*Calculateur!BL189*Calculateur!BN189*VLOOKUP('Données projet'!$B$11,Paramètres!$A$1:$I$89,3,0)*0.475*44/12</f>
        <v>37.581325542022583</v>
      </c>
      <c r="BR189" s="21">
        <f>EXP(-LN(2)/2)*BR188+(1-EXP(-LN(2)/2))/(LN(2)/2)*BL189*BO189*VLOOKUP('Données projet'!$B$11,Paramètres!$A$1:$I$89,3,0)*0.475*44/12</f>
        <v>2.8163624127636729E-6</v>
      </c>
      <c r="BS189" s="22">
        <f t="shared" si="169"/>
        <v>133.86838895083051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69.450223305546913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-1.1368683772161603E-13</v>
      </c>
      <c r="BZ189" s="13">
        <f>BY189*VLOOKUP('Données projet'!$B$12,Paramètres!$A$1:$I$89,3,0)*VLOOKUP('Données projet'!$B$12,Paramètres!$A$1:$I$89,5,0)</f>
        <v>-8.8675733422860506E-14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208.92677786250815</v>
      </c>
      <c r="CE189" s="59">
        <f t="shared" si="148"/>
        <v>207.54290142772214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2.7166221979161018</v>
      </c>
      <c r="CL189" s="21">
        <f>EXP(-LN(2)/25)*CL188+(1-EXP(-LN(2)/25))/(LN(2)/25)*Calculateur!CG189*Calculateur!CI189*VLOOKUP('Données projet'!$B$12,Paramètres!$A$1:$I$89,3,0)*0.475*44/12</f>
        <v>1.0586598734799202</v>
      </c>
      <c r="CM189" s="21">
        <f>EXP(-LN(2)/2)*CM188+(1-EXP(-LN(2)/2))/(LN(2)/2)*CG189*CJ189*VLOOKUP('Données projet'!$B$12,Paramètres!$A$1:$I$89,3,0)*0.475*44/12</f>
        <v>9.554544412805332E-17</v>
      </c>
      <c r="CN189" s="22">
        <f t="shared" si="172"/>
        <v>3.7752820713960222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69.450223305546913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2.5579538487363607E-13</v>
      </c>
      <c r="CU189" s="17">
        <f>CT189*VLOOKUP('Données projet'!$B$13,Paramètres!$A$1:$I$89,3,0)*VLOOKUP('Données projet'!$B$13,Paramètres!$A$1:$I$89,5,0)</f>
        <v>2.4341488824575211E-13</v>
      </c>
      <c r="CV189" s="13">
        <f t="shared" si="173"/>
        <v>3.2970717324875541E-12</v>
      </c>
      <c r="CW189" s="20">
        <f t="shared" si="174"/>
        <v>6.1663475311105072E-12</v>
      </c>
      <c r="CX189" s="59">
        <f t="shared" si="122"/>
        <v>291.31748545367816</v>
      </c>
      <c r="CY189" s="59">
        <f ca="1">AVERAGE(OFFSET($CX$3,0,0,'Données projet'!$E$13+1,1))-AVERAGE(OFFSET($H$3,0,0,'Données projet'!$E$13+1,1))</f>
        <v>470.42022791389275</v>
      </c>
      <c r="CZ189" s="59">
        <f t="shared" si="150"/>
        <v>300.26117330627346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21.82099115188554</v>
      </c>
      <c r="DG189" s="21">
        <f>EXP(-LN(2)/25)*DG188+(1-EXP(-LN(2)/25))/(LN(2)/25)*Calculateur!DB189*Calculateur!DD189*VLOOKUP('Données projet'!$B$13,Paramètres!$A$1:$I$89,3,0)*0.475*44/12</f>
        <v>12.74421515555504</v>
      </c>
      <c r="DH189" s="21">
        <f>EXP(-LN(2)/2)*DH188+(1-EXP(-LN(2)/2))/(LN(2)/2)*DB189*DE189*VLOOKUP('Données projet'!$B$13,Paramètres!$A$1:$I$89,3,0)*0.475*44/12</f>
        <v>1.3355593448249141E-7</v>
      </c>
      <c r="DI189" s="22">
        <f t="shared" si="175"/>
        <v>34.565206440996512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69.450223305546913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3.0825000000000031</v>
      </c>
      <c r="DO189" s="12">
        <f>IF('Données projet'!$A$166&gt;35,DO188+DN189-DW188,IF(A189&lt;'Données projet'!$A$166,$DL$205^A189,IF(A189='Données projet'!$A$166,'Données projet'!$B$166,DO188+DN189-DW188)))</f>
        <v>205.10499999999971</v>
      </c>
      <c r="DP189" s="17">
        <f>DO189*VLOOKUP('Données projet'!$B$14,Paramètres!$A$1:$I$89,3,0)*VLOOKUP('Données projet'!$B$14,Paramètres!$A$1:$I$89,5,0)</f>
        <v>198.37755599999971</v>
      </c>
      <c r="DQ189" s="13">
        <f t="shared" si="176"/>
        <v>49.387434785250633</v>
      </c>
      <c r="DR189" s="20">
        <f t="shared" si="177"/>
        <v>431.52402561764438</v>
      </c>
      <c r="DS189" s="59">
        <f t="shared" si="125"/>
        <v>722.8415110713164</v>
      </c>
      <c r="DT189" s="59">
        <f ca="1">AVERAGE(OFFSET($DS$3,0,0,'Données projet'!$E$14+1,1))-AVERAGE(OFFSET($H$3,0,0,'Données projet'!$E$14+1,1))</f>
        <v>537.37164071064103</v>
      </c>
      <c r="DU189" s="59">
        <f t="shared" si="152"/>
        <v>263.29777321132235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48.882309890172465</v>
      </c>
      <c r="EB189" s="21">
        <f>EXP(-LN(2)/25)*EB188+(1-EXP(-LN(2)/25))/(LN(2)/25)*Calculateur!DW189*Calculateur!DY189*VLOOKUP('Données projet'!$B$14,Paramètres!$A$1:$I$89,3,0)*0.475*44/12</f>
        <v>42.914229142826464</v>
      </c>
      <c r="EC189" s="21">
        <f>EXP(-LN(2)/2)*EC188+(1-EXP(-LN(2)/2))/(LN(2)/2)*DW189*DZ189*VLOOKUP('Données projet'!$B$14,Paramètres!$A$1:$I$89,3,0)*0.475*44/12</f>
        <v>16.583886852209734</v>
      </c>
      <c r="ED189" s="22">
        <f t="shared" si="178"/>
        <v>108.38042588520867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69.450223305546913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69.450223305546913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69.450223305546913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69.450223305546913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45">
      <c r="A190" s="10">
        <f t="shared" si="161"/>
        <v>187</v>
      </c>
      <c r="B190" s="73">
        <f>'Scénario référence'!$B$16*5+'Scénario référence'!$B$17*0+'Scénario référence'!$B$18*5</f>
        <v>2.8499999999999996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10.449999999999998</v>
      </c>
      <c r="H190" s="67">
        <f t="shared" si="110"/>
        <v>214.86666666666667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69.459760702079123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3.979039320256561E-13</v>
      </c>
      <c r="O190" s="13">
        <f>N190*VLOOKUP('Données projet'!$B$9,Paramètres!$A$1:$I$89,3,0)*VLOOKUP('Données projet'!$B$9,Paramètres!$A$1:$I$89,5,0)</f>
        <v>3.6002347769681362E-13</v>
      </c>
      <c r="P190" s="13">
        <f t="shared" si="141"/>
        <v>4.6593569189922594E-12</v>
      </c>
      <c r="Q190" s="20">
        <f t="shared" si="162"/>
        <v>8.7420875242334695E-12</v>
      </c>
      <c r="R190" s="59">
        <f t="shared" si="109"/>
        <v>291.35245590763219</v>
      </c>
      <c r="S190" s="59">
        <f ca="1">AVERAGE(OFFSET($R$3,0,0,'Données projet'!$E$9+1,1))-AVERAGE(OFFSET($H$3,0,0,'Données projet'!$E$9+1,1))</f>
        <v>719.20816951277925</v>
      </c>
      <c r="T190" s="59">
        <f t="shared" si="142"/>
        <v>237.1127421841087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100.09321792910863</v>
      </c>
      <c r="AA190" s="21">
        <f>EXP(-LN(2)/25)*AA189+(1-EXP(-LN(2)/25))/(LN(2)/25)*Calculateur!V190*Calculateur!X190*VLOOKUP('Données projet'!$B$9,Paramètres!$A$1:$I$89,3,0)*0.475*44/12</f>
        <v>13.993729908389094</v>
      </c>
      <c r="AB190" s="21">
        <f>EXP(-LN(2)/2)*AB189+(1-EXP(-LN(2)/2))/(LN(2)/2)*V190*Y190*VLOOKUP('Données projet'!$B$9,Paramètres!$A$1:$I$89,3,0)*0.475*44/12</f>
        <v>6.9471880523714398E-4</v>
      </c>
      <c r="AC190" s="22">
        <f t="shared" si="163"/>
        <v>114.08764255630297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69.459760702079123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5.6843418860808015E-14</v>
      </c>
      <c r="AJ190" s="13">
        <f>AI190*VLOOKUP('Données projet'!$B$10,Paramètres!$A$1:$I$89,3,0)*VLOOKUP('Données projet'!$B$10,Paramètres!$A$1:$I$89,5,0)</f>
        <v>4.7884896048344674E-14</v>
      </c>
      <c r="AK190" s="13">
        <f t="shared" si="164"/>
        <v>7.8374629847779921E-13</v>
      </c>
      <c r="AL190" s="20">
        <f t="shared" si="165"/>
        <v>1.4484243304663672E-12</v>
      </c>
      <c r="AM190" s="59">
        <f t="shared" si="113"/>
        <v>291.35245590762486</v>
      </c>
      <c r="AN190" s="59">
        <f ca="1">AVERAGE(OFFSET($AM$3,0,0,'Données projet'!$E$10+1,1))-AVERAGE(OFFSET($H$3,0,0,'Données projet'!$E$10+1,1))</f>
        <v>442.79037205372367</v>
      </c>
      <c r="AO190" s="59">
        <f t="shared" si="144"/>
        <v>288.23553637727969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24.598271587530164</v>
      </c>
      <c r="AV190" s="21">
        <f>EXP(-LN(2)/25)*AV189+(1-EXP(-LN(2)/25))/(LN(2)/25)*Calculateur!AQ190*Calculateur!AS190*VLOOKUP('Données projet'!$B$10,Paramètres!$A$1:$I$89,3,0)*0.475*44/12</f>
        <v>2.9614726005643028</v>
      </c>
      <c r="AW190" s="21">
        <f>EXP(-LN(2)/2)*AW189+(1-EXP(-LN(2)/2))/(LN(2)/2)*AQ190*AT190*VLOOKUP('Données projet'!$B$10,Paramètres!$A$1:$I$89,3,0)*0.475*44/12</f>
        <v>4.7738197021384571E-12</v>
      </c>
      <c r="AX190" s="21">
        <f t="shared" si="166"/>
        <v>27.559744188099241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69.459760702079123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3.0825000000000031</v>
      </c>
      <c r="BD190" s="12">
        <f>IF('Données projet'!$A$88&gt;35,BD189+BC190-BL189,IF(A190&lt;'Données projet'!$A$88,$BA$205^A190,IF(A190='Données projet'!$A$88,'Données projet'!$B$88,BD189+BC190-BL189)))</f>
        <v>208.18749999999972</v>
      </c>
      <c r="BE190" s="13">
        <f>BD190*VLOOKUP('Données projet'!$B$11,Paramètres!$A$1:$I$89,3,0)*VLOOKUP('Données projet'!$B$11,Paramètres!$A$1:$I$89,5,0)</f>
        <v>211.10212499999972</v>
      </c>
      <c r="BF190" s="13">
        <f t="shared" si="167"/>
        <v>52.176354318882368</v>
      </c>
      <c r="BG190" s="20">
        <f t="shared" si="168"/>
        <v>458.54335148038626</v>
      </c>
      <c r="BH190" s="59">
        <f t="shared" si="116"/>
        <v>749.89580738800964</v>
      </c>
      <c r="BI190" s="59">
        <f ca="1">AVERAGE(OFFSET($BH$3,0,0,'Données projet'!$E$11+1,1))-AVERAGE(OFFSET($H$3,0,0,'Données projet'!$E$11+1,1))</f>
        <v>559.91818701710872</v>
      </c>
      <c r="BJ190" s="59">
        <f t="shared" si="146"/>
        <v>273.47272623465915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94.398930063535602</v>
      </c>
      <c r="BQ190" s="21">
        <f>EXP(-LN(2)/25)*BQ189+(1-EXP(-LN(2)/25))/(LN(2)/25)*Calculateur!BL190*Calculateur!BN190*VLOOKUP('Données projet'!$B$11,Paramètres!$A$1:$I$89,3,0)*0.475*44/12</f>
        <v>36.55366221875996</v>
      </c>
      <c r="BR190" s="21">
        <f>EXP(-LN(2)/2)*BR189+(1-EXP(-LN(2)/2))/(LN(2)/2)*BL190*BO190*VLOOKUP('Données projet'!$B$11,Paramètres!$A$1:$I$89,3,0)*0.475*44/12</f>
        <v>1.9914689603440995E-6</v>
      </c>
      <c r="BS190" s="22">
        <f t="shared" si="169"/>
        <v>130.95259427376453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69.459760702079123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-1.1368683772161603E-13</v>
      </c>
      <c r="BZ190" s="13">
        <f>BY190*VLOOKUP('Données projet'!$B$12,Paramètres!$A$1:$I$89,3,0)*VLOOKUP('Données projet'!$B$12,Paramètres!$A$1:$I$89,5,0)</f>
        <v>-8.8675733422860506E-14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208.92677786250815</v>
      </c>
      <c r="CE190" s="59">
        <f t="shared" si="148"/>
        <v>207.54290142772214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2.6633508935908949</v>
      </c>
      <c r="CL190" s="21">
        <f>EXP(-LN(2)/25)*CL189+(1-EXP(-LN(2)/25))/(LN(2)/25)*Calculateur!CG190*Calculateur!CI190*VLOOKUP('Données projet'!$B$12,Paramètres!$A$1:$I$89,3,0)*0.475*44/12</f>
        <v>1.0297107635671086</v>
      </c>
      <c r="CM190" s="21">
        <f>EXP(-LN(2)/2)*CM189+(1-EXP(-LN(2)/2))/(LN(2)/2)*CG190*CJ190*VLOOKUP('Données projet'!$B$12,Paramètres!$A$1:$I$89,3,0)*0.475*44/12</f>
        <v>6.75608314544269E-17</v>
      </c>
      <c r="CN190" s="22">
        <f t="shared" si="172"/>
        <v>3.6930616571580037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69.459760702079123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2.5579538487363607E-13</v>
      </c>
      <c r="CU190" s="17">
        <f>CT190*VLOOKUP('Données projet'!$B$13,Paramètres!$A$1:$I$89,3,0)*VLOOKUP('Données projet'!$B$13,Paramètres!$A$1:$I$89,5,0)</f>
        <v>2.4341488824575211E-13</v>
      </c>
      <c r="CV190" s="13">
        <f t="shared" si="173"/>
        <v>3.2970717324875541E-12</v>
      </c>
      <c r="CW190" s="20">
        <f t="shared" si="174"/>
        <v>6.1663475311105072E-12</v>
      </c>
      <c r="CX190" s="59">
        <f t="shared" si="122"/>
        <v>291.35245590762958</v>
      </c>
      <c r="CY190" s="59">
        <f ca="1">AVERAGE(OFFSET($CX$3,0,0,'Données projet'!$E$13+1,1))-AVERAGE(OFFSET($H$3,0,0,'Données projet'!$E$13+1,1))</f>
        <v>470.42022791389275</v>
      </c>
      <c r="CZ190" s="59">
        <f t="shared" si="150"/>
        <v>300.26117330627346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21.393094824887463</v>
      </c>
      <c r="DG190" s="21">
        <f>EXP(-LN(2)/25)*DG189+(1-EXP(-LN(2)/25))/(LN(2)/25)*Calculateur!DB190*Calculateur!DD190*VLOOKUP('Données projet'!$B$13,Paramètres!$A$1:$I$89,3,0)*0.475*44/12</f>
        <v>12.39572392193724</v>
      </c>
      <c r="DH190" s="21">
        <f>EXP(-LN(2)/2)*DH189+(1-EXP(-LN(2)/2))/(LN(2)/2)*DB190*DE190*VLOOKUP('Données projet'!$B$13,Paramètres!$A$1:$I$89,3,0)*0.475*44/12</f>
        <v>9.4438306940275935E-8</v>
      </c>
      <c r="DI190" s="22">
        <f t="shared" si="175"/>
        <v>33.788818841263009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69.459760702079123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3.0825000000000031</v>
      </c>
      <c r="DO190" s="12">
        <f>IF('Données projet'!$A$166&gt;35,DO189+DN190-DW189,IF(A190&lt;'Données projet'!$A$166,$DL$205^A190,IF(A190='Données projet'!$A$166,'Données projet'!$B$166,DO189+DN190-DW189)))</f>
        <v>208.18749999999972</v>
      </c>
      <c r="DP190" s="17">
        <f>DO190*VLOOKUP('Données projet'!$B$14,Paramètres!$A$1:$I$89,3,0)*VLOOKUP('Données projet'!$B$14,Paramètres!$A$1:$I$89,5,0)</f>
        <v>201.35894999999971</v>
      </c>
      <c r="DQ190" s="13">
        <f t="shared" si="176"/>
        <v>50.042705996748062</v>
      </c>
      <c r="DR190" s="20">
        <f t="shared" si="177"/>
        <v>437.85788419433567</v>
      </c>
      <c r="DS190" s="59">
        <f t="shared" si="125"/>
        <v>729.2103401019591</v>
      </c>
      <c r="DT190" s="59">
        <f ca="1">AVERAGE(OFFSET($DS$3,0,0,'Données projet'!$E$14+1,1))-AVERAGE(OFFSET($H$3,0,0,'Données projet'!$E$14+1,1))</f>
        <v>537.37164071064103</v>
      </c>
      <c r="DU190" s="59">
        <f t="shared" si="152"/>
        <v>263.29777321132235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47.923757608491201</v>
      </c>
      <c r="EB190" s="21">
        <f>EXP(-LN(2)/25)*EB189+(1-EXP(-LN(2)/25))/(LN(2)/25)*Calculateur!DW190*Calculateur!DY190*VLOOKUP('Données projet'!$B$14,Paramètres!$A$1:$I$89,3,0)*0.475*44/12</f>
        <v>41.740737290154648</v>
      </c>
      <c r="EC190" s="21">
        <f>EXP(-LN(2)/2)*EC189+(1-EXP(-LN(2)/2))/(LN(2)/2)*DW190*DZ190*VLOOKUP('Données projet'!$B$14,Paramètres!$A$1:$I$89,3,0)*0.475*44/12</f>
        <v>11.726578851627931</v>
      </c>
      <c r="ED190" s="22">
        <f t="shared" si="178"/>
        <v>101.39107375027378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69.459760702079123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69.459760702079123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69.459760702079123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69.459760702079123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45">
      <c r="A191" s="10">
        <f t="shared" si="161"/>
        <v>188</v>
      </c>
      <c r="B191" s="73">
        <f>'Scénario référence'!$B$16*5+'Scénario référence'!$B$17*0+'Scénario référence'!$B$18*5</f>
        <v>2.8499999999999996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10.449999999999998</v>
      </c>
      <c r="H191" s="67">
        <f t="shared" si="110"/>
        <v>214.86666666666667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69.469132646103915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3.979039320256561E-13</v>
      </c>
      <c r="O191" s="13">
        <f>N191*VLOOKUP('Données projet'!$B$9,Paramètres!$A$1:$I$89,3,0)*VLOOKUP('Données projet'!$B$9,Paramètres!$A$1:$I$89,5,0)</f>
        <v>3.6002347769681362E-13</v>
      </c>
      <c r="P191" s="13">
        <f t="shared" si="141"/>
        <v>4.6593569189922594E-12</v>
      </c>
      <c r="Q191" s="20">
        <f t="shared" si="162"/>
        <v>8.7420875242334695E-12</v>
      </c>
      <c r="R191" s="59">
        <f t="shared" si="109"/>
        <v>291.3868197023898</v>
      </c>
      <c r="S191" s="59">
        <f ca="1">AVERAGE(OFFSET($R$3,0,0,'Données projet'!$E$9+1,1))-AVERAGE(OFFSET($H$3,0,0,'Données projet'!$E$9+1,1))</f>
        <v>719.20816951277925</v>
      </c>
      <c r="T191" s="59">
        <f t="shared" si="142"/>
        <v>237.1127421841087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98.130450976353487</v>
      </c>
      <c r="AA191" s="21">
        <f>EXP(-LN(2)/25)*AA190+(1-EXP(-LN(2)/25))/(LN(2)/25)*Calculateur!V191*Calculateur!X191*VLOOKUP('Données projet'!$B$9,Paramètres!$A$1:$I$89,3,0)*0.475*44/12</f>
        <v>13.611070628145921</v>
      </c>
      <c r="AB191" s="21">
        <f>EXP(-LN(2)/2)*AB190+(1-EXP(-LN(2)/2))/(LN(2)/2)*V191*Y191*VLOOKUP('Données projet'!$B$9,Paramètres!$A$1:$I$89,3,0)*0.475*44/12</f>
        <v>4.9124037820100089E-4</v>
      </c>
      <c r="AC191" s="22">
        <f t="shared" si="163"/>
        <v>111.74201284487761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69.469132646103915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5.6843418860808015E-14</v>
      </c>
      <c r="AJ191" s="13">
        <f>AI191*VLOOKUP('Données projet'!$B$10,Paramètres!$A$1:$I$89,3,0)*VLOOKUP('Données projet'!$B$10,Paramètres!$A$1:$I$89,5,0)</f>
        <v>4.7884896048344674E-14</v>
      </c>
      <c r="AK191" s="13">
        <f t="shared" si="164"/>
        <v>7.8374629847779921E-13</v>
      </c>
      <c r="AL191" s="20">
        <f t="shared" si="165"/>
        <v>1.4484243304663672E-12</v>
      </c>
      <c r="AM191" s="59">
        <f t="shared" si="113"/>
        <v>291.38681970238247</v>
      </c>
      <c r="AN191" s="59">
        <f ca="1">AVERAGE(OFFSET($AM$3,0,0,'Données projet'!$E$10+1,1))-AVERAGE(OFFSET($H$3,0,0,'Données projet'!$E$10+1,1))</f>
        <v>442.79037205372367</v>
      </c>
      <c r="AO191" s="59">
        <f t="shared" si="144"/>
        <v>288.23553637727969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24.115914485162897</v>
      </c>
      <c r="AV191" s="21">
        <f>EXP(-LN(2)/25)*AV190+(1-EXP(-LN(2)/25))/(LN(2)/25)*Calculateur!AQ191*Calculateur!AS191*VLOOKUP('Données projet'!$B$10,Paramètres!$A$1:$I$89,3,0)*0.475*44/12</f>
        <v>2.8804909765647966</v>
      </c>
      <c r="AW191" s="21">
        <f>EXP(-LN(2)/2)*AW190+(1-EXP(-LN(2)/2))/(LN(2)/2)*AQ191*AT191*VLOOKUP('Données projet'!$B$10,Paramètres!$A$1:$I$89,3,0)*0.475*44/12</f>
        <v>3.3756002835440475E-12</v>
      </c>
      <c r="AX191" s="21">
        <f t="shared" si="166"/>
        <v>26.996405461731069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69.469132646103915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>
        <f>VLOOKUP(A191,'Données projet'!$A$87:$I$107,2,0)</f>
        <v>211.27</v>
      </c>
      <c r="BB191" s="12">
        <f>VLOOKUP(A191,'Données projet'!$A$87:$I$107,9,0)</f>
        <v>3.0825000000000031</v>
      </c>
      <c r="BC191" s="12">
        <f t="array" ref="BC191">INDEX(BB:BB,MIN(IF(ISNUMBER(BB191:BB387),ROW(BB191:BB387),"")))</f>
        <v>3.0825000000000031</v>
      </c>
      <c r="BD191" s="12">
        <f>IF('Données projet'!$A$88&gt;35,BD190+BC191-BL190,IF(A191&lt;'Données projet'!$A$88,$BA$205^A191,IF(A191='Données projet'!$A$88,'Données projet'!$B$88,BD190+BC191-BL190)))</f>
        <v>211.26999999999973</v>
      </c>
      <c r="BE191" s="13">
        <f>BD191*VLOOKUP('Données projet'!$B$11,Paramètres!$A$1:$I$89,3,0)*VLOOKUP('Données projet'!$B$11,Paramètres!$A$1:$I$89,5,0)</f>
        <v>214.22777999999974</v>
      </c>
      <c r="BF191" s="13">
        <f t="shared" si="167"/>
        <v>52.858387517427865</v>
      </c>
      <c r="BG191" s="20">
        <f t="shared" si="168"/>
        <v>465.17507509285309</v>
      </c>
      <c r="BH191" s="59">
        <f t="shared" si="116"/>
        <v>756.56189479523414</v>
      </c>
      <c r="BI191" s="59">
        <f ca="1">AVERAGE(OFFSET($BH$3,0,0,'Données projet'!$E$11+1,1))-AVERAGE(OFFSET($H$3,0,0,'Données projet'!$E$11+1,1))</f>
        <v>559.91818701710872</v>
      </c>
      <c r="BJ191" s="59">
        <f t="shared" si="146"/>
        <v>273.47272623465915</v>
      </c>
      <c r="BK191" s="15">
        <f>IF(ISNA(VLOOKUP(A191,'Données projet'!$A$87:$I$107,3,0)),0,VLOOKUP(A191,'Données projet'!$A$87:$I$107,3,0))</f>
        <v>15</v>
      </c>
      <c r="BL191" s="15">
        <f>IF(ISNA(VLOOKUP(A191,'Données projet'!$A$87:$I$107,4,0)),0,VLOOKUP(A191,'Données projet'!$A$87:$I$107,4,0))</f>
        <v>72.180000000000007</v>
      </c>
      <c r="BM191" s="16">
        <f>IF(ISNA(VLOOKUP(A191,'Données projet'!$A$87:$I$107,5,0)),0%,VLOOKUP(A191,'Données projet'!$A$87:$I$107,5,0)*VLOOKUP('Données projet'!$B$11,Paramètres!$A$1:$I$89,7,0))</f>
        <v>0.215</v>
      </c>
      <c r="BN191" s="16">
        <f>IF(ISNA(VLOOKUP(A191,'Données projet'!$A$87:$I$107,6,0)),0%,VLOOKUP(A191,'Données projet'!$A$87:$I$107,6,0)*VLOOKUP('Données projet'!$B$11,Paramètres!$A$1:$I$89,7,0))</f>
        <v>8.6000000000000007E-2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109.94346428601369</v>
      </c>
      <c r="BQ191" s="21">
        <f>EXP(-LN(2)/25)*BQ190+(1-EXP(-LN(2)/25))/(LN(2)/25)*Calculateur!BL191*Calculateur!BN191*VLOOKUP('Données projet'!$B$11,Paramètres!$A$1:$I$89,3,0)*0.475*44/12</f>
        <v>42.484958963814016</v>
      </c>
      <c r="BR191" s="21">
        <f>EXP(-LN(2)/2)*BR190+(1-EXP(-LN(2)/2))/(LN(2)/2)*BL191*BO191*VLOOKUP('Données projet'!$B$11,Paramètres!$A$1:$I$89,3,0)*0.475*44/12</f>
        <v>1.4081812063818365E-6</v>
      </c>
      <c r="BS191" s="22">
        <f t="shared" si="169"/>
        <v>152.42842465800894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69.469132646103915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-1.1368683772161603E-13</v>
      </c>
      <c r="BZ191" s="13">
        <f>BY191*VLOOKUP('Données projet'!$B$12,Paramètres!$A$1:$I$89,3,0)*VLOOKUP('Données projet'!$B$12,Paramètres!$A$1:$I$89,5,0)</f>
        <v>-8.8675733422860506E-14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208.92677786250815</v>
      </c>
      <c r="CE191" s="59">
        <f t="shared" si="148"/>
        <v>207.54290142772214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2.6111242070512182</v>
      </c>
      <c r="CL191" s="21">
        <f>EXP(-LN(2)/25)*CL190+(1-EXP(-LN(2)/25))/(LN(2)/25)*Calculateur!CG191*Calculateur!CI191*VLOOKUP('Données projet'!$B$12,Paramètres!$A$1:$I$89,3,0)*0.475*44/12</f>
        <v>1.0015532685872304</v>
      </c>
      <c r="CM191" s="21">
        <f>EXP(-LN(2)/2)*CM190+(1-EXP(-LN(2)/2))/(LN(2)/2)*CG191*CJ191*VLOOKUP('Données projet'!$B$12,Paramètres!$A$1:$I$89,3,0)*0.475*44/12</f>
        <v>4.777272206402666E-17</v>
      </c>
      <c r="CN191" s="22">
        <f t="shared" si="172"/>
        <v>3.6126774756384483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69.469132646103915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2.5579538487363607E-13</v>
      </c>
      <c r="CU191" s="17">
        <f>CT191*VLOOKUP('Données projet'!$B$13,Paramètres!$A$1:$I$89,3,0)*VLOOKUP('Données projet'!$B$13,Paramètres!$A$1:$I$89,5,0)</f>
        <v>2.4341488824575211E-13</v>
      </c>
      <c r="CV191" s="13">
        <f t="shared" si="173"/>
        <v>3.2970717324875541E-12</v>
      </c>
      <c r="CW191" s="20">
        <f t="shared" si="174"/>
        <v>6.1663475311105072E-12</v>
      </c>
      <c r="CX191" s="59">
        <f t="shared" si="122"/>
        <v>291.38681970238719</v>
      </c>
      <c r="CY191" s="59">
        <f ca="1">AVERAGE(OFFSET($CX$3,0,0,'Données projet'!$E$13+1,1))-AVERAGE(OFFSET($H$3,0,0,'Données projet'!$E$13+1,1))</f>
        <v>470.42022791389275</v>
      </c>
      <c r="CZ191" s="59">
        <f t="shared" si="150"/>
        <v>300.26117330627346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20.97358928387083</v>
      </c>
      <c r="DG191" s="21">
        <f>EXP(-LN(2)/25)*DG190+(1-EXP(-LN(2)/25))/(LN(2)/25)*Calculateur!DB191*Calculateur!DD191*VLOOKUP('Données projet'!$B$13,Paramètres!$A$1:$I$89,3,0)*0.475*44/12</f>
        <v>12.056762199429075</v>
      </c>
      <c r="DH191" s="21">
        <f>EXP(-LN(2)/2)*DH190+(1-EXP(-LN(2)/2))/(LN(2)/2)*DB191*DE191*VLOOKUP('Données projet'!$B$13,Paramètres!$A$1:$I$89,3,0)*0.475*44/12</f>
        <v>6.6777967241245707E-8</v>
      </c>
      <c r="DI191" s="22">
        <f t="shared" si="175"/>
        <v>33.030351550077867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69.469132646103915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>
        <f>VLOOKUP(A191,'Données projet'!$A$165:$I$185,2,0)</f>
        <v>211.27</v>
      </c>
      <c r="DM191" s="12">
        <f>VLOOKUP(A191,'Données projet'!$A$165:$I$185,9,0)</f>
        <v>3.0825000000000031</v>
      </c>
      <c r="DN191" s="12">
        <f t="array" ref="DN191">INDEX(DM:DM,MIN(IF(ISNUMBER(DM191:DM387),ROW(DM191:DM387),"")))</f>
        <v>3.0825000000000031</v>
      </c>
      <c r="DO191" s="12">
        <f>IF('Données projet'!$A$166&gt;35,DO190+DN191-DW190,IF(A191&lt;'Données projet'!$A$166,$DL$205^A191,IF(A191='Données projet'!$A$166,'Données projet'!$B$166,DO190+DN191-DW190)))</f>
        <v>211.26999999999973</v>
      </c>
      <c r="DP191" s="17">
        <f>DO191*VLOOKUP('Données projet'!$B$14,Paramètres!$A$1:$I$89,3,0)*VLOOKUP('Données projet'!$B$14,Paramètres!$A$1:$I$89,5,0)</f>
        <v>204.34034399999976</v>
      </c>
      <c r="DQ191" s="13">
        <f t="shared" si="176"/>
        <v>50.696848803013133</v>
      </c>
      <c r="DR191" s="20">
        <f t="shared" si="177"/>
        <v>444.18977746524746</v>
      </c>
      <c r="DS191" s="59">
        <f t="shared" si="125"/>
        <v>735.57659716762851</v>
      </c>
      <c r="DT191" s="59">
        <f ca="1">AVERAGE(OFFSET($DS$3,0,0,'Données projet'!$E$14+1,1))-AVERAGE(OFFSET($H$3,0,0,'Données projet'!$E$14+1,1))</f>
        <v>537.37164071064103</v>
      </c>
      <c r="DU191" s="59">
        <f t="shared" si="152"/>
        <v>263.29777321132235</v>
      </c>
      <c r="DV191" s="15">
        <f>IF(ISNA(VLOOKUP(A191,'Données projet'!$A$165:$I$185,3,0)),0,VLOOKUP(A191,'Données projet'!$A$165:$I$185,3,0))</f>
        <v>15</v>
      </c>
      <c r="DW191" s="15">
        <f>IF(ISNA(VLOOKUP(A191,'Données projet'!$A$165:$I$185,4,0)),0,VLOOKUP(A191,'Données projet'!$A$165:$I$185,4,0))</f>
        <v>72.180000000000007</v>
      </c>
      <c r="DX191" s="16">
        <f>IF(ISNA(VLOOKUP(A191,'Données projet'!$A$165:$I$185,5,0)),0%,VLOOKUP(A191,'Données projet'!$A$165:$I$185,5,0)*VLOOKUP('Données projet'!$B$14,Paramètres!$A$1:$I$89,7,0))</f>
        <v>0.1075</v>
      </c>
      <c r="DY191" s="16">
        <f>IF(ISNA(VLOOKUP(A191,'Données projet'!$A$165:$I$185,6,0)),0%,VLOOKUP(A191,'Données projet'!$A$165:$I$185,6,0)*VLOOKUP('Données projet'!$B$14,Paramètres!$A$1:$I$89,7,0))</f>
        <v>0.1075</v>
      </c>
      <c r="DZ191" s="16">
        <f>IF(ISNA(VLOOKUP(A191,'Données projet'!$A$165:$I$185,7,0)),0%,VLOOKUP(A191,'Données projet'!$A$165:$I$185,7,0))</f>
        <v>0.25</v>
      </c>
      <c r="EA191" s="21">
        <f>EXP(-LN(2)/35)*EA190+(1-EXP(-LN(2)/35))/(LN(2)/35)*DW191*DX191*VLOOKUP('Données projet'!$B$14,Paramètres!$A$1:$I$89,3,0)*0.475*44/12</f>
        <v>55.280383945690275</v>
      </c>
      <c r="EB191" s="21">
        <f>EXP(-LN(2)/25)*EB190+(1-EXP(-LN(2)/25))/(LN(2)/25)*Calculateur!DW191*Calculateur!DY191*VLOOKUP('Données projet'!$B$14,Paramètres!$A$1:$I$89,3,0)*0.475*44/12</f>
        <v>48.863050610124141</v>
      </c>
      <c r="EC191" s="21">
        <f>EXP(-LN(2)/2)*EC190+(1-EXP(-LN(2)/2))/(LN(2)/2)*DW191*DZ191*VLOOKUP('Données projet'!$B$14,Paramètres!$A$1:$I$89,3,0)*0.475*44/12</f>
        <v>24.759435664050123</v>
      </c>
      <c r="ED191" s="22">
        <f t="shared" si="178"/>
        <v>128.90287021986455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69.469132646103915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69.469132646103915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69.469132646103915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69.469132646103915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45">
      <c r="A192" s="10">
        <f t="shared" si="161"/>
        <v>189</v>
      </c>
      <c r="B192" s="73">
        <f>'Scénario référence'!$B$16*5+'Scénario référence'!$B$17*0+'Scénario référence'!$B$18*5</f>
        <v>2.8499999999999996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10.449999999999998</v>
      </c>
      <c r="H192" s="67">
        <f t="shared" si="110"/>
        <v>214.86666666666667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69.478342007852419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3.979039320256561E-13</v>
      </c>
      <c r="O192" s="13">
        <f>N192*VLOOKUP('Données projet'!$B$9,Paramètres!$A$1:$I$89,3,0)*VLOOKUP('Données projet'!$B$9,Paramètres!$A$1:$I$89,5,0)</f>
        <v>3.6002347769681362E-13</v>
      </c>
      <c r="P192" s="13">
        <f t="shared" si="141"/>
        <v>4.6593569189922594E-12</v>
      </c>
      <c r="Q192" s="20">
        <f t="shared" si="162"/>
        <v>8.7420875242334695E-12</v>
      </c>
      <c r="R192" s="59">
        <f t="shared" si="109"/>
        <v>291.42058736213431</v>
      </c>
      <c r="S192" s="59">
        <f ca="1">AVERAGE(OFFSET($R$3,0,0,'Données projet'!$E$9+1,1))-AVERAGE(OFFSET($H$3,0,0,'Données projet'!$E$9+1,1))</f>
        <v>719.20816951277925</v>
      </c>
      <c r="T192" s="59">
        <f t="shared" si="142"/>
        <v>237.1127421841087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96.206172686372227</v>
      </c>
      <c r="AA192" s="21">
        <f>EXP(-LN(2)/25)*AA191+(1-EXP(-LN(2)/25))/(LN(2)/25)*Calculateur!V192*Calculateur!X192*VLOOKUP('Données projet'!$B$9,Paramètres!$A$1:$I$89,3,0)*0.475*44/12</f>
        <v>13.238875186044174</v>
      </c>
      <c r="AB192" s="21">
        <f>EXP(-LN(2)/2)*AB191+(1-EXP(-LN(2)/2))/(LN(2)/2)*V192*Y192*VLOOKUP('Données projet'!$B$9,Paramètres!$A$1:$I$89,3,0)*0.475*44/12</f>
        <v>3.4735940261857199E-4</v>
      </c>
      <c r="AC192" s="22">
        <f t="shared" si="163"/>
        <v>109.44539523181902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69.478342007852419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5.6843418860808015E-14</v>
      </c>
      <c r="AJ192" s="13">
        <f>AI192*VLOOKUP('Données projet'!$B$10,Paramètres!$A$1:$I$89,3,0)*VLOOKUP('Données projet'!$B$10,Paramètres!$A$1:$I$89,5,0)</f>
        <v>4.7884896048344674E-14</v>
      </c>
      <c r="AK192" s="13">
        <f t="shared" si="164"/>
        <v>7.8374629847779921E-13</v>
      </c>
      <c r="AL192" s="20">
        <f t="shared" si="165"/>
        <v>1.4484243304663672E-12</v>
      </c>
      <c r="AM192" s="59">
        <f t="shared" si="113"/>
        <v>291.42058736212698</v>
      </c>
      <c r="AN192" s="59">
        <f ca="1">AVERAGE(OFFSET($AM$3,0,0,'Données projet'!$E$10+1,1))-AVERAGE(OFFSET($H$3,0,0,'Données projet'!$E$10+1,1))</f>
        <v>442.79037205372367</v>
      </c>
      <c r="AO192" s="59">
        <f t="shared" si="144"/>
        <v>288.23553637727969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23.643016111364268</v>
      </c>
      <c r="AV192" s="21">
        <f>EXP(-LN(2)/25)*AV191+(1-EXP(-LN(2)/25))/(LN(2)/25)*Calculateur!AQ192*Calculateur!AS192*VLOOKUP('Données projet'!$B$10,Paramètres!$A$1:$I$89,3,0)*0.475*44/12</f>
        <v>2.8017237993321951</v>
      </c>
      <c r="AW192" s="21">
        <f>EXP(-LN(2)/2)*AW191+(1-EXP(-LN(2)/2))/(LN(2)/2)*AQ192*AT192*VLOOKUP('Données projet'!$B$10,Paramètres!$A$1:$I$89,3,0)*0.475*44/12</f>
        <v>2.3869098510692286E-12</v>
      </c>
      <c r="AX192" s="21">
        <f t="shared" si="166"/>
        <v>26.44473991069885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69.478342007852419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1.9733333333333292</v>
      </c>
      <c r="BD192" s="12">
        <f>IF('Données projet'!$A$88&gt;35,BD191+BC192-BL191,IF(A192&lt;'Données projet'!$A$88,$BA$205^A192,IF(A192='Données projet'!$A$88,'Données projet'!$B$88,BD191+BC192-BL191)))</f>
        <v>141.06333333333305</v>
      </c>
      <c r="BE192" s="13">
        <f>BD192*VLOOKUP('Données projet'!$B$11,Paramètres!$A$1:$I$89,3,0)*VLOOKUP('Données projet'!$B$11,Paramètres!$A$1:$I$89,5,0)</f>
        <v>143.03821999999974</v>
      </c>
      <c r="BF192" s="13">
        <f t="shared" si="167"/>
        <v>36.992146964895987</v>
      </c>
      <c r="BG192" s="20">
        <f t="shared" si="168"/>
        <v>313.55288913052675</v>
      </c>
      <c r="BH192" s="59">
        <f t="shared" si="116"/>
        <v>604.97347649265225</v>
      </c>
      <c r="BI192" s="59">
        <f ca="1">AVERAGE(OFFSET($BH$3,0,0,'Données projet'!$E$11+1,1))-AVERAGE(OFFSET($H$3,0,0,'Données projet'!$E$11+1,1))</f>
        <v>559.91818701710872</v>
      </c>
      <c r="BJ192" s="59">
        <f t="shared" si="146"/>
        <v>273.47272623465915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107.78754001025666</v>
      </c>
      <c r="BQ192" s="21">
        <f>EXP(-LN(2)/25)*BQ191+(1-EXP(-LN(2)/25))/(LN(2)/25)*Calculateur!BL192*Calculateur!BN192*VLOOKUP('Données projet'!$B$11,Paramètres!$A$1:$I$89,3,0)*0.475*44/12</f>
        <v>41.323205526761633</v>
      </c>
      <c r="BR192" s="21">
        <f>EXP(-LN(2)/2)*BR191+(1-EXP(-LN(2)/2))/(LN(2)/2)*BL192*BO192*VLOOKUP('Données projet'!$B$11,Paramètres!$A$1:$I$89,3,0)*0.475*44/12</f>
        <v>9.9573448017204974E-7</v>
      </c>
      <c r="BS192" s="22">
        <f t="shared" si="169"/>
        <v>149.11074653275276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69.478342007852419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-1.1368683772161603E-13</v>
      </c>
      <c r="BZ192" s="13">
        <f>BY192*VLOOKUP('Données projet'!$B$12,Paramètres!$A$1:$I$89,3,0)*VLOOKUP('Données projet'!$B$12,Paramètres!$A$1:$I$89,5,0)</f>
        <v>-8.8675733422860506E-14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208.92677786250815</v>
      </c>
      <c r="CE192" s="59">
        <f t="shared" si="148"/>
        <v>207.54290142772214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2.5599216539794512</v>
      </c>
      <c r="CL192" s="21">
        <f>EXP(-LN(2)/25)*CL191+(1-EXP(-LN(2)/25))/(LN(2)/25)*Calculateur!CG192*Calculateur!CI192*VLOOKUP('Données projet'!$B$12,Paramètres!$A$1:$I$89,3,0)*0.475*44/12</f>
        <v>0.97416574178831528</v>
      </c>
      <c r="CM192" s="21">
        <f>EXP(-LN(2)/2)*CM191+(1-EXP(-LN(2)/2))/(LN(2)/2)*CG192*CJ192*VLOOKUP('Données projet'!$B$12,Paramètres!$A$1:$I$89,3,0)*0.475*44/12</f>
        <v>3.378041572721345E-17</v>
      </c>
      <c r="CN192" s="22">
        <f t="shared" si="172"/>
        <v>3.5340873957677665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69.478342007852419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2.5579538487363607E-13</v>
      </c>
      <c r="CU192" s="17">
        <f>CT192*VLOOKUP('Données projet'!$B$13,Paramètres!$A$1:$I$89,3,0)*VLOOKUP('Données projet'!$B$13,Paramètres!$A$1:$I$89,5,0)</f>
        <v>2.4341488824575211E-13</v>
      </c>
      <c r="CV192" s="13">
        <f t="shared" si="173"/>
        <v>3.2970717324875541E-12</v>
      </c>
      <c r="CW192" s="20">
        <f t="shared" si="174"/>
        <v>6.1663475311105072E-12</v>
      </c>
      <c r="CX192" s="59">
        <f t="shared" si="122"/>
        <v>291.4205873621317</v>
      </c>
      <c r="CY192" s="59">
        <f ca="1">AVERAGE(OFFSET($CX$3,0,0,'Données projet'!$E$13+1,1))-AVERAGE(OFFSET($H$3,0,0,'Données projet'!$E$13+1,1))</f>
        <v>470.42022791389275</v>
      </c>
      <c r="CZ192" s="59">
        <f t="shared" si="150"/>
        <v>300.26117330627346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20.562309990640419</v>
      </c>
      <c r="DG192" s="21">
        <f>EXP(-LN(2)/25)*DG191+(1-EXP(-LN(2)/25))/(LN(2)/25)*Calculateur!DB192*Calculateur!DD192*VLOOKUP('Données projet'!$B$13,Paramètres!$A$1:$I$89,3,0)*0.475*44/12</f>
        <v>11.72706940304812</v>
      </c>
      <c r="DH192" s="21">
        <f>EXP(-LN(2)/2)*DH191+(1-EXP(-LN(2)/2))/(LN(2)/2)*DB192*DE192*VLOOKUP('Données projet'!$B$13,Paramètres!$A$1:$I$89,3,0)*0.475*44/12</f>
        <v>4.7219153470137968E-8</v>
      </c>
      <c r="DI192" s="22">
        <f t="shared" si="175"/>
        <v>32.289379440907688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69.478342007852419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1.9733333333333292</v>
      </c>
      <c r="DO192" s="12">
        <f>IF('Données projet'!$A$166&gt;35,DO191+DN192-DW191,IF(A192&lt;'Données projet'!$A$166,$DL$205^A192,IF(A192='Données projet'!$A$166,'Données projet'!$B$166,DO191+DN192-DW191)))</f>
        <v>141.06333333333305</v>
      </c>
      <c r="DP192" s="17">
        <f>DO192*VLOOKUP('Données projet'!$B$14,Paramètres!$A$1:$I$89,3,0)*VLOOKUP('Données projet'!$B$14,Paramètres!$A$1:$I$89,5,0)</f>
        <v>136.43645599999974</v>
      </c>
      <c r="DQ192" s="13">
        <f t="shared" si="176"/>
        <v>35.479426627606493</v>
      </c>
      <c r="DR192" s="20">
        <f t="shared" si="177"/>
        <v>299.42016224308082</v>
      </c>
      <c r="DS192" s="59">
        <f t="shared" si="125"/>
        <v>590.84074960520638</v>
      </c>
      <c r="DT192" s="59">
        <f ca="1">AVERAGE(OFFSET($DS$3,0,0,'Données projet'!$E$14+1,1))-AVERAGE(OFFSET($H$3,0,0,'Données projet'!$E$14+1,1))</f>
        <v>537.37164071064103</v>
      </c>
      <c r="DU192" s="59">
        <f t="shared" si="152"/>
        <v>263.29777321132235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54.196369334220151</v>
      </c>
      <c r="EB192" s="21">
        <f>EXP(-LN(2)/25)*EB191+(1-EXP(-LN(2)/25))/(LN(2)/25)*Calculateur!DW192*Calculateur!DY192*VLOOKUP('Données projet'!$B$14,Paramètres!$A$1:$I$89,3,0)*0.475*44/12</f>
        <v>47.526887921594145</v>
      </c>
      <c r="EC192" s="21">
        <f>EXP(-LN(2)/2)*EC191+(1-EXP(-LN(2)/2))/(LN(2)/2)*DW192*DZ192*VLOOKUP('Données projet'!$B$14,Paramètres!$A$1:$I$89,3,0)*0.475*44/12</f>
        <v>17.507564856401892</v>
      </c>
      <c r="ED192" s="22">
        <f t="shared" si="178"/>
        <v>119.2308221122162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69.478342007852419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69.478342007852419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69.478342007852419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69.478342007852419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45">
      <c r="A193" s="10">
        <f t="shared" si="161"/>
        <v>190</v>
      </c>
      <c r="B193" s="73">
        <f>'Scénario référence'!$B$16*5+'Scénario référence'!$B$17*0+'Scénario référence'!$B$18*5</f>
        <v>2.8499999999999996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10.449999999999998</v>
      </c>
      <c r="H193" s="67">
        <f t="shared" si="110"/>
        <v>214.86666666666667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69.487391607763627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3.979039320256561E-13</v>
      </c>
      <c r="O193" s="13">
        <f>N193*VLOOKUP('Données projet'!$B$9,Paramètres!$A$1:$I$89,3,0)*VLOOKUP('Données projet'!$B$9,Paramètres!$A$1:$I$89,5,0)</f>
        <v>3.6002347769681362E-13</v>
      </c>
      <c r="P193" s="13">
        <f t="shared" si="141"/>
        <v>4.6593569189922594E-12</v>
      </c>
      <c r="Q193" s="20">
        <f t="shared" si="162"/>
        <v>8.7420875242334695E-12</v>
      </c>
      <c r="R193" s="59">
        <f t="shared" si="109"/>
        <v>291.45376922847538</v>
      </c>
      <c r="S193" s="59">
        <f ca="1">AVERAGE(OFFSET($R$3,0,0,'Données projet'!$E$9+1,1))-AVERAGE(OFFSET($H$3,0,0,'Données projet'!$E$9+1,1))</f>
        <v>719.20816951277925</v>
      </c>
      <c r="T193" s="59">
        <f t="shared" si="142"/>
        <v>237.1127421841087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94.319628319963641</v>
      </c>
      <c r="AA193" s="21">
        <f>EXP(-LN(2)/25)*AA192+(1-EXP(-LN(2)/25))/(LN(2)/25)*Calculateur!V193*Calculateur!X193*VLOOKUP('Données projet'!$B$9,Paramètres!$A$1:$I$89,3,0)*0.475*44/12</f>
        <v>12.876857447879608</v>
      </c>
      <c r="AB193" s="21">
        <f>EXP(-LN(2)/2)*AB192+(1-EXP(-LN(2)/2))/(LN(2)/2)*V193*Y193*VLOOKUP('Données projet'!$B$9,Paramètres!$A$1:$I$89,3,0)*0.475*44/12</f>
        <v>2.4562018910050045E-4</v>
      </c>
      <c r="AC193" s="22">
        <f t="shared" si="163"/>
        <v>107.19673138803236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69.487391607763627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5.6843418860808015E-14</v>
      </c>
      <c r="AJ193" s="13">
        <f>AI193*VLOOKUP('Données projet'!$B$10,Paramètres!$A$1:$I$89,3,0)*VLOOKUP('Données projet'!$B$10,Paramètres!$A$1:$I$89,5,0)</f>
        <v>4.7884896048344674E-14</v>
      </c>
      <c r="AK193" s="13">
        <f t="shared" si="164"/>
        <v>7.8374629847779921E-13</v>
      </c>
      <c r="AL193" s="20">
        <f t="shared" si="165"/>
        <v>1.4484243304663672E-12</v>
      </c>
      <c r="AM193" s="59">
        <f t="shared" si="113"/>
        <v>291.45376922846805</v>
      </c>
      <c r="AN193" s="59">
        <f ca="1">AVERAGE(OFFSET($AM$3,0,0,'Données projet'!$E$10+1,1))-AVERAGE(OFFSET($H$3,0,0,'Données projet'!$E$10+1,1))</f>
        <v>442.79037205372367</v>
      </c>
      <c r="AO193" s="59">
        <f t="shared" si="144"/>
        <v>288.23553637727969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23.179390986236307</v>
      </c>
      <c r="AV193" s="21">
        <f>EXP(-LN(2)/25)*AV192+(1-EXP(-LN(2)/25))/(LN(2)/25)*Calculateur!AQ193*Calculateur!AS193*VLOOKUP('Données projet'!$B$10,Paramètres!$A$1:$I$89,3,0)*0.475*44/12</f>
        <v>2.7251105147032049</v>
      </c>
      <c r="AW193" s="21">
        <f>EXP(-LN(2)/2)*AW192+(1-EXP(-LN(2)/2))/(LN(2)/2)*AQ193*AT193*VLOOKUP('Données projet'!$B$10,Paramètres!$A$1:$I$89,3,0)*0.475*44/12</f>
        <v>1.6878001417720238E-12</v>
      </c>
      <c r="AX193" s="21">
        <f t="shared" si="166"/>
        <v>25.904501500941198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69.487391607763627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1.9733333333333292</v>
      </c>
      <c r="BD193" s="12">
        <f>IF('Données projet'!$A$88&gt;35,BD192+BC193-BL192,IF(A193&lt;'Données projet'!$A$88,$BA$205^A193,IF(A193='Données projet'!$A$88,'Données projet'!$B$88,BD192+BC193-BL192)))</f>
        <v>143.03666666666638</v>
      </c>
      <c r="BE193" s="13">
        <f>BD193*VLOOKUP('Données projet'!$B$11,Paramètres!$A$1:$I$89,3,0)*VLOOKUP('Données projet'!$B$11,Paramètres!$A$1:$I$89,5,0)</f>
        <v>145.0391799999997</v>
      </c>
      <c r="BF193" s="13">
        <f t="shared" si="167"/>
        <v>37.449024342936362</v>
      </c>
      <c r="BG193" s="20">
        <f t="shared" si="168"/>
        <v>317.8336225639469</v>
      </c>
      <c r="BH193" s="59">
        <f t="shared" si="116"/>
        <v>609.28739179241347</v>
      </c>
      <c r="BI193" s="59">
        <f ca="1">AVERAGE(OFFSET($BH$3,0,0,'Données projet'!$E$11+1,1))-AVERAGE(OFFSET($H$3,0,0,'Données projet'!$E$11+1,1))</f>
        <v>559.91818701710872</v>
      </c>
      <c r="BJ193" s="59">
        <f t="shared" si="146"/>
        <v>273.47272623465915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105.67389209456327</v>
      </c>
      <c r="BQ193" s="21">
        <f>EXP(-LN(2)/25)*BQ192+(1-EXP(-LN(2)/25))/(LN(2)/25)*Calculateur!BL193*Calculateur!BN193*VLOOKUP('Données projet'!$B$11,Paramètres!$A$1:$I$89,3,0)*0.475*44/12</f>
        <v>40.193220298539401</v>
      </c>
      <c r="BR193" s="21">
        <f>EXP(-LN(2)/2)*BR192+(1-EXP(-LN(2)/2))/(LN(2)/2)*BL193*BO193*VLOOKUP('Données projet'!$B$11,Paramètres!$A$1:$I$89,3,0)*0.475*44/12</f>
        <v>7.0409060319091823E-7</v>
      </c>
      <c r="BS193" s="22">
        <f t="shared" si="169"/>
        <v>145.86711309719328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69.487391607763627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-1.1368683772161603E-13</v>
      </c>
      <c r="BZ193" s="13">
        <f>BY193*VLOOKUP('Données projet'!$B$12,Paramètres!$A$1:$I$89,3,0)*VLOOKUP('Données projet'!$B$12,Paramètres!$A$1:$I$89,5,0)</f>
        <v>-8.8675733422860506E-14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208.92677786250815</v>
      </c>
      <c r="CE193" s="59">
        <f t="shared" si="148"/>
        <v>207.54290142772214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2.5097231517429477</v>
      </c>
      <c r="CL193" s="21">
        <f>EXP(-LN(2)/25)*CL192+(1-EXP(-LN(2)/25))/(LN(2)/25)*Calculateur!CG193*Calculateur!CI193*VLOOKUP('Données projet'!$B$12,Paramètres!$A$1:$I$89,3,0)*0.475*44/12</f>
        <v>0.94752712834996389</v>
      </c>
      <c r="CM193" s="21">
        <f>EXP(-LN(2)/2)*CM192+(1-EXP(-LN(2)/2))/(LN(2)/2)*CG193*CJ193*VLOOKUP('Données projet'!$B$12,Paramètres!$A$1:$I$89,3,0)*0.475*44/12</f>
        <v>2.388636103201333E-17</v>
      </c>
      <c r="CN193" s="22">
        <f t="shared" si="172"/>
        <v>3.4572502800929117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69.487391607763627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2.5579538487363607E-13</v>
      </c>
      <c r="CU193" s="17">
        <f>CT193*VLOOKUP('Données projet'!$B$13,Paramètres!$A$1:$I$89,3,0)*VLOOKUP('Données projet'!$B$13,Paramètres!$A$1:$I$89,5,0)</f>
        <v>2.4341488824575211E-13</v>
      </c>
      <c r="CV193" s="13">
        <f t="shared" si="173"/>
        <v>3.2970717324875541E-12</v>
      </c>
      <c r="CW193" s="20">
        <f t="shared" si="174"/>
        <v>6.1663475311105072E-12</v>
      </c>
      <c r="CX193" s="59">
        <f t="shared" si="122"/>
        <v>291.45376922847277</v>
      </c>
      <c r="CY193" s="59">
        <f ca="1">AVERAGE(OFFSET($CX$3,0,0,'Données projet'!$E$13+1,1))-AVERAGE(OFFSET($H$3,0,0,'Données projet'!$E$13+1,1))</f>
        <v>470.42022791389275</v>
      </c>
      <c r="CZ193" s="59">
        <f t="shared" si="150"/>
        <v>300.26117330627346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20.159095633494658</v>
      </c>
      <c r="DG193" s="21">
        <f>EXP(-LN(2)/25)*DG192+(1-EXP(-LN(2)/25))/(LN(2)/25)*Calculateur!DB193*Calculateur!DD193*VLOOKUP('Données projet'!$B$13,Paramètres!$A$1:$I$89,3,0)*0.475*44/12</f>
        <v>11.406392073521991</v>
      </c>
      <c r="DH193" s="21">
        <f>EXP(-LN(2)/2)*DH192+(1-EXP(-LN(2)/2))/(LN(2)/2)*DB193*DE193*VLOOKUP('Données projet'!$B$13,Paramètres!$A$1:$I$89,3,0)*0.475*44/12</f>
        <v>3.3388983620622854E-8</v>
      </c>
      <c r="DI193" s="22">
        <f t="shared" si="175"/>
        <v>31.565487740405633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69.487391607763627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1.9733333333333292</v>
      </c>
      <c r="DO193" s="12">
        <f>IF('Données projet'!$A$166&gt;35,DO192+DN193-DW192,IF(A193&lt;'Données projet'!$A$166,$DL$205^A193,IF(A193='Données projet'!$A$166,'Données projet'!$B$166,DO192+DN193-DW192)))</f>
        <v>143.03666666666638</v>
      </c>
      <c r="DP193" s="17">
        <f>DO193*VLOOKUP('Données projet'!$B$14,Paramètres!$A$1:$I$89,3,0)*VLOOKUP('Données projet'!$B$14,Paramètres!$A$1:$I$89,5,0)</f>
        <v>138.34506399999972</v>
      </c>
      <c r="DQ193" s="13">
        <f t="shared" si="176"/>
        <v>35.917620913203898</v>
      </c>
      <c r="DR193" s="20">
        <f t="shared" si="177"/>
        <v>303.50750955716296</v>
      </c>
      <c r="DS193" s="59">
        <f t="shared" si="125"/>
        <v>594.96127878562959</v>
      </c>
      <c r="DT193" s="59">
        <f ca="1">AVERAGE(OFFSET($DS$3,0,0,'Données projet'!$E$14+1,1))-AVERAGE(OFFSET($H$3,0,0,'Données projet'!$E$14+1,1))</f>
        <v>537.37164071064103</v>
      </c>
      <c r="DU193" s="59">
        <f t="shared" si="152"/>
        <v>263.29777321132235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53.133611588097324</v>
      </c>
      <c r="EB193" s="21">
        <f>EXP(-LN(2)/25)*EB192+(1-EXP(-LN(2)/25))/(LN(2)/25)*Calculateur!DW193*Calculateur!DY193*VLOOKUP('Données projet'!$B$14,Paramètres!$A$1:$I$89,3,0)*0.475*44/12</f>
        <v>46.227262672047743</v>
      </c>
      <c r="EC193" s="21">
        <f>EXP(-LN(2)/2)*EC192+(1-EXP(-LN(2)/2))/(LN(2)/2)*DW193*DZ193*VLOOKUP('Données projet'!$B$14,Paramètres!$A$1:$I$89,3,0)*0.475*44/12</f>
        <v>12.379717832025063</v>
      </c>
      <c r="ED193" s="22">
        <f t="shared" si="178"/>
        <v>111.74059209217013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69.487391607763627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69.487391607763627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69.487391607763627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69.487391607763627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45">
      <c r="A194" s="10">
        <f t="shared" si="161"/>
        <v>191</v>
      </c>
      <c r="B194" s="73">
        <f>'Scénario référence'!$B$16*5+'Scénario référence'!$B$17*0+'Scénario référence'!$B$18*5</f>
        <v>2.8499999999999996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10.449999999999998</v>
      </c>
      <c r="H194" s="67">
        <f t="shared" si="110"/>
        <v>214.86666666666667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69.496284217348247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3.979039320256561E-13</v>
      </c>
      <c r="O194" s="13">
        <f>N194*VLOOKUP('Données projet'!$B$9,Paramètres!$A$1:$I$89,3,0)*VLOOKUP('Données projet'!$B$9,Paramètres!$A$1:$I$89,5,0)</f>
        <v>3.6002347769681362E-13</v>
      </c>
      <c r="P194" s="13">
        <f t="shared" si="141"/>
        <v>4.6593569189922594E-12</v>
      </c>
      <c r="Q194" s="20">
        <f t="shared" si="162"/>
        <v>8.7420875242334695E-12</v>
      </c>
      <c r="R194" s="59">
        <f t="shared" si="109"/>
        <v>291.48637546361903</v>
      </c>
      <c r="S194" s="59">
        <f ca="1">AVERAGE(OFFSET($R$3,0,0,'Données projet'!$E$9+1,1))-AVERAGE(OFFSET($H$3,0,0,'Données projet'!$E$9+1,1))</f>
        <v>719.20816951277925</v>
      </c>
      <c r="T194" s="59">
        <f t="shared" si="142"/>
        <v>237.1127421841087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92.470077937901877</v>
      </c>
      <c r="AA194" s="21">
        <f>EXP(-LN(2)/25)*AA193+(1-EXP(-LN(2)/25))/(LN(2)/25)*Calculateur!V194*Calculateur!X194*VLOOKUP('Données projet'!$B$9,Paramètres!$A$1:$I$89,3,0)*0.475*44/12</f>
        <v>12.524739103802837</v>
      </c>
      <c r="AB194" s="21">
        <f>EXP(-LN(2)/2)*AB193+(1-EXP(-LN(2)/2))/(LN(2)/2)*V194*Y194*VLOOKUP('Données projet'!$B$9,Paramètres!$A$1:$I$89,3,0)*0.475*44/12</f>
        <v>1.73679701309286E-4</v>
      </c>
      <c r="AC194" s="22">
        <f t="shared" si="163"/>
        <v>104.99499072140603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69.496284217348247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5.6843418860808015E-14</v>
      </c>
      <c r="AJ194" s="13">
        <f>AI194*VLOOKUP('Données projet'!$B$10,Paramètres!$A$1:$I$89,3,0)*VLOOKUP('Données projet'!$B$10,Paramètres!$A$1:$I$89,5,0)</f>
        <v>4.7884896048344674E-14</v>
      </c>
      <c r="AK194" s="13">
        <f t="shared" si="164"/>
        <v>7.8374629847779921E-13</v>
      </c>
      <c r="AL194" s="20">
        <f t="shared" si="165"/>
        <v>1.4484243304663672E-12</v>
      </c>
      <c r="AM194" s="59">
        <f t="shared" si="113"/>
        <v>291.48637546361169</v>
      </c>
      <c r="AN194" s="59">
        <f ca="1">AVERAGE(OFFSET($AM$3,0,0,'Données projet'!$E$10+1,1))-AVERAGE(OFFSET($H$3,0,0,'Données projet'!$E$10+1,1))</f>
        <v>442.79037205372367</v>
      </c>
      <c r="AO194" s="59">
        <f t="shared" si="144"/>
        <v>288.23553637727969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22.7248572670287</v>
      </c>
      <c r="AV194" s="21">
        <f>EXP(-LN(2)/25)*AV193+(1-EXP(-LN(2)/25))/(LN(2)/25)*Calculateur!AQ194*Calculateur!AS194*VLOOKUP('Données projet'!$B$10,Paramètres!$A$1:$I$89,3,0)*0.475*44/12</f>
        <v>2.6505922243713123</v>
      </c>
      <c r="AW194" s="21">
        <f>EXP(-LN(2)/2)*AW193+(1-EXP(-LN(2)/2))/(LN(2)/2)*AQ194*AT194*VLOOKUP('Données projet'!$B$10,Paramètres!$A$1:$I$89,3,0)*0.475*44/12</f>
        <v>1.1934549255346143E-12</v>
      </c>
      <c r="AX194" s="21">
        <f t="shared" si="166"/>
        <v>25.375449491401206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69.496284217348247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>
        <f>VLOOKUP(A194,'Données projet'!$A$87:$I$107,2,0)</f>
        <v>145.01</v>
      </c>
      <c r="BB194" s="12">
        <f>VLOOKUP(A194,'Données projet'!$A$87:$I$107,9,0)</f>
        <v>1.9733333333333292</v>
      </c>
      <c r="BC194" s="12">
        <f t="array" ref="BC194">INDEX(BB:BB,MIN(IF(ISNUMBER(BB194:BB390),ROW(BB194:BB390),"")))</f>
        <v>1.9733333333333292</v>
      </c>
      <c r="BD194" s="12">
        <f>IF('Données projet'!$A$88&gt;35,BD193+BC194-BL193,IF(A194&lt;'Données projet'!$A$88,$BA$205^A194,IF(A194='Données projet'!$A$88,'Données projet'!$B$88,BD193+BC194-BL193)))</f>
        <v>145.00999999999971</v>
      </c>
      <c r="BE194" s="13">
        <f>BD194*VLOOKUP('Données projet'!$B$11,Paramètres!$A$1:$I$89,3,0)*VLOOKUP('Données projet'!$B$11,Paramètres!$A$1:$I$89,5,0)</f>
        <v>147.04013999999972</v>
      </c>
      <c r="BF194" s="13">
        <f t="shared" si="167"/>
        <v>37.905168606806875</v>
      </c>
      <c r="BG194" s="20">
        <f t="shared" si="168"/>
        <v>322.11307915685478</v>
      </c>
      <c r="BH194" s="59">
        <f t="shared" si="116"/>
        <v>613.59945462046505</v>
      </c>
      <c r="BI194" s="59">
        <f ca="1">AVERAGE(OFFSET($BH$3,0,0,'Données projet'!$E$11+1,1))-AVERAGE(OFFSET($H$3,0,0,'Données projet'!$E$11+1,1))</f>
        <v>559.91818701710872</v>
      </c>
      <c r="BJ194" s="59">
        <f t="shared" si="146"/>
        <v>273.47272623465915</v>
      </c>
      <c r="BK194" s="15">
        <f>IF(ISNA(VLOOKUP(A194,'Données projet'!$A$87:$I$107,3,0)),0,VLOOKUP(A194,'Données projet'!$A$87:$I$107,3,0))</f>
        <v>16</v>
      </c>
      <c r="BL194" s="15">
        <f>IF(ISNA(VLOOKUP(A194,'Données projet'!$A$87:$I$107,4,0)),0,VLOOKUP(A194,'Données projet'!$A$87:$I$107,4,0))</f>
        <v>145.01</v>
      </c>
      <c r="BM194" s="16">
        <f>IF(ISNA(VLOOKUP(A194,'Données projet'!$A$87:$I$107,5,0)),0%,VLOOKUP(A194,'Données projet'!$A$87:$I$107,5,0)*VLOOKUP('Données projet'!$B$11,Paramètres!$A$1:$I$89,7,0))</f>
        <v>0.19350000000000001</v>
      </c>
      <c r="BN194" s="16">
        <f>IF(ISNA(VLOOKUP(A194,'Données projet'!$A$87:$I$107,6,0)),0%,VLOOKUP(A194,'Données projet'!$A$87:$I$107,6,0)*VLOOKUP('Données projet'!$B$11,Paramètres!$A$1:$I$89,7,0))</f>
        <v>2.1500000000000002E-2</v>
      </c>
      <c r="BO194" s="16">
        <f>IF(ISNA(VLOOKUP(A194,'Données projet'!$A$87:$I$107,7,0)),0%,VLOOKUP(A194,'Données projet'!$A$87:$I$107,7,0))</f>
        <v>0.05</v>
      </c>
      <c r="BP194" s="21">
        <f>EXP(-LN(2)/35)*BP193+(1-EXP(-LN(2)/35))/(LN(2)/35)*BL194*BM194*VLOOKUP('Données projet'!$B$11,Paramètres!$A$1:$I$89,3,0)*0.475*44/12</f>
        <v>135.05483002385387</v>
      </c>
      <c r="BQ194" s="21">
        <f>EXP(-LN(2)/25)*BQ193+(1-EXP(-LN(2)/25))/(LN(2)/25)*Calculateur!BL194*Calculateur!BN194*VLOOKUP('Données projet'!$B$11,Paramètres!$A$1:$I$89,3,0)*0.475*44/12</f>
        <v>42.575167409995252</v>
      </c>
      <c r="BR194" s="21">
        <f>EXP(-LN(2)/2)*BR193+(1-EXP(-LN(2)/2))/(LN(2)/2)*BL194*BO194*VLOOKUP('Données projet'!$B$11,Paramètres!$A$1:$I$89,3,0)*0.475*44/12</f>
        <v>6.9368169787344574</v>
      </c>
      <c r="BS194" s="22">
        <f t="shared" si="169"/>
        <v>184.5668144125836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69.496284217348247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-1.1368683772161603E-13</v>
      </c>
      <c r="BZ194" s="13">
        <f>BY194*VLOOKUP('Données projet'!$B$12,Paramètres!$A$1:$I$89,3,0)*VLOOKUP('Données projet'!$B$12,Paramètres!$A$1:$I$89,5,0)</f>
        <v>-8.8675733422860506E-14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208.92677786250815</v>
      </c>
      <c r="CE194" s="59">
        <f t="shared" si="148"/>
        <v>207.54290142772214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2.4605090115172392</v>
      </c>
      <c r="CL194" s="21">
        <f>EXP(-LN(2)/25)*CL193+(1-EXP(-LN(2)/25))/(LN(2)/25)*Calculateur!CG194*Calculateur!CI194*VLOOKUP('Données projet'!$B$12,Paramètres!$A$1:$I$89,3,0)*0.475*44/12</f>
        <v>0.92161694919694803</v>
      </c>
      <c r="CM194" s="21">
        <f>EXP(-LN(2)/2)*CM193+(1-EXP(-LN(2)/2))/(LN(2)/2)*CG194*CJ194*VLOOKUP('Données projet'!$B$12,Paramètres!$A$1:$I$89,3,0)*0.475*44/12</f>
        <v>1.6890207863606725E-17</v>
      </c>
      <c r="CN194" s="22">
        <f t="shared" si="172"/>
        <v>3.3821259607141871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69.496284217348247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2.5579538487363607E-13</v>
      </c>
      <c r="CU194" s="17">
        <f>CT194*VLOOKUP('Données projet'!$B$13,Paramètres!$A$1:$I$89,3,0)*VLOOKUP('Données projet'!$B$13,Paramètres!$A$1:$I$89,5,0)</f>
        <v>2.4341488824575211E-13</v>
      </c>
      <c r="CV194" s="13">
        <f t="shared" si="173"/>
        <v>3.2970717324875541E-12</v>
      </c>
      <c r="CW194" s="20">
        <f t="shared" si="174"/>
        <v>6.1663475311105072E-12</v>
      </c>
      <c r="CX194" s="59">
        <f t="shared" si="122"/>
        <v>291.48637546361641</v>
      </c>
      <c r="CY194" s="59">
        <f ca="1">AVERAGE(OFFSET($CX$3,0,0,'Données projet'!$E$13+1,1))-AVERAGE(OFFSET($H$3,0,0,'Données projet'!$E$13+1,1))</f>
        <v>470.42022791389275</v>
      </c>
      <c r="CZ194" s="59">
        <f t="shared" si="150"/>
        <v>300.26117330627346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19.763788063956053</v>
      </c>
      <c r="DG194" s="21">
        <f>EXP(-LN(2)/25)*DG193+(1-EXP(-LN(2)/25))/(LN(2)/25)*Calculateur!DB194*Calculateur!DD194*VLOOKUP('Données projet'!$B$13,Paramètres!$A$1:$I$89,3,0)*0.475*44/12</f>
        <v>11.094483682435442</v>
      </c>
      <c r="DH194" s="21">
        <f>EXP(-LN(2)/2)*DH193+(1-EXP(-LN(2)/2))/(LN(2)/2)*DB194*DE194*VLOOKUP('Données projet'!$B$13,Paramètres!$A$1:$I$89,3,0)*0.475*44/12</f>
        <v>2.3609576735068984E-8</v>
      </c>
      <c r="DI194" s="22">
        <f t="shared" si="175"/>
        <v>30.858271770001071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69.496284217348247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>
        <f>VLOOKUP(A194,'Données projet'!$A$165:$I$185,2,0)</f>
        <v>145.01</v>
      </c>
      <c r="DM194" s="12">
        <f>VLOOKUP(A194,'Données projet'!$A$165:$I$185,9,0)</f>
        <v>1.9733333333333292</v>
      </c>
      <c r="DN194" s="12">
        <f t="array" ref="DN194">INDEX(DM:DM,MIN(IF(ISNUMBER(DM194:DM390),ROW(DM194:DM390),"")))</f>
        <v>1.9733333333333292</v>
      </c>
      <c r="DO194" s="12">
        <f>IF('Données projet'!$A$166&gt;35,DO193+DN194-DW193,IF(A194&lt;'Données projet'!$A$166,$DL$205^A194,IF(A194='Données projet'!$A$166,'Données projet'!$B$166,DO193+DN194-DW193)))</f>
        <v>145.00999999999971</v>
      </c>
      <c r="DP194" s="17">
        <f>DO194*VLOOKUP('Données projet'!$B$14,Paramètres!$A$1:$I$89,3,0)*VLOOKUP('Données projet'!$B$14,Paramètres!$A$1:$I$89,5,0)</f>
        <v>140.25367199999971</v>
      </c>
      <c r="DQ194" s="13">
        <f t="shared" si="176"/>
        <v>36.355112063878522</v>
      </c>
      <c r="DR194" s="20">
        <f t="shared" si="177"/>
        <v>307.59363224458792</v>
      </c>
      <c r="DS194" s="59">
        <f t="shared" si="125"/>
        <v>599.0800077081982</v>
      </c>
      <c r="DT194" s="59">
        <f ca="1">AVERAGE(OFFSET($DS$3,0,0,'Données projet'!$E$14+1,1))-AVERAGE(OFFSET($H$3,0,0,'Données projet'!$E$14+1,1))</f>
        <v>537.37164071064103</v>
      </c>
      <c r="DU194" s="59">
        <f t="shared" si="152"/>
        <v>263.29777321132235</v>
      </c>
      <c r="DV194" s="15">
        <f>IF(ISNA(VLOOKUP(A194,'Données projet'!$A$165:$I$185,3,0)),0,VLOOKUP(A194,'Données projet'!$A$165:$I$185,3,0))</f>
        <v>16</v>
      </c>
      <c r="DW194" s="15">
        <f>IF(ISNA(VLOOKUP(A194,'Données projet'!$A$165:$I$185,4,0)),0,VLOOKUP(A194,'Données projet'!$A$165:$I$185,4,0))</f>
        <v>145.01</v>
      </c>
      <c r="DX194" s="16">
        <f>IF(ISNA(VLOOKUP(A194,'Données projet'!$A$165:$I$185,5,0)),0%,VLOOKUP(A194,'Données projet'!$A$165:$I$185,5,0)*VLOOKUP('Données projet'!$B$14,Paramètres!$A$1:$I$89,7,0))</f>
        <v>0.1075</v>
      </c>
      <c r="DY194" s="16">
        <f>IF(ISNA(VLOOKUP(A194,'Données projet'!$A$165:$I$185,6,0)),0%,VLOOKUP(A194,'Données projet'!$A$165:$I$185,6,0)*VLOOKUP('Données projet'!$B$14,Paramètres!$A$1:$I$89,7,0))</f>
        <v>0.1075</v>
      </c>
      <c r="DZ194" s="16">
        <f>IF(ISNA(VLOOKUP(A194,'Données projet'!$A$165:$I$185,7,0)),0%,VLOOKUP(A194,'Données projet'!$A$165:$I$185,7,0))</f>
        <v>0.25</v>
      </c>
      <c r="EA194" s="21">
        <f>EXP(-LN(2)/35)*EA193+(1-EXP(-LN(2)/35))/(LN(2)/35)*DW194*DX194*VLOOKUP('Données projet'!$B$14,Paramètres!$A$1:$I$89,3,0)*0.475*44/12</f>
        <v>68.759168974956211</v>
      </c>
      <c r="EB194" s="21">
        <f>EXP(-LN(2)/25)*EB193+(1-EXP(-LN(2)/25))/(LN(2)/25)*Calculateur!DW194*Calculateur!DY194*VLOOKUP('Données projet'!$B$14,Paramètres!$A$1:$I$89,3,0)*0.475*44/12</f>
        <v>61.565024644811281</v>
      </c>
      <c r="EC194" s="21">
        <f>EXP(-LN(2)/2)*EC193+(1-EXP(-LN(2)/2))/(LN(2)/2)*DW194*DZ194*VLOOKUP('Données projet'!$B$14,Paramètres!$A$1:$I$89,3,0)*0.475*44/12</f>
        <v>41.837061029259978</v>
      </c>
      <c r="ED194" s="22">
        <f t="shared" si="178"/>
        <v>172.16125464902748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69.496284217348247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69.496284217348247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69.496284217348247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69.496284217348247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45">
      <c r="A195" s="10">
        <f t="shared" si="161"/>
        <v>192</v>
      </c>
      <c r="B195" s="73">
        <f>'Scénario référence'!$B$16*5+'Scénario référence'!$B$17*0+'Scénario référence'!$B$18*5</f>
        <v>2.8499999999999996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10.449999999999998</v>
      </c>
      <c r="H195" s="67">
        <f t="shared" si="110"/>
        <v>214.86666666666667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69.505022560037474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3.979039320256561E-13</v>
      </c>
      <c r="O195" s="13">
        <f>N195*VLOOKUP('Données projet'!$B$9,Paramètres!$A$1:$I$89,3,0)*VLOOKUP('Données projet'!$B$9,Paramètres!$A$1:$I$89,5,0)</f>
        <v>3.6002347769681362E-13</v>
      </c>
      <c r="P195" s="13">
        <f t="shared" si="141"/>
        <v>4.6593569189922594E-12</v>
      </c>
      <c r="Q195" s="20">
        <f t="shared" si="162"/>
        <v>8.7420875242334695E-12</v>
      </c>
      <c r="R195" s="59">
        <f t="shared" ref="R195:R203" si="191">Q195+(I195+J195)*44/12</f>
        <v>291.51841605347948</v>
      </c>
      <c r="S195" s="59">
        <f ca="1">AVERAGE(OFFSET($R$3,0,0,'Données projet'!$E$9+1,1))-AVERAGE(OFFSET($H$3,0,0,'Données projet'!$E$9+1,1))</f>
        <v>719.20816951277925</v>
      </c>
      <c r="T195" s="59">
        <f t="shared" si="142"/>
        <v>237.1127421841087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90.656796110718005</v>
      </c>
      <c r="AA195" s="21">
        <f>EXP(-LN(2)/25)*AA194+(1-EXP(-LN(2)/25))/(LN(2)/25)*Calculateur!V195*Calculateur!X195*VLOOKUP('Données projet'!$B$9,Paramètres!$A$1:$I$89,3,0)*0.475*44/12</f>
        <v>12.182249454361944</v>
      </c>
      <c r="AB195" s="21">
        <f>EXP(-LN(2)/2)*AB194+(1-EXP(-LN(2)/2))/(LN(2)/2)*V195*Y195*VLOOKUP('Données projet'!$B$9,Paramètres!$A$1:$I$89,3,0)*0.475*44/12</f>
        <v>1.2281009455025022E-4</v>
      </c>
      <c r="AC195" s="22">
        <f t="shared" si="163"/>
        <v>102.83916837517449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69.505022560037474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5.6843418860808015E-14</v>
      </c>
      <c r="AJ195" s="13">
        <f>AI195*VLOOKUP('Données projet'!$B$10,Paramètres!$A$1:$I$89,3,0)*VLOOKUP('Données projet'!$B$10,Paramètres!$A$1:$I$89,5,0)</f>
        <v>4.7884896048344674E-14</v>
      </c>
      <c r="AK195" s="13">
        <f t="shared" si="164"/>
        <v>7.8374629847779921E-13</v>
      </c>
      <c r="AL195" s="20">
        <f t="shared" si="165"/>
        <v>1.4484243304663672E-12</v>
      </c>
      <c r="AM195" s="59">
        <f t="shared" si="113"/>
        <v>291.51841605347215</v>
      </c>
      <c r="AN195" s="59">
        <f ca="1">AVERAGE(OFFSET($AM$3,0,0,'Données projet'!$E$10+1,1))-AVERAGE(OFFSET($H$3,0,0,'Données projet'!$E$10+1,1))</f>
        <v>442.79037205372367</v>
      </c>
      <c r="AO195" s="59">
        <f t="shared" si="144"/>
        <v>288.23553637727969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22.279236676816559</v>
      </c>
      <c r="AV195" s="21">
        <f>EXP(-LN(2)/25)*AV194+(1-EXP(-LN(2)/25))/(LN(2)/25)*Calculateur!AQ195*Calculateur!AS195*VLOOKUP('Données projet'!$B$10,Paramètres!$A$1:$I$89,3,0)*0.475*44/12</f>
        <v>2.5781116406072915</v>
      </c>
      <c r="AW195" s="21">
        <f>EXP(-LN(2)/2)*AW194+(1-EXP(-LN(2)/2))/(LN(2)/2)*AQ195*AT195*VLOOKUP('Données projet'!$B$10,Paramètres!$A$1:$I$89,3,0)*0.475*44/12</f>
        <v>8.4390007088601188E-13</v>
      </c>
      <c r="AX195" s="21">
        <f t="shared" si="166"/>
        <v>24.857348317424695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69.505022560037474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-2.8421709430404007E-13</v>
      </c>
      <c r="BE195" s="13">
        <f>BD195*VLOOKUP('Données projet'!$B$11,Paramètres!$A$1:$I$89,3,0)*VLOOKUP('Données projet'!$B$11,Paramètres!$A$1:$I$89,5,0)</f>
        <v>-2.8819613362429665E-13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559.91818701710872</v>
      </c>
      <c r="BJ195" s="59">
        <f t="shared" si="146"/>
        <v>273.47272623465915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132.40648718239851</v>
      </c>
      <c r="BQ195" s="21">
        <f>EXP(-LN(2)/25)*BQ194+(1-EXP(-LN(2)/25))/(LN(2)/25)*Calculateur!BL195*Calculateur!BN195*VLOOKUP('Données projet'!$B$11,Paramètres!$A$1:$I$89,3,0)*0.475*44/12</f>
        <v>41.410947218238185</v>
      </c>
      <c r="BR195" s="21">
        <f>EXP(-LN(2)/2)*BR194+(1-EXP(-LN(2)/2))/(LN(2)/2)*BL195*BO195*VLOOKUP('Données projet'!$B$11,Paramètres!$A$1:$I$89,3,0)*0.475*44/12</f>
        <v>4.9050703255131136</v>
      </c>
      <c r="BS195" s="22">
        <f t="shared" si="169"/>
        <v>178.72250472614982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69.505022560037474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-1.1368683772161603E-13</v>
      </c>
      <c r="BZ195" s="13">
        <f>BY195*VLOOKUP('Données projet'!$B$12,Paramètres!$A$1:$I$89,3,0)*VLOOKUP('Données projet'!$B$12,Paramètres!$A$1:$I$89,5,0)</f>
        <v>-8.8675733422860506E-14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208.92677786250815</v>
      </c>
      <c r="CE195" s="59">
        <f t="shared" si="148"/>
        <v>207.54290142772214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2.4122599305636951</v>
      </c>
      <c r="CL195" s="21">
        <f>EXP(-LN(2)/25)*CL194+(1-EXP(-LN(2)/25))/(LN(2)/25)*Calculateur!CG195*Calculateur!CI195*VLOOKUP('Données projet'!$B$12,Paramètres!$A$1:$I$89,3,0)*0.475*44/12</f>
        <v>0.89641528525542846</v>
      </c>
      <c r="CM195" s="21">
        <f>EXP(-LN(2)/2)*CM194+(1-EXP(-LN(2)/2))/(LN(2)/2)*CG195*CJ195*VLOOKUP('Données projet'!$B$12,Paramètres!$A$1:$I$89,3,0)*0.475*44/12</f>
        <v>1.1943180516006665E-17</v>
      </c>
      <c r="CN195" s="22">
        <f t="shared" si="172"/>
        <v>3.3086752158191235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69.505022560037474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2.5579538487363607E-13</v>
      </c>
      <c r="CU195" s="17">
        <f>CT195*VLOOKUP('Données projet'!$B$13,Paramètres!$A$1:$I$89,3,0)*VLOOKUP('Données projet'!$B$13,Paramètres!$A$1:$I$89,5,0)</f>
        <v>2.4341488824575211E-13</v>
      </c>
      <c r="CV195" s="13">
        <f t="shared" si="173"/>
        <v>3.2970717324875541E-12</v>
      </c>
      <c r="CW195" s="20">
        <f t="shared" si="174"/>
        <v>6.1663475311105072E-12</v>
      </c>
      <c r="CX195" s="59">
        <f t="shared" si="122"/>
        <v>291.51841605347687</v>
      </c>
      <c r="CY195" s="59">
        <f ca="1">AVERAGE(OFFSET($CX$3,0,0,'Données projet'!$E$13+1,1))-AVERAGE(OFFSET($H$3,0,0,'Données projet'!$E$13+1,1))</f>
        <v>470.42022791389275</v>
      </c>
      <c r="CZ195" s="59">
        <f t="shared" si="150"/>
        <v>300.26117330627346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19.37623223474229</v>
      </c>
      <c r="DG195" s="21">
        <f>EXP(-LN(2)/25)*DG194+(1-EXP(-LN(2)/25))/(LN(2)/25)*Calculateur!DB195*Calculateur!DD195*VLOOKUP('Données projet'!$B$13,Paramètres!$A$1:$I$89,3,0)*0.475*44/12</f>
        <v>10.791104442705704</v>
      </c>
      <c r="DH195" s="21">
        <f>EXP(-LN(2)/2)*DH194+(1-EXP(-LN(2)/2))/(LN(2)/2)*DB195*DE195*VLOOKUP('Données projet'!$B$13,Paramètres!$A$1:$I$89,3,0)*0.475*44/12</f>
        <v>1.6694491810311427E-8</v>
      </c>
      <c r="DI195" s="22">
        <f t="shared" si="175"/>
        <v>30.167336694142485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69.505022560037474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-2.8421709430404007E-13</v>
      </c>
      <c r="DP195" s="17">
        <f>DO195*VLOOKUP('Données projet'!$B$14,Paramètres!$A$1:$I$89,3,0)*VLOOKUP('Données projet'!$B$14,Paramètres!$A$1:$I$89,5,0)</f>
        <v>-2.7489477361086758E-13</v>
      </c>
      <c r="DQ195" s="13" t="e">
        <f t="shared" si="176"/>
        <v>#NUM!</v>
      </c>
      <c r="DR195" s="20" t="e">
        <f t="shared" si="177"/>
        <v>#NUM!</v>
      </c>
      <c r="DS195" s="59" t="e">
        <f t="shared" si="125"/>
        <v>#NUM!</v>
      </c>
      <c r="DT195" s="59">
        <f ca="1">AVERAGE(OFFSET($DS$3,0,0,'Données projet'!$E$14+1,1))-AVERAGE(OFFSET($H$3,0,0,'Données projet'!$E$14+1,1))</f>
        <v>537.37164071064103</v>
      </c>
      <c r="DU195" s="59">
        <f t="shared" si="152"/>
        <v>263.29777321132235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67.410843610309271</v>
      </c>
      <c r="EB195" s="21">
        <f>EXP(-LN(2)/25)*EB194+(1-EXP(-LN(2)/25))/(LN(2)/25)*Calculateur!DW195*Calculateur!DY195*VLOOKUP('Données projet'!$B$14,Paramètres!$A$1:$I$89,3,0)*0.475*44/12</f>
        <v>59.881525808334978</v>
      </c>
      <c r="EC195" s="21">
        <f>EXP(-LN(2)/2)*EC194+(1-EXP(-LN(2)/2))/(LN(2)/2)*DW195*DZ195*VLOOKUP('Données projet'!$B$14,Paramètres!$A$1:$I$89,3,0)*0.475*44/12</f>
        <v>29.583269558705172</v>
      </c>
      <c r="ED195" s="22">
        <f t="shared" si="178"/>
        <v>156.87563897734944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69.505022560037474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69.505022560037474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69.505022560037474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69.505022560037474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45">
      <c r="A196" s="10">
        <f t="shared" si="161"/>
        <v>193</v>
      </c>
      <c r="B196" s="73">
        <f>'Scénario référence'!$B$16*5+'Scénario référence'!$B$17*0+'Scénario référence'!$B$18*5</f>
        <v>2.8499999999999996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10.449999999999998</v>
      </c>
      <c r="H196" s="67">
        <f t="shared" ref="H196:H203" si="192">(B196+E196+F196)*44/12+(C196+D196)*0.475*44/12</f>
        <v>214.86666666666667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69.513609312017039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3.979039320256561E-13</v>
      </c>
      <c r="O196" s="13">
        <f>N196*VLOOKUP('Données projet'!$B$9,Paramètres!$A$1:$I$89,3,0)*VLOOKUP('Données projet'!$B$9,Paramètres!$A$1:$I$89,5,0)</f>
        <v>3.6002347769681362E-13</v>
      </c>
      <c r="P196" s="13">
        <f t="shared" si="141"/>
        <v>4.6593569189922594E-12</v>
      </c>
      <c r="Q196" s="20">
        <f t="shared" si="162"/>
        <v>8.7420875242334695E-12</v>
      </c>
      <c r="R196" s="59">
        <f t="shared" si="191"/>
        <v>291.54990081073788</v>
      </c>
      <c r="S196" s="59">
        <f ca="1">AVERAGE(OFFSET($R$3,0,0,'Données projet'!$E$9+1,1))-AVERAGE(OFFSET($H$3,0,0,'Données projet'!$E$9+1,1))</f>
        <v>719.20816951277925</v>
      </c>
      <c r="T196" s="59">
        <f t="shared" si="142"/>
        <v>237.1127421841087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88.879071634172504</v>
      </c>
      <c r="AA196" s="21">
        <f>EXP(-LN(2)/25)*AA195+(1-EXP(-LN(2)/25))/(LN(2)/25)*Calculateur!V196*Calculateur!X196*VLOOKUP('Données projet'!$B$9,Paramètres!$A$1:$I$89,3,0)*0.475*44/12</f>
        <v>11.849125202395761</v>
      </c>
      <c r="AB196" s="21">
        <f>EXP(-LN(2)/2)*AB195+(1-EXP(-LN(2)/2))/(LN(2)/2)*V196*Y196*VLOOKUP('Données projet'!$B$9,Paramètres!$A$1:$I$89,3,0)*0.475*44/12</f>
        <v>8.6839850654642998E-5</v>
      </c>
      <c r="AC196" s="22">
        <f t="shared" si="163"/>
        <v>100.72828367641891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69.513609312017039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5.6843418860808015E-14</v>
      </c>
      <c r="AJ196" s="13">
        <f>AI196*VLOOKUP('Données projet'!$B$10,Paramètres!$A$1:$I$89,3,0)*VLOOKUP('Données projet'!$B$10,Paramètres!$A$1:$I$89,5,0)</f>
        <v>4.7884896048344674E-14</v>
      </c>
      <c r="AK196" s="13">
        <f t="shared" si="164"/>
        <v>7.8374629847779921E-13</v>
      </c>
      <c r="AL196" s="20">
        <f t="shared" si="165"/>
        <v>1.4484243304663672E-12</v>
      </c>
      <c r="AM196" s="59">
        <f t="shared" ref="AM196:AM203" si="193">AL196+(AD196+AE196)*44/12</f>
        <v>291.54990081073055</v>
      </c>
      <c r="AN196" s="59">
        <f ca="1">AVERAGE(OFFSET($AM$3,0,0,'Données projet'!$E$10+1,1))-AVERAGE(OFFSET($H$3,0,0,'Données projet'!$E$10+1,1))</f>
        <v>442.79037205372367</v>
      </c>
      <c r="AO196" s="59">
        <f t="shared" si="144"/>
        <v>288.23553637727969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21.842354434576759</v>
      </c>
      <c r="AV196" s="21">
        <f>EXP(-LN(2)/25)*AV195+(1-EXP(-LN(2)/25))/(LN(2)/25)*Calculateur!AQ196*Calculateur!AS196*VLOOKUP('Données projet'!$B$10,Paramètres!$A$1:$I$89,3,0)*0.475*44/12</f>
        <v>2.5076130422178862</v>
      </c>
      <c r="AW196" s="21">
        <f>EXP(-LN(2)/2)*AW195+(1-EXP(-LN(2)/2))/(LN(2)/2)*AQ196*AT196*VLOOKUP('Données projet'!$B$10,Paramètres!$A$1:$I$89,3,0)*0.475*44/12</f>
        <v>5.9672746276730714E-13</v>
      </c>
      <c r="AX196" s="21">
        <f t="shared" si="166"/>
        <v>24.349967476795243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69.513609312017039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-2.8421709430404007E-13</v>
      </c>
      <c r="BE196" s="13">
        <f>BD196*VLOOKUP('Données projet'!$B$11,Paramètres!$A$1:$I$89,3,0)*VLOOKUP('Données projet'!$B$11,Paramètres!$A$1:$I$89,5,0)</f>
        <v>-2.8819613362429665E-13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559.91818701710872</v>
      </c>
      <c r="BJ196" s="59">
        <f t="shared" si="146"/>
        <v>273.47272623465915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129.81007672873446</v>
      </c>
      <c r="BQ196" s="21">
        <f>EXP(-LN(2)/25)*BQ195+(1-EXP(-LN(2)/25))/(LN(2)/25)*Calculateur!BL196*Calculateur!BN196*VLOOKUP('Données projet'!$B$11,Paramètres!$A$1:$I$89,3,0)*0.475*44/12</f>
        <v>40.278562688848396</v>
      </c>
      <c r="BR196" s="21">
        <f>EXP(-LN(2)/2)*BR195+(1-EXP(-LN(2)/2))/(LN(2)/2)*BL196*BO196*VLOOKUP('Données projet'!$B$11,Paramètres!$A$1:$I$89,3,0)*0.475*44/12</f>
        <v>3.4684084893672291</v>
      </c>
      <c r="BS196" s="22">
        <f t="shared" si="169"/>
        <v>173.55704790695006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69.513609312017039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-1.1368683772161603E-13</v>
      </c>
      <c r="BZ196" s="13">
        <f>BY196*VLOOKUP('Données projet'!$B$12,Paramètres!$A$1:$I$89,3,0)*VLOOKUP('Données projet'!$B$12,Paramètres!$A$1:$I$89,5,0)</f>
        <v>-8.8675733422860506E-14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208.92677786250815</v>
      </c>
      <c r="CE196" s="59">
        <f t="shared" si="148"/>
        <v>207.54290142772214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2.3649569846586167</v>
      </c>
      <c r="CL196" s="21">
        <f>EXP(-LN(2)/25)*CL195+(1-EXP(-LN(2)/25))/(LN(2)/25)*Calculateur!CG196*Calculateur!CI196*VLOOKUP('Données projet'!$B$12,Paramètres!$A$1:$I$89,3,0)*0.475*44/12</f>
        <v>0.87190276213968776</v>
      </c>
      <c r="CM196" s="21">
        <f>EXP(-LN(2)/2)*CM195+(1-EXP(-LN(2)/2))/(LN(2)/2)*CG196*CJ196*VLOOKUP('Données projet'!$B$12,Paramètres!$A$1:$I$89,3,0)*0.475*44/12</f>
        <v>8.4451039318033624E-18</v>
      </c>
      <c r="CN196" s="22">
        <f t="shared" si="172"/>
        <v>3.2368597467983045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69.513609312017039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2.5579538487363607E-13</v>
      </c>
      <c r="CU196" s="17">
        <f>CT196*VLOOKUP('Données projet'!$B$13,Paramètres!$A$1:$I$89,3,0)*VLOOKUP('Données projet'!$B$13,Paramètres!$A$1:$I$89,5,0)</f>
        <v>2.4341488824575211E-13</v>
      </c>
      <c r="CV196" s="13">
        <f t="shared" si="173"/>
        <v>3.2970717324875541E-12</v>
      </c>
      <c r="CW196" s="20">
        <f t="shared" si="174"/>
        <v>6.1663475311105072E-12</v>
      </c>
      <c r="CX196" s="59">
        <f t="shared" ref="CX196:CX203" si="196">CW196+(CO196+CP196)*44/12</f>
        <v>291.54990081073527</v>
      </c>
      <c r="CY196" s="59">
        <f ca="1">AVERAGE(OFFSET($CX$3,0,0,'Données projet'!$E$13+1,1))-AVERAGE(OFFSET($H$3,0,0,'Données projet'!$E$13+1,1))</f>
        <v>470.42022791389275</v>
      </c>
      <c r="CZ196" s="59">
        <f t="shared" si="150"/>
        <v>300.26117330627346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18.996276138953693</v>
      </c>
      <c r="DG196" s="21">
        <f>EXP(-LN(2)/25)*DG195+(1-EXP(-LN(2)/25))/(LN(2)/25)*Calculateur!DB196*Calculateur!DD196*VLOOKUP('Données projet'!$B$13,Paramètres!$A$1:$I$89,3,0)*0.475*44/12</f>
        <v>10.496021124240396</v>
      </c>
      <c r="DH196" s="21">
        <f>EXP(-LN(2)/2)*DH195+(1-EXP(-LN(2)/2))/(LN(2)/2)*DB196*DE196*VLOOKUP('Données projet'!$B$13,Paramètres!$A$1:$I$89,3,0)*0.475*44/12</f>
        <v>1.1804788367534492E-8</v>
      </c>
      <c r="DI196" s="22">
        <f t="shared" si="175"/>
        <v>29.492297274998879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69.513609312017039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-2.8421709430404007E-13</v>
      </c>
      <c r="DP196" s="17">
        <f>DO196*VLOOKUP('Données projet'!$B$14,Paramètres!$A$1:$I$89,3,0)*VLOOKUP('Données projet'!$B$14,Paramètres!$A$1:$I$89,5,0)</f>
        <v>-2.7489477361086758E-13</v>
      </c>
      <c r="DQ196" s="13" t="e">
        <f t="shared" si="176"/>
        <v>#NUM!</v>
      </c>
      <c r="DR196" s="20" t="e">
        <f t="shared" si="177"/>
        <v>#NUM!</v>
      </c>
      <c r="DS196" s="59" t="e">
        <f t="shared" ref="DS196:DS203" si="197">DR196+(DJ196+DK196)*44/12</f>
        <v>#NUM!</v>
      </c>
      <c r="DT196" s="59">
        <f ca="1">AVERAGE(OFFSET($DS$3,0,0,'Données projet'!$E$14+1,1))-AVERAGE(OFFSET($H$3,0,0,'Données projet'!$E$14+1,1))</f>
        <v>537.37164071064103</v>
      </c>
      <c r="DU196" s="59">
        <f t="shared" si="152"/>
        <v>263.29777321132235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66.088958083665787</v>
      </c>
      <c r="EB196" s="21">
        <f>EXP(-LN(2)/25)*EB195+(1-EXP(-LN(2)/25))/(LN(2)/25)*Calculateur!DW196*Calculateur!DY196*VLOOKUP('Données projet'!$B$14,Paramètres!$A$1:$I$89,3,0)*0.475*44/12</f>
        <v>58.244062336073476</v>
      </c>
      <c r="EC196" s="21">
        <f>EXP(-LN(2)/2)*EC195+(1-EXP(-LN(2)/2))/(LN(2)/2)*DW196*DZ196*VLOOKUP('Données projet'!$B$14,Paramètres!$A$1:$I$89,3,0)*0.475*44/12</f>
        <v>20.918530514629992</v>
      </c>
      <c r="ED196" s="22">
        <f t="shared" si="178"/>
        <v>145.25155093436925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69.513609312017039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69.513609312017039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69.513609312017039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69.513609312017039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45">
      <c r="A197" s="10">
        <f t="shared" si="161"/>
        <v>194</v>
      </c>
      <c r="B197" s="73">
        <f>'Scénario référence'!$B$16*5+'Scénario référence'!$B$17*0+'Scénario référence'!$B$18*5</f>
        <v>2.8499999999999996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10.449999999999998</v>
      </c>
      <c r="H197" s="67">
        <f t="shared" si="192"/>
        <v>214.86666666666667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69.522047103046873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3.979039320256561E-13</v>
      </c>
      <c r="O197" s="13">
        <f>N197*VLOOKUP('Données projet'!$B$9,Paramètres!$A$1:$I$89,3,0)*VLOOKUP('Données projet'!$B$9,Paramètres!$A$1:$I$89,5,0)</f>
        <v>3.6002347769681362E-13</v>
      </c>
      <c r="P197" s="13">
        <f t="shared" ref="P197:P203" si="203">EXP(-1.0587+0.8836*LN(O197)+0.284)</f>
        <v>4.6593569189922594E-12</v>
      </c>
      <c r="Q197" s="20">
        <f t="shared" si="162"/>
        <v>8.7420875242334695E-12</v>
      </c>
      <c r="R197" s="59">
        <f t="shared" si="191"/>
        <v>291.58083937784733</v>
      </c>
      <c r="S197" s="59">
        <f ca="1">AVERAGE(OFFSET($R$3,0,0,'Données projet'!$E$9+1,1))-AVERAGE(OFFSET($H$3,0,0,'Données projet'!$E$9+1,1))</f>
        <v>719.20816951277925</v>
      </c>
      <c r="T197" s="59">
        <f t="shared" ref="T197:T203" si="204">$T$3</f>
        <v>237.1127421841087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87.136207250307194</v>
      </c>
      <c r="AA197" s="21">
        <f>EXP(-LN(2)/25)*AA196+(1-EXP(-LN(2)/25))/(LN(2)/25)*Calculateur!V197*Calculateur!X197*VLOOKUP('Données projet'!$B$9,Paramètres!$A$1:$I$89,3,0)*0.475*44/12</f>
        <v>11.525110250617836</v>
      </c>
      <c r="AB197" s="21">
        <f>EXP(-LN(2)/2)*AB196+(1-EXP(-LN(2)/2))/(LN(2)/2)*V197*Y197*VLOOKUP('Données projet'!$B$9,Paramètres!$A$1:$I$89,3,0)*0.475*44/12</f>
        <v>6.1405047275125111E-5</v>
      </c>
      <c r="AC197" s="22">
        <f t="shared" si="163"/>
        <v>98.661378905972313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69.522047103046873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5.6843418860808015E-14</v>
      </c>
      <c r="AJ197" s="13">
        <f>AI197*VLOOKUP('Données projet'!$B$10,Paramètres!$A$1:$I$89,3,0)*VLOOKUP('Données projet'!$B$10,Paramètres!$A$1:$I$89,5,0)</f>
        <v>4.7884896048344674E-14</v>
      </c>
      <c r="AK197" s="13">
        <f t="shared" si="164"/>
        <v>7.8374629847779921E-13</v>
      </c>
      <c r="AL197" s="20">
        <f t="shared" si="165"/>
        <v>1.4484243304663672E-12</v>
      </c>
      <c r="AM197" s="59">
        <f t="shared" si="193"/>
        <v>291.58083937783999</v>
      </c>
      <c r="AN197" s="59">
        <f ca="1">AVERAGE(OFFSET($AM$3,0,0,'Données projet'!$E$10+1,1))-AVERAGE(OFFSET($H$3,0,0,'Données projet'!$E$10+1,1))</f>
        <v>442.79037205372367</v>
      </c>
      <c r="AO197" s="59">
        <f t="shared" ref="AO197:AO203" si="205">$AO$3</f>
        <v>288.23553637727969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21.414039186635424</v>
      </c>
      <c r="AV197" s="21">
        <f>EXP(-LN(2)/25)*AV196+(1-EXP(-LN(2)/25))/(LN(2)/25)*Calculateur!AQ197*Calculateur!AS197*VLOOKUP('Données projet'!$B$10,Paramètres!$A$1:$I$89,3,0)*0.475*44/12</f>
        <v>2.4390422317087994</v>
      </c>
      <c r="AW197" s="21">
        <f>EXP(-LN(2)/2)*AW196+(1-EXP(-LN(2)/2))/(LN(2)/2)*AQ197*AT197*VLOOKUP('Données projet'!$B$10,Paramètres!$A$1:$I$89,3,0)*0.475*44/12</f>
        <v>4.2195003544300594E-13</v>
      </c>
      <c r="AX197" s="21">
        <f t="shared" si="166"/>
        <v>23.853081418344647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69.522047103046873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-2.8421709430404007E-13</v>
      </c>
      <c r="BE197" s="13">
        <f>BD197*VLOOKUP('Données projet'!$B$11,Paramètres!$A$1:$I$89,3,0)*VLOOKUP('Données projet'!$B$11,Paramètres!$A$1:$I$89,5,0)</f>
        <v>-2.8819613362429665E-13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559.91818701710872</v>
      </c>
      <c r="BJ197" s="59">
        <f t="shared" ref="BJ197:BJ203" si="206">$BJ$3</f>
        <v>273.47272623465915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127.26458030041276</v>
      </c>
      <c r="BQ197" s="21">
        <f>EXP(-LN(2)/25)*BQ196+(1-EXP(-LN(2)/25))/(LN(2)/25)*Calculateur!BL197*Calculateur!BN197*VLOOKUP('Données projet'!$B$11,Paramètres!$A$1:$I$89,3,0)*0.475*44/12</f>
        <v>39.177143273964283</v>
      </c>
      <c r="BR197" s="21">
        <f>EXP(-LN(2)/2)*BR196+(1-EXP(-LN(2)/2))/(LN(2)/2)*BL197*BO197*VLOOKUP('Données projet'!$B$11,Paramètres!$A$1:$I$89,3,0)*0.475*44/12</f>
        <v>2.4525351627565573</v>
      </c>
      <c r="BS197" s="22">
        <f t="shared" si="169"/>
        <v>168.89425873713361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69.522047103046873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-1.1368683772161603E-13</v>
      </c>
      <c r="BZ197" s="13">
        <f>BY197*VLOOKUP('Données projet'!$B$12,Paramètres!$A$1:$I$89,3,0)*VLOOKUP('Données projet'!$B$12,Paramètres!$A$1:$I$89,5,0)</f>
        <v>-8.8675733422860506E-14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208.92677786250815</v>
      </c>
      <c r="CE197" s="59">
        <f t="shared" ref="CE197:CE203" si="207">$CE$3</f>
        <v>207.54290142772214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2.3185816206707885</v>
      </c>
      <c r="CL197" s="21">
        <f>EXP(-LN(2)/25)*CL196+(1-EXP(-LN(2)/25))/(LN(2)/25)*Calculateur!CG197*Calculateur!CI197*VLOOKUP('Données projet'!$B$12,Paramètres!$A$1:$I$89,3,0)*0.475*44/12</f>
        <v>0.8480605352576045</v>
      </c>
      <c r="CM197" s="21">
        <f>EXP(-LN(2)/2)*CM196+(1-EXP(-LN(2)/2))/(LN(2)/2)*CG197*CJ197*VLOOKUP('Données projet'!$B$12,Paramètres!$A$1:$I$89,3,0)*0.475*44/12</f>
        <v>5.9715902580033325E-18</v>
      </c>
      <c r="CN197" s="22">
        <f t="shared" si="172"/>
        <v>3.1666421559283933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69.522047103046873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2.5579538487363607E-13</v>
      </c>
      <c r="CU197" s="17">
        <f>CT197*VLOOKUP('Données projet'!$B$13,Paramètres!$A$1:$I$89,3,0)*VLOOKUP('Données projet'!$B$13,Paramètres!$A$1:$I$89,5,0)</f>
        <v>2.4341488824575211E-13</v>
      </c>
      <c r="CV197" s="13">
        <f t="shared" si="173"/>
        <v>3.2970717324875541E-12</v>
      </c>
      <c r="CW197" s="20">
        <f t="shared" si="174"/>
        <v>6.1663475311105072E-12</v>
      </c>
      <c r="CX197" s="59">
        <f t="shared" si="196"/>
        <v>291.58083937784471</v>
      </c>
      <c r="CY197" s="59">
        <f ca="1">AVERAGE(OFFSET($CX$3,0,0,'Données projet'!$E$13+1,1))-AVERAGE(OFFSET($H$3,0,0,'Données projet'!$E$13+1,1))</f>
        <v>470.42022791389275</v>
      </c>
      <c r="CZ197" s="59">
        <f t="shared" ref="CZ197:CZ203" si="208">$CZ$3</f>
        <v>300.26117330627346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18.623770750453176</v>
      </c>
      <c r="DG197" s="21">
        <f>EXP(-LN(2)/25)*DG196+(1-EXP(-LN(2)/25))/(LN(2)/25)*Calculateur!DB197*Calculateur!DD197*VLOOKUP('Données projet'!$B$13,Paramètres!$A$1:$I$89,3,0)*0.475*44/12</f>
        <v>10.20900687463628</v>
      </c>
      <c r="DH197" s="21">
        <f>EXP(-LN(2)/2)*DH196+(1-EXP(-LN(2)/2))/(LN(2)/2)*DB197*DE197*VLOOKUP('Données projet'!$B$13,Paramètres!$A$1:$I$89,3,0)*0.475*44/12</f>
        <v>8.3472459051557134E-9</v>
      </c>
      <c r="DI197" s="22">
        <f t="shared" si="175"/>
        <v>28.832777633436702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69.522047103046873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-2.8421709430404007E-13</v>
      </c>
      <c r="DP197" s="17">
        <f>DO197*VLOOKUP('Données projet'!$B$14,Paramètres!$A$1:$I$89,3,0)*VLOOKUP('Données projet'!$B$14,Paramètres!$A$1:$I$89,5,0)</f>
        <v>-2.7489477361086758E-13</v>
      </c>
      <c r="DQ197" s="13" t="e">
        <f t="shared" si="176"/>
        <v>#NUM!</v>
      </c>
      <c r="DR197" s="20" t="e">
        <f t="shared" si="177"/>
        <v>#NUM!</v>
      </c>
      <c r="DS197" s="59" t="e">
        <f t="shared" si="197"/>
        <v>#NUM!</v>
      </c>
      <c r="DT197" s="59">
        <f ca="1">AVERAGE(OFFSET($DS$3,0,0,'Données projet'!$E$14+1,1))-AVERAGE(OFFSET($H$3,0,0,'Données projet'!$E$14+1,1))</f>
        <v>537.37164071064103</v>
      </c>
      <c r="DU197" s="59">
        <f t="shared" ref="DU197:DU203" si="209">$DU$3</f>
        <v>263.29777321132235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64.792993925929224</v>
      </c>
      <c r="EB197" s="21">
        <f>EXP(-LN(2)/25)*EB196+(1-EXP(-LN(2)/25))/(LN(2)/25)*Calculateur!DW197*Calculateur!DY197*VLOOKUP('Données projet'!$B$14,Paramètres!$A$1:$I$89,3,0)*0.475*44/12</f>
        <v>56.651375388571431</v>
      </c>
      <c r="EC197" s="21">
        <f>EXP(-LN(2)/2)*EC196+(1-EXP(-LN(2)/2))/(LN(2)/2)*DW197*DZ197*VLOOKUP('Données projet'!$B$14,Paramètres!$A$1:$I$89,3,0)*0.475*44/12</f>
        <v>14.791634779352588</v>
      </c>
      <c r="ED197" s="22">
        <f t="shared" si="178"/>
        <v>136.23600409385324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69.522047103046873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69.522047103046873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69.522047103046873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69.522047103046873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45">
      <c r="A198" s="10">
        <f t="shared" si="161"/>
        <v>195</v>
      </c>
      <c r="B198" s="73">
        <f>'Scénario référence'!$B$16*5+'Scénario référence'!$B$17*0+'Scénario référence'!$B$18*5</f>
        <v>2.8499999999999996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10.449999999999998</v>
      </c>
      <c r="H198" s="67">
        <f t="shared" si="192"/>
        <v>214.86666666666667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69.530338517266415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3.979039320256561E-13</v>
      </c>
      <c r="O198" s="13">
        <f>N198*VLOOKUP('Données projet'!$B$9,Paramètres!$A$1:$I$89,3,0)*VLOOKUP('Données projet'!$B$9,Paramètres!$A$1:$I$89,5,0)</f>
        <v>3.6002347769681362E-13</v>
      </c>
      <c r="P198" s="13">
        <f t="shared" si="203"/>
        <v>4.6593569189922594E-12</v>
      </c>
      <c r="Q198" s="20">
        <f t="shared" si="162"/>
        <v>8.7420875242334695E-12</v>
      </c>
      <c r="R198" s="59">
        <f t="shared" si="191"/>
        <v>291.61124122998564</v>
      </c>
      <c r="S198" s="59">
        <f ca="1">AVERAGE(OFFSET($R$3,0,0,'Données projet'!$E$9+1,1))-AVERAGE(OFFSET($H$3,0,0,'Données projet'!$E$9+1,1))</f>
        <v>719.20816951277925</v>
      </c>
      <c r="T198" s="59">
        <f t="shared" si="204"/>
        <v>237.1127421841087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85.427519373967186</v>
      </c>
      <c r="AA198" s="21">
        <f>EXP(-LN(2)/25)*AA197+(1-EXP(-LN(2)/25))/(LN(2)/25)*Calculateur!V198*Calculateur!X198*VLOOKUP('Données projet'!$B$9,Paramètres!$A$1:$I$89,3,0)*0.475*44/12</f>
        <v>11.209955504735484</v>
      </c>
      <c r="AB198" s="21">
        <f>EXP(-LN(2)/2)*AB197+(1-EXP(-LN(2)/2))/(LN(2)/2)*V198*Y198*VLOOKUP('Données projet'!$B$9,Paramètres!$A$1:$I$89,3,0)*0.475*44/12</f>
        <v>4.3419925327321499E-5</v>
      </c>
      <c r="AC198" s="22">
        <f t="shared" si="163"/>
        <v>96.637518298628009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69.530338517266415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5.6843418860808015E-14</v>
      </c>
      <c r="AJ198" s="13">
        <f>AI198*VLOOKUP('Données projet'!$B$10,Paramètres!$A$1:$I$89,3,0)*VLOOKUP('Données projet'!$B$10,Paramètres!$A$1:$I$89,5,0)</f>
        <v>4.7884896048344674E-14</v>
      </c>
      <c r="AK198" s="13">
        <f t="shared" si="164"/>
        <v>7.8374629847779921E-13</v>
      </c>
      <c r="AL198" s="20">
        <f t="shared" si="165"/>
        <v>1.4484243304663672E-12</v>
      </c>
      <c r="AM198" s="59">
        <f t="shared" si="193"/>
        <v>291.6112412299783</v>
      </c>
      <c r="AN198" s="59">
        <f ca="1">AVERAGE(OFFSET($AM$3,0,0,'Données projet'!$E$10+1,1))-AVERAGE(OFFSET($H$3,0,0,'Données projet'!$E$10+1,1))</f>
        <v>442.79037205372367</v>
      </c>
      <c r="AO198" s="59">
        <f t="shared" si="205"/>
        <v>288.23553637727969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20.994122939459714</v>
      </c>
      <c r="AV198" s="21">
        <f>EXP(-LN(2)/25)*AV197+(1-EXP(-LN(2)/25))/(LN(2)/25)*Calculateur!AQ198*Calculateur!AS198*VLOOKUP('Données projet'!$B$10,Paramètres!$A$1:$I$89,3,0)*0.475*44/12</f>
        <v>2.3723464936190659</v>
      </c>
      <c r="AW198" s="21">
        <f>EXP(-LN(2)/2)*AW197+(1-EXP(-LN(2)/2))/(LN(2)/2)*AQ198*AT198*VLOOKUP('Données projet'!$B$10,Paramètres!$A$1:$I$89,3,0)*0.475*44/12</f>
        <v>2.9836373138365357E-13</v>
      </c>
      <c r="AX198" s="21">
        <f t="shared" si="166"/>
        <v>23.366469433079079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69.530338517266415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-2.8421709430404007E-13</v>
      </c>
      <c r="BE198" s="13">
        <f>BD198*VLOOKUP('Données projet'!$B$11,Paramètres!$A$1:$I$89,3,0)*VLOOKUP('Données projet'!$B$11,Paramètres!$A$1:$I$89,5,0)</f>
        <v>-2.8819613362429665E-13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559.91818701710872</v>
      </c>
      <c r="BJ198" s="59">
        <f t="shared" si="206"/>
        <v>273.47272623465915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124.76899950445095</v>
      </c>
      <c r="BQ198" s="21">
        <f>EXP(-LN(2)/25)*BQ197+(1-EXP(-LN(2)/25))/(LN(2)/25)*Calculateur!BL198*Calculateur!BN198*VLOOKUP('Données projet'!$B$11,Paramètres!$A$1:$I$89,3,0)*0.475*44/12</f>
        <v>38.105842230901303</v>
      </c>
      <c r="BR198" s="21">
        <f>EXP(-LN(2)/2)*BR197+(1-EXP(-LN(2)/2))/(LN(2)/2)*BL198*BO198*VLOOKUP('Données projet'!$B$11,Paramètres!$A$1:$I$89,3,0)*0.475*44/12</f>
        <v>1.7342042446836148</v>
      </c>
      <c r="BS198" s="22">
        <f t="shared" si="169"/>
        <v>164.60904598003586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69.530338517266415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-1.1368683772161603E-13</v>
      </c>
      <c r="BZ198" s="13">
        <f>BY198*VLOOKUP('Données projet'!$B$12,Paramètres!$A$1:$I$89,3,0)*VLOOKUP('Données projet'!$B$12,Paramètres!$A$1:$I$89,5,0)</f>
        <v>-8.8675733422860506E-14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208.92677786250815</v>
      </c>
      <c r="CE198" s="59">
        <f t="shared" si="207"/>
        <v>207.54290142772214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2.2731156492845828</v>
      </c>
      <c r="CL198" s="21">
        <f>EXP(-LN(2)/25)*CL197+(1-EXP(-LN(2)/25))/(LN(2)/25)*Calculateur!CG198*Calculateur!CI198*VLOOKUP('Données projet'!$B$12,Paramètres!$A$1:$I$89,3,0)*0.475*44/12</f>
        <v>0.82487027532342005</v>
      </c>
      <c r="CM198" s="21">
        <f>EXP(-LN(2)/2)*CM197+(1-EXP(-LN(2)/2))/(LN(2)/2)*CG198*CJ198*VLOOKUP('Données projet'!$B$12,Paramètres!$A$1:$I$89,3,0)*0.475*44/12</f>
        <v>4.2225519659016812E-18</v>
      </c>
      <c r="CN198" s="22">
        <f t="shared" si="172"/>
        <v>3.097985924608003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69.530338517266415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2.5579538487363607E-13</v>
      </c>
      <c r="CU198" s="17">
        <f>CT198*VLOOKUP('Données projet'!$B$13,Paramètres!$A$1:$I$89,3,0)*VLOOKUP('Données projet'!$B$13,Paramètres!$A$1:$I$89,5,0)</f>
        <v>2.4341488824575211E-13</v>
      </c>
      <c r="CV198" s="13">
        <f t="shared" si="173"/>
        <v>3.2970717324875541E-12</v>
      </c>
      <c r="CW198" s="20">
        <f t="shared" si="174"/>
        <v>6.1663475311105072E-12</v>
      </c>
      <c r="CX198" s="59">
        <f t="shared" si="196"/>
        <v>291.61124122998302</v>
      </c>
      <c r="CY198" s="59">
        <f ca="1">AVERAGE(OFFSET($CX$3,0,0,'Données projet'!$E$13+1,1))-AVERAGE(OFFSET($H$3,0,0,'Données projet'!$E$13+1,1))</f>
        <v>470.42022791389275</v>
      </c>
      <c r="CZ198" s="59">
        <f t="shared" si="208"/>
        <v>300.26117330627346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18.258569965415301</v>
      </c>
      <c r="DG198" s="21">
        <f>EXP(-LN(2)/25)*DG197+(1-EXP(-LN(2)/25))/(LN(2)/25)*Calculateur!DB198*Calculateur!DD198*VLOOKUP('Données projet'!$B$13,Paramètres!$A$1:$I$89,3,0)*0.475*44/12</f>
        <v>9.9298410447810124</v>
      </c>
      <c r="DH198" s="21">
        <f>EXP(-LN(2)/2)*DH197+(1-EXP(-LN(2)/2))/(LN(2)/2)*DB198*DE198*VLOOKUP('Données projet'!$B$13,Paramètres!$A$1:$I$89,3,0)*0.475*44/12</f>
        <v>5.902394183767246E-9</v>
      </c>
      <c r="DI198" s="22">
        <f t="shared" si="175"/>
        <v>28.188411016098705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69.530338517266415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-2.8421709430404007E-13</v>
      </c>
      <c r="DP198" s="17">
        <f>DO198*VLOOKUP('Données projet'!$B$14,Paramètres!$A$1:$I$89,3,0)*VLOOKUP('Données projet'!$B$14,Paramètres!$A$1:$I$89,5,0)</f>
        <v>-2.7489477361086758E-13</v>
      </c>
      <c r="DQ198" s="13" t="e">
        <f t="shared" si="176"/>
        <v>#NUM!</v>
      </c>
      <c r="DR198" s="20" t="e">
        <f t="shared" si="177"/>
        <v>#NUM!</v>
      </c>
      <c r="DS198" s="59" t="e">
        <f t="shared" si="197"/>
        <v>#NUM!</v>
      </c>
      <c r="DT198" s="59">
        <f ca="1">AVERAGE(OFFSET($DS$3,0,0,'Données projet'!$E$14+1,1))-AVERAGE(OFFSET($H$3,0,0,'Données projet'!$E$14+1,1))</f>
        <v>537.37164071064103</v>
      </c>
      <c r="DU198" s="59">
        <f t="shared" si="209"/>
        <v>263.29777321132235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63.522442834865785</v>
      </c>
      <c r="EB198" s="21">
        <f>EXP(-LN(2)/25)*EB197+(1-EXP(-LN(2)/25))/(LN(2)/25)*Calculateur!DW198*Calculateur!DY198*VLOOKUP('Données projet'!$B$14,Paramètres!$A$1:$I$89,3,0)*0.475*44/12</f>
        <v>55.102240549404591</v>
      </c>
      <c r="EC198" s="21">
        <f>EXP(-LN(2)/2)*EC197+(1-EXP(-LN(2)/2))/(LN(2)/2)*DW198*DZ198*VLOOKUP('Données projet'!$B$14,Paramètres!$A$1:$I$89,3,0)*0.475*44/12</f>
        <v>10.459265257314998</v>
      </c>
      <c r="ED198" s="22">
        <f t="shared" si="178"/>
        <v>129.08394864158538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69.530338517266415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69.530338517266415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69.530338517266415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69.530338517266415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45">
      <c r="A199" s="10">
        <f t="shared" si="161"/>
        <v>196</v>
      </c>
      <c r="B199" s="73">
        <f>'Scénario référence'!$B$16*5+'Scénario référence'!$B$17*0+'Scénario référence'!$B$18*5</f>
        <v>2.8499999999999996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10.449999999999998</v>
      </c>
      <c r="H199" s="67">
        <f t="shared" si="192"/>
        <v>214.86666666666667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69.538486093986066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3.979039320256561E-13</v>
      </c>
      <c r="O199" s="13">
        <f>N199*VLOOKUP('Données projet'!$B$9,Paramètres!$A$1:$I$89,3,0)*VLOOKUP('Données projet'!$B$9,Paramètres!$A$1:$I$89,5,0)</f>
        <v>3.6002347769681362E-13</v>
      </c>
      <c r="P199" s="13">
        <f t="shared" si="203"/>
        <v>4.6593569189922594E-12</v>
      </c>
      <c r="Q199" s="20">
        <f t="shared" si="162"/>
        <v>8.7420875242334695E-12</v>
      </c>
      <c r="R199" s="59">
        <f t="shared" si="191"/>
        <v>291.64111567795766</v>
      </c>
      <c r="S199" s="59">
        <f ca="1">AVERAGE(OFFSET($R$3,0,0,'Données projet'!$E$9+1,1))-AVERAGE(OFFSET($H$3,0,0,'Données projet'!$E$9+1,1))</f>
        <v>719.20816951277925</v>
      </c>
      <c r="T199" s="59">
        <f t="shared" si="204"/>
        <v>237.1127421841087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83.752337824685497</v>
      </c>
      <c r="AA199" s="21">
        <f>EXP(-LN(2)/25)*AA198+(1-EXP(-LN(2)/25))/(LN(2)/25)*Calculateur!V199*Calculateur!X199*VLOOKUP('Données projet'!$B$9,Paramètres!$A$1:$I$89,3,0)*0.475*44/12</f>
        <v>10.903418681952553</v>
      </c>
      <c r="AB199" s="21">
        <f>EXP(-LN(2)/2)*AB198+(1-EXP(-LN(2)/2))/(LN(2)/2)*V199*Y199*VLOOKUP('Données projet'!$B$9,Paramètres!$A$1:$I$89,3,0)*0.475*44/12</f>
        <v>3.0702523637562556E-5</v>
      </c>
      <c r="AC199" s="22">
        <f t="shared" si="163"/>
        <v>94.655787209161687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69.538486093986066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5.6843418860808015E-14</v>
      </c>
      <c r="AJ199" s="13">
        <f>AI199*VLOOKUP('Données projet'!$B$10,Paramètres!$A$1:$I$89,3,0)*VLOOKUP('Données projet'!$B$10,Paramètres!$A$1:$I$89,5,0)</f>
        <v>4.7884896048344674E-14</v>
      </c>
      <c r="AK199" s="13">
        <f t="shared" si="164"/>
        <v>7.8374629847779921E-13</v>
      </c>
      <c r="AL199" s="20">
        <f t="shared" si="165"/>
        <v>1.4484243304663672E-12</v>
      </c>
      <c r="AM199" s="59">
        <f t="shared" si="193"/>
        <v>291.64111567795032</v>
      </c>
      <c r="AN199" s="59">
        <f ca="1">AVERAGE(OFFSET($AM$3,0,0,'Données projet'!$E$10+1,1))-AVERAGE(OFFSET($H$3,0,0,'Données projet'!$E$10+1,1))</f>
        <v>442.79037205372367</v>
      </c>
      <c r="AO199" s="59">
        <f t="shared" si="205"/>
        <v>288.23553637727969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20.582440993767499</v>
      </c>
      <c r="AV199" s="21">
        <f>EXP(-LN(2)/25)*AV198+(1-EXP(-LN(2)/25))/(LN(2)/25)*Calculateur!AQ199*Calculateur!AS199*VLOOKUP('Données projet'!$B$10,Paramètres!$A$1:$I$89,3,0)*0.475*44/12</f>
        <v>2.3074745539947723</v>
      </c>
      <c r="AW199" s="21">
        <f>EXP(-LN(2)/2)*AW198+(1-EXP(-LN(2)/2))/(LN(2)/2)*AQ199*AT199*VLOOKUP('Données projet'!$B$10,Paramètres!$A$1:$I$89,3,0)*0.475*44/12</f>
        <v>2.1097501772150297E-13</v>
      </c>
      <c r="AX199" s="21">
        <f t="shared" si="166"/>
        <v>22.889915547762481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69.538486093986066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-2.8421709430404007E-13</v>
      </c>
      <c r="BE199" s="13">
        <f>BD199*VLOOKUP('Données projet'!$B$11,Paramètres!$A$1:$I$89,3,0)*VLOOKUP('Données projet'!$B$11,Paramètres!$A$1:$I$89,5,0)</f>
        <v>-2.8819613362429665E-13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559.91818701710872</v>
      </c>
      <c r="BJ199" s="59">
        <f t="shared" si="206"/>
        <v>273.47272623465915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122.32235552574396</v>
      </c>
      <c r="BQ199" s="21">
        <f>EXP(-LN(2)/25)*BQ198+(1-EXP(-LN(2)/25))/(LN(2)/25)*Calculateur!BL199*Calculateur!BN199*VLOOKUP('Données projet'!$B$11,Paramètres!$A$1:$I$89,3,0)*0.475*44/12</f>
        <v>37.063835971198152</v>
      </c>
      <c r="BR199" s="21">
        <f>EXP(-LN(2)/2)*BR198+(1-EXP(-LN(2)/2))/(LN(2)/2)*BL199*BO199*VLOOKUP('Données projet'!$B$11,Paramètres!$A$1:$I$89,3,0)*0.475*44/12</f>
        <v>1.2262675813782788</v>
      </c>
      <c r="BS199" s="22">
        <f t="shared" si="169"/>
        <v>160.61245907832037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69.538486093986066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-1.1368683772161603E-13</v>
      </c>
      <c r="BZ199" s="13">
        <f>BY199*VLOOKUP('Données projet'!$B$12,Paramètres!$A$1:$I$89,3,0)*VLOOKUP('Données projet'!$B$12,Paramètres!$A$1:$I$89,5,0)</f>
        <v>-8.8675733422860506E-14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208.92677786250815</v>
      </c>
      <c r="CE199" s="59">
        <f t="shared" si="207"/>
        <v>207.54290142772214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2.2285412378657563</v>
      </c>
      <c r="CL199" s="21">
        <f>EXP(-LN(2)/25)*CL198+(1-EXP(-LN(2)/25))/(LN(2)/25)*Calculateur!CG199*Calculateur!CI199*VLOOKUP('Données projet'!$B$12,Paramètres!$A$1:$I$89,3,0)*0.475*44/12</f>
        <v>0.80231415426665864</v>
      </c>
      <c r="CM199" s="21">
        <f>EXP(-LN(2)/2)*CM198+(1-EXP(-LN(2)/2))/(LN(2)/2)*CG199*CJ199*VLOOKUP('Données projet'!$B$12,Paramètres!$A$1:$I$89,3,0)*0.475*44/12</f>
        <v>2.9857951290016662E-18</v>
      </c>
      <c r="CN199" s="22">
        <f t="shared" si="172"/>
        <v>3.0308553921324148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69.538486093986066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2.5579538487363607E-13</v>
      </c>
      <c r="CU199" s="17">
        <f>CT199*VLOOKUP('Données projet'!$B$13,Paramètres!$A$1:$I$89,3,0)*VLOOKUP('Données projet'!$B$13,Paramètres!$A$1:$I$89,5,0)</f>
        <v>2.4341488824575211E-13</v>
      </c>
      <c r="CV199" s="13">
        <f t="shared" si="173"/>
        <v>3.2970717324875541E-12</v>
      </c>
      <c r="CW199" s="20">
        <f t="shared" si="174"/>
        <v>6.1663475311105072E-12</v>
      </c>
      <c r="CX199" s="59">
        <f t="shared" si="196"/>
        <v>291.64111567795504</v>
      </c>
      <c r="CY199" s="59">
        <f ca="1">AVERAGE(OFFSET($CX$3,0,0,'Données projet'!$E$13+1,1))-AVERAGE(OFFSET($H$3,0,0,'Données projet'!$E$13+1,1))</f>
        <v>470.42022791389275</v>
      </c>
      <c r="CZ199" s="59">
        <f t="shared" si="208"/>
        <v>300.26117330627346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17.900530545021535</v>
      </c>
      <c r="DG199" s="21">
        <f>EXP(-LN(2)/25)*DG198+(1-EXP(-LN(2)/25))/(LN(2)/25)*Calculateur!DB199*Calculateur!DD199*VLOOKUP('Données projet'!$B$13,Paramètres!$A$1:$I$89,3,0)*0.475*44/12</f>
        <v>9.6583090192238306</v>
      </c>
      <c r="DH199" s="21">
        <f>EXP(-LN(2)/2)*DH198+(1-EXP(-LN(2)/2))/(LN(2)/2)*DB199*DE199*VLOOKUP('Données projet'!$B$13,Paramètres!$A$1:$I$89,3,0)*0.475*44/12</f>
        <v>4.1736229525778567E-9</v>
      </c>
      <c r="DI199" s="22">
        <f t="shared" si="175"/>
        <v>27.558839568418989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69.538486093986066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-2.8421709430404007E-13</v>
      </c>
      <c r="DP199" s="17">
        <f>DO199*VLOOKUP('Données projet'!$B$14,Paramètres!$A$1:$I$89,3,0)*VLOOKUP('Données projet'!$B$14,Paramètres!$A$1:$I$89,5,0)</f>
        <v>-2.7489477361086758E-13</v>
      </c>
      <c r="DQ199" s="13" t="e">
        <f t="shared" si="176"/>
        <v>#NUM!</v>
      </c>
      <c r="DR199" s="20" t="e">
        <f t="shared" si="177"/>
        <v>#NUM!</v>
      </c>
      <c r="DS199" s="59" t="e">
        <f t="shared" si="197"/>
        <v>#NUM!</v>
      </c>
      <c r="DT199" s="59">
        <f ca="1">AVERAGE(OFFSET($DS$3,0,0,'Données projet'!$E$14+1,1))-AVERAGE(OFFSET($H$3,0,0,'Données projet'!$E$14+1,1))</f>
        <v>537.37164071064103</v>
      </c>
      <c r="DU199" s="59">
        <f t="shared" si="209"/>
        <v>263.29777321132235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62.276806475738461</v>
      </c>
      <c r="EB199" s="21">
        <f>EXP(-LN(2)/25)*EB198+(1-EXP(-LN(2)/25))/(LN(2)/25)*Calculateur!DW199*Calculateur!DY199*VLOOKUP('Données projet'!$B$14,Paramètres!$A$1:$I$89,3,0)*0.475*44/12</f>
        <v>53.595466883880228</v>
      </c>
      <c r="EC199" s="21">
        <f>EXP(-LN(2)/2)*EC198+(1-EXP(-LN(2)/2))/(LN(2)/2)*DW199*DZ199*VLOOKUP('Données projet'!$B$14,Paramètres!$A$1:$I$89,3,0)*0.475*44/12</f>
        <v>7.3958173896762958</v>
      </c>
      <c r="ED199" s="22">
        <f t="shared" si="178"/>
        <v>123.26809074929498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69.538486093986066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69.538486093986066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69.538486093986066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69.538486093986066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45">
      <c r="A200" s="10">
        <f t="shared" si="161"/>
        <v>197</v>
      </c>
      <c r="B200" s="73">
        <f>'Scénario référence'!$B$16*5+'Scénario référence'!$B$17*0+'Scénario référence'!$B$18*5</f>
        <v>2.8499999999999996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10.449999999999998</v>
      </c>
      <c r="H200" s="67">
        <f t="shared" si="192"/>
        <v>214.86666666666667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69.546492328464879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3.979039320256561E-13</v>
      </c>
      <c r="O200" s="13">
        <f>N200*VLOOKUP('Données projet'!$B$9,Paramètres!$A$1:$I$89,3,0)*VLOOKUP('Données projet'!$B$9,Paramètres!$A$1:$I$89,5,0)</f>
        <v>3.6002347769681362E-13</v>
      </c>
      <c r="P200" s="13">
        <f t="shared" si="203"/>
        <v>4.6593569189922594E-12</v>
      </c>
      <c r="Q200" s="20">
        <f t="shared" si="162"/>
        <v>8.7420875242334695E-12</v>
      </c>
      <c r="R200" s="59">
        <f t="shared" si="191"/>
        <v>291.67047187104663</v>
      </c>
      <c r="S200" s="59">
        <f ca="1">AVERAGE(OFFSET($R$3,0,0,'Données projet'!$E$9+1,1))-AVERAGE(OFFSET($H$3,0,0,'Données projet'!$E$9+1,1))</f>
        <v>719.20816951277925</v>
      </c>
      <c r="T200" s="59">
        <f t="shared" si="204"/>
        <v>237.1127421841087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82.110005563825368</v>
      </c>
      <c r="AA200" s="21">
        <f>EXP(-LN(2)/25)*AA199+(1-EXP(-LN(2)/25))/(LN(2)/25)*Calculateur!V200*Calculateur!X200*VLOOKUP('Données projet'!$B$9,Paramètres!$A$1:$I$89,3,0)*0.475*44/12</f>
        <v>10.605264124708693</v>
      </c>
      <c r="AB200" s="21">
        <f>EXP(-LN(2)/2)*AB199+(1-EXP(-LN(2)/2))/(LN(2)/2)*V200*Y200*VLOOKUP('Données projet'!$B$9,Paramètres!$A$1:$I$89,3,0)*0.475*44/12</f>
        <v>2.170996266366075E-5</v>
      </c>
      <c r="AC200" s="22">
        <f t="shared" si="163"/>
        <v>92.715291398496731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69.546492328464879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5.6843418860808015E-14</v>
      </c>
      <c r="AJ200" s="13">
        <f>AI200*VLOOKUP('Données projet'!$B$10,Paramètres!$A$1:$I$89,3,0)*VLOOKUP('Données projet'!$B$10,Paramètres!$A$1:$I$89,5,0)</f>
        <v>4.7884896048344674E-14</v>
      </c>
      <c r="AK200" s="13">
        <f t="shared" si="164"/>
        <v>7.8374629847779921E-13</v>
      </c>
      <c r="AL200" s="20">
        <f t="shared" si="165"/>
        <v>1.4484243304663672E-12</v>
      </c>
      <c r="AM200" s="59">
        <f t="shared" si="193"/>
        <v>291.6704718710393</v>
      </c>
      <c r="AN200" s="59">
        <f ca="1">AVERAGE(OFFSET($AM$3,0,0,'Données projet'!$E$10+1,1))-AVERAGE(OFFSET($H$3,0,0,'Données projet'!$E$10+1,1))</f>
        <v>442.79037205372367</v>
      </c>
      <c r="AO200" s="59">
        <f t="shared" si="205"/>
        <v>288.23553637727969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20.178831879929113</v>
      </c>
      <c r="AV200" s="21">
        <f>EXP(-LN(2)/25)*AV199+(1-EXP(-LN(2)/25))/(LN(2)/25)*Calculateur!AQ200*Calculateur!AS200*VLOOKUP('Données projet'!$B$10,Paramètres!$A$1:$I$89,3,0)*0.475*44/12</f>
        <v>2.2443765409709724</v>
      </c>
      <c r="AW200" s="21">
        <f>EXP(-LN(2)/2)*AW199+(1-EXP(-LN(2)/2))/(LN(2)/2)*AQ200*AT200*VLOOKUP('Données projet'!$B$10,Paramètres!$A$1:$I$89,3,0)*0.475*44/12</f>
        <v>1.4918186569182679E-13</v>
      </c>
      <c r="AX200" s="21">
        <f t="shared" si="166"/>
        <v>22.423208420900234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69.546492328464879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-2.8421709430404007E-13</v>
      </c>
      <c r="BE200" s="13">
        <f>BD200*VLOOKUP('Données projet'!$B$11,Paramètres!$A$1:$I$89,3,0)*VLOOKUP('Données projet'!$B$11,Paramètres!$A$1:$I$89,5,0)</f>
        <v>-2.8819613362429665E-13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559.91818701710872</v>
      </c>
      <c r="BJ200" s="59">
        <f t="shared" si="206"/>
        <v>273.47272623465915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119.92368874315393</v>
      </c>
      <c r="BQ200" s="21">
        <f>EXP(-LN(2)/25)*BQ199+(1-EXP(-LN(2)/25))/(LN(2)/25)*Calculateur!BL200*Calculateur!BN200*VLOOKUP('Données projet'!$B$11,Paramètres!$A$1:$I$89,3,0)*0.475*44/12</f>
        <v>36.050323427463319</v>
      </c>
      <c r="BR200" s="21">
        <f>EXP(-LN(2)/2)*BR199+(1-EXP(-LN(2)/2))/(LN(2)/2)*BL200*BO200*VLOOKUP('Données projet'!$B$11,Paramètres!$A$1:$I$89,3,0)*0.475*44/12</f>
        <v>0.8671021223418075</v>
      </c>
      <c r="BS200" s="22">
        <f t="shared" si="169"/>
        <v>156.84111429295905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69.546492328464879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-1.1368683772161603E-13</v>
      </c>
      <c r="BZ200" s="13">
        <f>BY200*VLOOKUP('Données projet'!$B$12,Paramètres!$A$1:$I$89,3,0)*VLOOKUP('Données projet'!$B$12,Paramètres!$A$1:$I$89,5,0)</f>
        <v>-8.8675733422860506E-14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208.92677786250815</v>
      </c>
      <c r="CE200" s="59">
        <f t="shared" si="207"/>
        <v>207.54290142772214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2.1848409034671468</v>
      </c>
      <c r="CL200" s="21">
        <f>EXP(-LN(2)/25)*CL199+(1-EXP(-LN(2)/25))/(LN(2)/25)*Calculateur!CG200*Calculateur!CI200*VLOOKUP('Données projet'!$B$12,Paramètres!$A$1:$I$89,3,0)*0.475*44/12</f>
        <v>0.78037483152636922</v>
      </c>
      <c r="CM200" s="21">
        <f>EXP(-LN(2)/2)*CM199+(1-EXP(-LN(2)/2))/(LN(2)/2)*CG200*CJ200*VLOOKUP('Données projet'!$B$12,Paramètres!$A$1:$I$89,3,0)*0.475*44/12</f>
        <v>2.1112759829508406E-18</v>
      </c>
      <c r="CN200" s="22">
        <f t="shared" si="172"/>
        <v>2.965215734993516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69.546492328464879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2.5579538487363607E-13</v>
      </c>
      <c r="CU200" s="17">
        <f>CT200*VLOOKUP('Données projet'!$B$13,Paramètres!$A$1:$I$89,3,0)*VLOOKUP('Données projet'!$B$13,Paramètres!$A$1:$I$89,5,0)</f>
        <v>2.4341488824575211E-13</v>
      </c>
      <c r="CV200" s="13">
        <f t="shared" si="173"/>
        <v>3.2970717324875541E-12</v>
      </c>
      <c r="CW200" s="20">
        <f t="shared" si="174"/>
        <v>6.1663475311105072E-12</v>
      </c>
      <c r="CX200" s="59">
        <f t="shared" si="196"/>
        <v>291.67047187104401</v>
      </c>
      <c r="CY200" s="59">
        <f ca="1">AVERAGE(OFFSET($CX$3,0,0,'Données projet'!$E$13+1,1))-AVERAGE(OFFSET($H$3,0,0,'Données projet'!$E$13+1,1))</f>
        <v>470.42022791389275</v>
      </c>
      <c r="CZ200" s="59">
        <f t="shared" si="208"/>
        <v>300.26117330627346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17.549512059279209</v>
      </c>
      <c r="DG200" s="21">
        <f>EXP(-LN(2)/25)*DG199+(1-EXP(-LN(2)/25))/(LN(2)/25)*Calculateur!DB200*Calculateur!DD200*VLOOKUP('Données projet'!$B$13,Paramètres!$A$1:$I$89,3,0)*0.475*44/12</f>
        <v>9.3942020511847577</v>
      </c>
      <c r="DH200" s="21">
        <f>EXP(-LN(2)/2)*DH199+(1-EXP(-LN(2)/2))/(LN(2)/2)*DB200*DE200*VLOOKUP('Données projet'!$B$13,Paramètres!$A$1:$I$89,3,0)*0.475*44/12</f>
        <v>2.951197091883623E-9</v>
      </c>
      <c r="DI200" s="22">
        <f t="shared" si="175"/>
        <v>26.943714113415162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69.546492328464879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-2.8421709430404007E-13</v>
      </c>
      <c r="DP200" s="17">
        <f>DO200*VLOOKUP('Données projet'!$B$14,Paramètres!$A$1:$I$89,3,0)*VLOOKUP('Données projet'!$B$14,Paramètres!$A$1:$I$89,5,0)</f>
        <v>-2.7489477361086758E-13</v>
      </c>
      <c r="DQ200" s="13" t="e">
        <f t="shared" si="176"/>
        <v>#NUM!</v>
      </c>
      <c r="DR200" s="20" t="e">
        <f t="shared" si="177"/>
        <v>#NUM!</v>
      </c>
      <c r="DS200" s="59" t="e">
        <f t="shared" si="197"/>
        <v>#NUM!</v>
      </c>
      <c r="DT200" s="59">
        <f ca="1">AVERAGE(OFFSET($DS$3,0,0,'Données projet'!$E$14+1,1))-AVERAGE(OFFSET($H$3,0,0,'Données projet'!$E$14+1,1))</f>
        <v>537.37164071064103</v>
      </c>
      <c r="DU200" s="59">
        <f t="shared" si="209"/>
        <v>263.29777321132235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61.055596285850463</v>
      </c>
      <c r="EB200" s="21">
        <f>EXP(-LN(2)/25)*EB199+(1-EXP(-LN(2)/25))/(LN(2)/25)*Calculateur!DW200*Calculateur!DY200*VLOOKUP('Données projet'!$B$14,Paramètres!$A$1:$I$89,3,0)*0.475*44/12</f>
        <v>52.129896023477414</v>
      </c>
      <c r="EC200" s="21">
        <f>EXP(-LN(2)/2)*EC199+(1-EXP(-LN(2)/2))/(LN(2)/2)*DW200*DZ200*VLOOKUP('Données projet'!$B$14,Paramètres!$A$1:$I$89,3,0)*0.475*44/12</f>
        <v>5.2296326286574999</v>
      </c>
      <c r="ED200" s="22">
        <f t="shared" si="178"/>
        <v>118.41512493798538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69.546492328464879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69.546492328464879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69.546492328464879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69.546492328464879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45">
      <c r="A201" s="10">
        <f>A200+1</f>
        <v>198</v>
      </c>
      <c r="B201" s="73">
        <f>'Scénario référence'!$B$16*5+'Scénario référence'!$B$17*0+'Scénario référence'!$B$18*5</f>
        <v>2.8499999999999996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10.449999999999998</v>
      </c>
      <c r="H201" s="67">
        <f t="shared" si="192"/>
        <v>214.86666666666667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69.554359672674764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3.979039320256561E-13</v>
      </c>
      <c r="O201" s="13">
        <f>N201*VLOOKUP('Données projet'!$B$9,Paramètres!$A$1:$I$89,3,0)*VLOOKUP('Données projet'!$B$9,Paramètres!$A$1:$I$89,5,0)</f>
        <v>3.6002347769681362E-13</v>
      </c>
      <c r="P201" s="13">
        <f t="shared" si="203"/>
        <v>4.6593569189922594E-12</v>
      </c>
      <c r="Q201" s="20">
        <f t="shared" si="162"/>
        <v>8.7420875242334695E-12</v>
      </c>
      <c r="R201" s="59">
        <f t="shared" si="191"/>
        <v>291.69931879981624</v>
      </c>
      <c r="S201" s="59">
        <f ca="1">AVERAGE(OFFSET($R$3,0,0,'Données projet'!$E$9+1,1))-AVERAGE(OFFSET($H$3,0,0,'Données projet'!$E$9+1,1))</f>
        <v>719.20816951277925</v>
      </c>
      <c r="T201" s="59">
        <f t="shared" si="204"/>
        <v>237.1127421841087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80.499878436876941</v>
      </c>
      <c r="AA201" s="21">
        <f>EXP(-LN(2)/25)*AA200+(1-EXP(-LN(2)/25))/(LN(2)/25)*Calculateur!V201*Calculateur!X201*VLOOKUP('Données projet'!$B$9,Paramètres!$A$1:$I$89,3,0)*0.475*44/12</f>
        <v>10.315262619511932</v>
      </c>
      <c r="AB201" s="21">
        <f>EXP(-LN(2)/2)*AB200+(1-EXP(-LN(2)/2))/(LN(2)/2)*V201*Y201*VLOOKUP('Données projet'!$B$9,Paramètres!$A$1:$I$89,3,0)*0.475*44/12</f>
        <v>1.5351261818781278E-5</v>
      </c>
      <c r="AC201" s="22">
        <f t="shared" si="163"/>
        <v>90.81515640765069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69.554359672674764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5.6843418860808015E-14</v>
      </c>
      <c r="AJ201" s="13">
        <f>AI201*VLOOKUP('Données projet'!$B$10,Paramètres!$A$1:$I$89,3,0)*VLOOKUP('Données projet'!$B$10,Paramètres!$A$1:$I$89,5,0)</f>
        <v>4.7884896048344674E-14</v>
      </c>
      <c r="AK201" s="13">
        <f t="shared" si="164"/>
        <v>7.8374629847779921E-13</v>
      </c>
      <c r="AL201" s="20">
        <f t="shared" si="165"/>
        <v>1.4484243304663672E-12</v>
      </c>
      <c r="AM201" s="59">
        <f t="shared" si="193"/>
        <v>291.69931879980891</v>
      </c>
      <c r="AN201" s="59">
        <f ca="1">AVERAGE(OFFSET($AM$3,0,0,'Données projet'!$E$10+1,1))-AVERAGE(OFFSET($H$3,0,0,'Données projet'!$E$10+1,1))</f>
        <v>442.79037205372367</v>
      </c>
      <c r="AO201" s="59">
        <f t="shared" si="205"/>
        <v>288.23553637727969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19.78313729463585</v>
      </c>
      <c r="AV201" s="21">
        <f>EXP(-LN(2)/25)*AV200+(1-EXP(-LN(2)/25))/(LN(2)/25)*Calculateur!AQ201*Calculateur!AS201*VLOOKUP('Données projet'!$B$10,Paramètres!$A$1:$I$89,3,0)*0.475*44/12</f>
        <v>2.1830039464314885</v>
      </c>
      <c r="AW201" s="21">
        <f>EXP(-LN(2)/2)*AW200+(1-EXP(-LN(2)/2))/(LN(2)/2)*AQ201*AT201*VLOOKUP('Données projet'!$B$10,Paramètres!$A$1:$I$89,3,0)*0.475*44/12</f>
        <v>1.0548750886075149E-13</v>
      </c>
      <c r="AX201" s="21">
        <f t="shared" si="166"/>
        <v>21.966141241067444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69.554359672674764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-2.8421709430404007E-13</v>
      </c>
      <c r="BE201" s="13">
        <f>BD201*VLOOKUP('Données projet'!$B$11,Paramètres!$A$1:$I$89,3,0)*VLOOKUP('Données projet'!$B$11,Paramètres!$A$1:$I$89,5,0)</f>
        <v>-2.8819613362429665E-13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559.91818701710872</v>
      </c>
      <c r="BJ201" s="59">
        <f t="shared" si="206"/>
        <v>273.47272623465915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117.57205835312823</v>
      </c>
      <c r="BQ201" s="21">
        <f>EXP(-LN(2)/25)*BQ200+(1-EXP(-LN(2)/25))/(LN(2)/25)*Calculateur!BL201*Calculateur!BN201*VLOOKUP('Données projet'!$B$11,Paramètres!$A$1:$I$89,3,0)*0.475*44/12</f>
        <v>35.064525437535217</v>
      </c>
      <c r="BR201" s="21">
        <f>EXP(-LN(2)/2)*BR200+(1-EXP(-LN(2)/2))/(LN(2)/2)*BL201*BO201*VLOOKUP('Données projet'!$B$11,Paramètres!$A$1:$I$89,3,0)*0.475*44/12</f>
        <v>0.61313379068913954</v>
      </c>
      <c r="BS201" s="22">
        <f t="shared" si="169"/>
        <v>153.2497175813526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69.554359672674764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-1.1368683772161603E-13</v>
      </c>
      <c r="BZ201" s="13">
        <f>BY201*VLOOKUP('Données projet'!$B$12,Paramètres!$A$1:$I$89,3,0)*VLOOKUP('Données projet'!$B$12,Paramètres!$A$1:$I$89,5,0)</f>
        <v>-8.8675733422860506E-14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208.92677786250815</v>
      </c>
      <c r="CE201" s="59">
        <f t="shared" si="207"/>
        <v>207.54290142772214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2.1419975059715215</v>
      </c>
      <c r="CL201" s="21">
        <f>EXP(-LN(2)/25)*CL200+(1-EXP(-LN(2)/25))/(LN(2)/25)*Calculateur!CG201*Calculateur!CI201*VLOOKUP('Données projet'!$B$12,Paramètres!$A$1:$I$89,3,0)*0.475*44/12</f>
        <v>0.75903544072015183</v>
      </c>
      <c r="CM201" s="21">
        <f>EXP(-LN(2)/2)*CM200+(1-EXP(-LN(2)/2))/(LN(2)/2)*CG201*CJ201*VLOOKUP('Données projet'!$B$12,Paramètres!$A$1:$I$89,3,0)*0.475*44/12</f>
        <v>1.4928975645008331E-18</v>
      </c>
      <c r="CN201" s="22">
        <f t="shared" si="172"/>
        <v>2.9010329466916733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69.554359672674764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2.5579538487363607E-13</v>
      </c>
      <c r="CU201" s="17">
        <f>CT201*VLOOKUP('Données projet'!$B$13,Paramètres!$A$1:$I$89,3,0)*VLOOKUP('Données projet'!$B$13,Paramètres!$A$1:$I$89,5,0)</f>
        <v>2.4341488824575211E-13</v>
      </c>
      <c r="CV201" s="13">
        <f t="shared" si="173"/>
        <v>3.2970717324875541E-12</v>
      </c>
      <c r="CW201" s="20">
        <f t="shared" si="174"/>
        <v>6.1663475311105072E-12</v>
      </c>
      <c r="CX201" s="59">
        <f t="shared" si="196"/>
        <v>291.69931879981362</v>
      </c>
      <c r="CY201" s="59">
        <f ca="1">AVERAGE(OFFSET($CX$3,0,0,'Données projet'!$E$13+1,1))-AVERAGE(OFFSET($H$3,0,0,'Données projet'!$E$13+1,1))</f>
        <v>470.42022791389275</v>
      </c>
      <c r="CZ201" s="59">
        <f t="shared" si="208"/>
        <v>300.26117330627346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17.205376831942154</v>
      </c>
      <c r="DG201" s="21">
        <f>EXP(-LN(2)/25)*DG200+(1-EXP(-LN(2)/25))/(LN(2)/25)*Calculateur!DB201*Calculateur!DD201*VLOOKUP('Données projet'!$B$13,Paramètres!$A$1:$I$89,3,0)*0.475*44/12</f>
        <v>9.137317102075496</v>
      </c>
      <c r="DH201" s="21">
        <f>EXP(-LN(2)/2)*DH200+(1-EXP(-LN(2)/2))/(LN(2)/2)*DB201*DE201*VLOOKUP('Données projet'!$B$13,Paramètres!$A$1:$I$89,3,0)*0.475*44/12</f>
        <v>2.0868114762889283E-9</v>
      </c>
      <c r="DI201" s="22">
        <f t="shared" si="175"/>
        <v>26.34269393610446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69.554359672674764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-2.8421709430404007E-13</v>
      </c>
      <c r="DP201" s="17">
        <f>DO201*VLOOKUP('Données projet'!$B$14,Paramètres!$A$1:$I$89,3,0)*VLOOKUP('Données projet'!$B$14,Paramètres!$A$1:$I$89,5,0)</f>
        <v>-2.7489477361086758E-13</v>
      </c>
      <c r="DQ201" s="13" t="e">
        <f t="shared" si="176"/>
        <v>#NUM!</v>
      </c>
      <c r="DR201" s="20" t="e">
        <f t="shared" si="177"/>
        <v>#NUM!</v>
      </c>
      <c r="DS201" s="59" t="e">
        <f t="shared" si="197"/>
        <v>#NUM!</v>
      </c>
      <c r="DT201" s="59">
        <f ca="1">AVERAGE(OFFSET($DS$3,0,0,'Données projet'!$E$14+1,1))-AVERAGE(OFFSET($H$3,0,0,'Données projet'!$E$14+1,1))</f>
        <v>537.37164071064103</v>
      </c>
      <c r="DU201" s="59">
        <f t="shared" si="209"/>
        <v>263.29777321132235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59.8583332829215</v>
      </c>
      <c r="EB201" s="21">
        <f>EXP(-LN(2)/25)*EB200+(1-EXP(-LN(2)/25))/(LN(2)/25)*Calculateur!DW201*Calculateur!DY201*VLOOKUP('Données projet'!$B$14,Paramètres!$A$1:$I$89,3,0)*0.475*44/12</f>
        <v>50.704401275323335</v>
      </c>
      <c r="EC201" s="21">
        <f>EXP(-LN(2)/2)*EC200+(1-EXP(-LN(2)/2))/(LN(2)/2)*DW201*DZ201*VLOOKUP('Données projet'!$B$14,Paramètres!$A$1:$I$89,3,0)*0.475*44/12</f>
        <v>3.6979086948381483</v>
      </c>
      <c r="ED201" s="22">
        <f t="shared" si="178"/>
        <v>114.26064325308299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69.554359672674764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69.554359672674764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69.554359672674764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69.554359672674764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45">
      <c r="A202" s="10">
        <f t="shared" si="161"/>
        <v>199</v>
      </c>
      <c r="B202" s="73">
        <f>'Scénario référence'!$B$16*5+'Scénario référence'!$B$17*0+'Scénario référence'!$B$18*5</f>
        <v>2.8499999999999996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10.449999999999998</v>
      </c>
      <c r="H202" s="67">
        <f t="shared" si="192"/>
        <v>214.86666666666667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69.562090536051343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3.979039320256561E-13</v>
      </c>
      <c r="O202" s="13">
        <f>N202*VLOOKUP('Données projet'!$B$9,Paramètres!$A$1:$I$89,3,0)*VLOOKUP('Données projet'!$B$9,Paramètres!$A$1:$I$89,5,0)</f>
        <v>3.6002347769681362E-13</v>
      </c>
      <c r="P202" s="13">
        <f t="shared" si="203"/>
        <v>4.6593569189922594E-12</v>
      </c>
      <c r="Q202" s="20">
        <f t="shared" si="162"/>
        <v>8.7420875242334695E-12</v>
      </c>
      <c r="R202" s="59">
        <f t="shared" si="191"/>
        <v>291.72766529886366</v>
      </c>
      <c r="S202" s="59">
        <f ca="1">AVERAGE(OFFSET($R$3,0,0,'Données projet'!$E$9+1,1))-AVERAGE(OFFSET($H$3,0,0,'Données projet'!$E$9+1,1))</f>
        <v>719.20816951277925</v>
      </c>
      <c r="T202" s="59">
        <f t="shared" si="204"/>
        <v>237.1127421841087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78.921324920807407</v>
      </c>
      <c r="AA202" s="21">
        <f>EXP(-LN(2)/25)*AA201+(1-EXP(-LN(2)/25))/(LN(2)/25)*Calculateur!V202*Calculateur!X202*VLOOKUP('Données projet'!$B$9,Paramètres!$A$1:$I$89,3,0)*0.475*44/12</f>
        <v>10.033191220725293</v>
      </c>
      <c r="AB202" s="21">
        <f>EXP(-LN(2)/2)*AB201+(1-EXP(-LN(2)/2))/(LN(2)/2)*V202*Y202*VLOOKUP('Données projet'!$B$9,Paramètres!$A$1:$I$89,3,0)*0.475*44/12</f>
        <v>1.0854981331830375E-5</v>
      </c>
      <c r="AC202" s="22">
        <f t="shared" si="163"/>
        <v>88.954526996514033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69.562090536051343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5.6843418860808015E-14</v>
      </c>
      <c r="AJ202" s="13">
        <f>AI202*VLOOKUP('Données projet'!$B$10,Paramètres!$A$1:$I$89,3,0)*VLOOKUP('Données projet'!$B$10,Paramètres!$A$1:$I$89,5,0)</f>
        <v>4.7884896048344674E-14</v>
      </c>
      <c r="AK202" s="13">
        <f t="shared" si="164"/>
        <v>7.8374629847779921E-13</v>
      </c>
      <c r="AL202" s="20">
        <f t="shared" si="165"/>
        <v>1.4484243304663672E-12</v>
      </c>
      <c r="AM202" s="59">
        <f t="shared" si="193"/>
        <v>291.72766529885632</v>
      </c>
      <c r="AN202" s="59">
        <f ca="1">AVERAGE(OFFSET($AM$3,0,0,'Données projet'!$E$10+1,1))-AVERAGE(OFFSET($H$3,0,0,'Données projet'!$E$10+1,1))</f>
        <v>442.79037205372367</v>
      </c>
      <c r="AO202" s="59">
        <f t="shared" si="205"/>
        <v>288.23553637727969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19.395202038810321</v>
      </c>
      <c r="AV202" s="21">
        <f>EXP(-LN(2)/25)*AV201+(1-EXP(-LN(2)/25))/(LN(2)/25)*Calculateur!AQ202*Calculateur!AS202*VLOOKUP('Données projet'!$B$10,Paramètres!$A$1:$I$89,3,0)*0.475*44/12</f>
        <v>2.1233095887171314</v>
      </c>
      <c r="AW202" s="21">
        <f>EXP(-LN(2)/2)*AW201+(1-EXP(-LN(2)/2))/(LN(2)/2)*AQ202*AT202*VLOOKUP('Données projet'!$B$10,Paramètres!$A$1:$I$89,3,0)*0.475*44/12</f>
        <v>7.4590932845913393E-14</v>
      </c>
      <c r="AX202" s="21">
        <f t="shared" si="166"/>
        <v>21.518511627527527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69.562090536051343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-2.8421709430404007E-13</v>
      </c>
      <c r="BE202" s="13">
        <f>BD202*VLOOKUP('Données projet'!$B$11,Paramètres!$A$1:$I$89,3,0)*VLOOKUP('Données projet'!$B$11,Paramètres!$A$1:$I$89,5,0)</f>
        <v>-2.8819613362429665E-13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559.91818701710872</v>
      </c>
      <c r="BJ202" s="59">
        <f t="shared" si="206"/>
        <v>273.47272623465915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115.26654200069802</v>
      </c>
      <c r="BQ202" s="21">
        <f>EXP(-LN(2)/25)*BQ201+(1-EXP(-LN(2)/25))/(LN(2)/25)*Calculateur!BL202*Calculateur!BN202*VLOOKUP('Données projet'!$B$11,Paramètres!$A$1:$I$89,3,0)*0.475*44/12</f>
        <v>34.105684145482563</v>
      </c>
      <c r="BR202" s="21">
        <f>EXP(-LN(2)/2)*BR201+(1-EXP(-LN(2)/2))/(LN(2)/2)*BL202*BO202*VLOOKUP('Données projet'!$B$11,Paramètres!$A$1:$I$89,3,0)*0.475*44/12</f>
        <v>0.43355106117090386</v>
      </c>
      <c r="BS202" s="22">
        <f t="shared" si="169"/>
        <v>149.8057772073515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69.562090536051343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-1.1368683772161603E-13</v>
      </c>
      <c r="BZ202" s="13">
        <f>BY202*VLOOKUP('Données projet'!$B$12,Paramètres!$A$1:$I$89,3,0)*VLOOKUP('Données projet'!$B$12,Paramètres!$A$1:$I$89,5,0)</f>
        <v>-8.8675733422860506E-14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208.92677786250815</v>
      </c>
      <c r="CE202" s="59">
        <f t="shared" si="207"/>
        <v>207.54290142772214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2.0999942413688935</v>
      </c>
      <c r="CL202" s="21">
        <f>EXP(-LN(2)/25)*CL201+(1-EXP(-LN(2)/25))/(LN(2)/25)*Calculateur!CG202*Calculateur!CI202*VLOOKUP('Données projet'!$B$12,Paramètres!$A$1:$I$89,3,0)*0.475*44/12</f>
        <v>0.73827957667772026</v>
      </c>
      <c r="CM202" s="21">
        <f>EXP(-LN(2)/2)*CM201+(1-EXP(-LN(2)/2))/(LN(2)/2)*CG202*CJ202*VLOOKUP('Données projet'!$B$12,Paramètres!$A$1:$I$89,3,0)*0.475*44/12</f>
        <v>1.0556379914754203E-18</v>
      </c>
      <c r="CN202" s="22">
        <f t="shared" si="172"/>
        <v>2.8382738180466136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69.562090536051343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2.5579538487363607E-13</v>
      </c>
      <c r="CU202" s="17">
        <f>CT202*VLOOKUP('Données projet'!$B$13,Paramètres!$A$1:$I$89,3,0)*VLOOKUP('Données projet'!$B$13,Paramètres!$A$1:$I$89,5,0)</f>
        <v>2.4341488824575211E-13</v>
      </c>
      <c r="CV202" s="13">
        <f t="shared" si="173"/>
        <v>3.2970717324875541E-12</v>
      </c>
      <c r="CW202" s="20">
        <f t="shared" si="174"/>
        <v>6.1663475311105072E-12</v>
      </c>
      <c r="CX202" s="59">
        <f t="shared" si="196"/>
        <v>291.72766529886104</v>
      </c>
      <c r="CY202" s="59">
        <f ca="1">AVERAGE(OFFSET($CX$3,0,0,'Données projet'!$E$13+1,1))-AVERAGE(OFFSET($H$3,0,0,'Données projet'!$E$13+1,1))</f>
        <v>470.42022791389275</v>
      </c>
      <c r="CZ202" s="59">
        <f t="shared" si="208"/>
        <v>300.26117330627346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16.867989886511413</v>
      </c>
      <c r="DG202" s="21">
        <f>EXP(-LN(2)/25)*DG201+(1-EXP(-LN(2)/25))/(LN(2)/25)*Calculateur!DB202*Calculateur!DD202*VLOOKUP('Données projet'!$B$13,Paramètres!$A$1:$I$89,3,0)*0.475*44/12</f>
        <v>8.887456685408619</v>
      </c>
      <c r="DH202" s="21">
        <f>EXP(-LN(2)/2)*DH201+(1-EXP(-LN(2)/2))/(LN(2)/2)*DB202*DE202*VLOOKUP('Données projet'!$B$13,Paramètres!$A$1:$I$89,3,0)*0.475*44/12</f>
        <v>1.4755985459418115E-9</v>
      </c>
      <c r="DI202" s="22">
        <f t="shared" si="175"/>
        <v>25.755446573395631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69.562090536051343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-2.8421709430404007E-13</v>
      </c>
      <c r="DP202" s="17">
        <f>DO202*VLOOKUP('Données projet'!$B$14,Paramètres!$A$1:$I$89,3,0)*VLOOKUP('Données projet'!$B$14,Paramètres!$A$1:$I$89,5,0)</f>
        <v>-2.7489477361086758E-13</v>
      </c>
      <c r="DQ202" s="13" t="e">
        <f t="shared" si="176"/>
        <v>#NUM!</v>
      </c>
      <c r="DR202" s="20" t="e">
        <f t="shared" si="177"/>
        <v>#NUM!</v>
      </c>
      <c r="DS202" s="59" t="e">
        <f t="shared" si="197"/>
        <v>#NUM!</v>
      </c>
      <c r="DT202" s="59">
        <f ca="1">AVERAGE(OFFSET($DS$3,0,0,'Données projet'!$E$14+1,1))-AVERAGE(OFFSET($H$3,0,0,'Données projet'!$E$14+1,1))</f>
        <v>537.37164071064103</v>
      </c>
      <c r="DU202" s="59">
        <f t="shared" si="209"/>
        <v>263.29777321132235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58.684547877221654</v>
      </c>
      <c r="EB202" s="21">
        <f>EXP(-LN(2)/25)*EB201+(1-EXP(-LN(2)/25))/(LN(2)/25)*Calculateur!DW202*Calculateur!DY202*VLOOKUP('Données projet'!$B$14,Paramètres!$A$1:$I$89,3,0)*0.475*44/12</f>
        <v>49.317886756021039</v>
      </c>
      <c r="EC202" s="21">
        <f>EXP(-LN(2)/2)*EC201+(1-EXP(-LN(2)/2))/(LN(2)/2)*DW202*DZ202*VLOOKUP('Données projet'!$B$14,Paramètres!$A$1:$I$89,3,0)*0.475*44/12</f>
        <v>2.6148163143287504</v>
      </c>
      <c r="ED202" s="22">
        <f t="shared" si="178"/>
        <v>110.61725094757145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69.562090536051343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69.562090536051343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69.562090536051343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69.562090536051343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4.65" thickBot="1" x14ac:dyDescent="0.5">
      <c r="A203" s="10">
        <f>A202+1</f>
        <v>200</v>
      </c>
      <c r="B203" s="73">
        <f>'Scénario référence'!$B$16*5+'Scénario référence'!$B$17*0+'Scénario référence'!$B$18*5</f>
        <v>2.8499999999999996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10.449999999999998</v>
      </c>
      <c r="H203" s="67">
        <f t="shared" si="192"/>
        <v>214.86666666666667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69.569687286231954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3.979039320256561E-13</v>
      </c>
      <c r="O203" s="13">
        <f>N203*VLOOKUP('Données projet'!$B$9,Paramètres!$A$1:$I$89,3,0)*VLOOKUP('Données projet'!$B$9,Paramètres!$A$1:$I$89,5,0)</f>
        <v>3.6002347769681362E-13</v>
      </c>
      <c r="P203" s="13">
        <f t="shared" si="203"/>
        <v>4.6593569189922594E-12</v>
      </c>
      <c r="Q203" s="20">
        <f t="shared" si="162"/>
        <v>8.7420875242334695E-12</v>
      </c>
      <c r="R203" s="59">
        <f t="shared" si="191"/>
        <v>291.7555200495259</v>
      </c>
      <c r="S203" s="59">
        <f ca="1">AVERAGE(OFFSET($R$3,0,0,'Données projet'!$E$9+1,1))-AVERAGE(OFFSET($H$3,0,0,'Données projet'!$E$9+1,1))</f>
        <v>719.20816951277925</v>
      </c>
      <c r="T203" s="59">
        <f t="shared" si="204"/>
        <v>237.1127421841087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77.373725876365413</v>
      </c>
      <c r="AA203" s="21">
        <f>EXP(-LN(2)/25)*AA202+(1-EXP(-LN(2)/25))/(LN(2)/25)*Calculateur!V203*Calculateur!X203*VLOOKUP('Données projet'!$B$9,Paramètres!$A$1:$I$89,3,0)*0.475*44/12</f>
        <v>9.7588330791719642</v>
      </c>
      <c r="AB203" s="21">
        <f>EXP(-LN(2)/2)*AB202+(1-EXP(-LN(2)/2))/(LN(2)/2)*V203*Y203*VLOOKUP('Données projet'!$B$9,Paramètres!$A$1:$I$89,3,0)*0.475*44/12</f>
        <v>7.6756309093906389E-6</v>
      </c>
      <c r="AC203" s="22">
        <f t="shared" si="163"/>
        <v>87.132566631168288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69.569687286231954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5.6843418860808015E-14</v>
      </c>
      <c r="AJ203" s="13">
        <f>AI203*VLOOKUP('Données projet'!$B$10,Paramètres!$A$1:$I$89,3,0)*VLOOKUP('Données projet'!$B$10,Paramètres!$A$1:$I$89,5,0)</f>
        <v>4.7884896048344674E-14</v>
      </c>
      <c r="AK203" s="13">
        <f t="shared" si="164"/>
        <v>7.8374629847779921E-13</v>
      </c>
      <c r="AL203" s="20">
        <f t="shared" si="165"/>
        <v>1.4484243304663672E-12</v>
      </c>
      <c r="AM203" s="59">
        <f t="shared" si="193"/>
        <v>291.75552004951857</v>
      </c>
      <c r="AN203" s="59">
        <f ca="1">AVERAGE(OFFSET($AM$3,0,0,'Données projet'!$E$10+1,1))-AVERAGE(OFFSET($H$3,0,0,'Données projet'!$E$10+1,1))</f>
        <v>442.79037205372367</v>
      </c>
      <c r="AO203" s="59">
        <f t="shared" si="205"/>
        <v>288.23553637727969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19.014873956734387</v>
      </c>
      <c r="AV203" s="21">
        <f>EXP(-LN(2)/25)*AV202+(1-EXP(-LN(2)/25))/(LN(2)/25)*Calculateur!AQ203*Calculateur!AS203*VLOOKUP('Données projet'!$B$10,Paramètres!$A$1:$I$89,3,0)*0.475*44/12</f>
        <v>2.0652475763536629</v>
      </c>
      <c r="AW203" s="21">
        <f>EXP(-LN(2)/2)*AW202+(1-EXP(-LN(2)/2))/(LN(2)/2)*AQ203*AT203*VLOOKUP('Données projet'!$B$10,Paramètres!$A$1:$I$89,3,0)*0.475*44/12</f>
        <v>5.2743754430375743E-14</v>
      </c>
      <c r="AX203" s="21">
        <f t="shared" si="166"/>
        <v>21.080121533088104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69.569687286231954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-2.8421709430404007E-13</v>
      </c>
      <c r="BE203" s="13">
        <f>BD203*VLOOKUP('Données projet'!$B$11,Paramètres!$A$1:$I$89,3,0)*VLOOKUP('Données projet'!$B$11,Paramètres!$A$1:$I$89,5,0)</f>
        <v>-2.8819613362429665E-13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559.91818701710872</v>
      </c>
      <c r="BJ203" s="59">
        <f t="shared" si="206"/>
        <v>273.47272623465915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113.00623541771284</v>
      </c>
      <c r="BQ203" s="21">
        <f>EXP(-LN(2)/25)*BQ202+(1-EXP(-LN(2)/25))/(LN(2)/25)*Calculateur!BL203*Calculateur!BN203*VLOOKUP('Données projet'!$B$11,Paramètres!$A$1:$I$89,3,0)*0.475*44/12</f>
        <v>33.173062418984365</v>
      </c>
      <c r="BR203" s="21">
        <f>EXP(-LN(2)/2)*BR202+(1-EXP(-LN(2)/2))/(LN(2)/2)*BL203*BO203*VLOOKUP('Données projet'!$B$11,Paramètres!$A$1:$I$89,3,0)*0.475*44/12</f>
        <v>0.30656689534456982</v>
      </c>
      <c r="BS203" s="22">
        <f t="shared" si="169"/>
        <v>146.48586473204176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69.569687286231954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-1.1368683772161603E-13</v>
      </c>
      <c r="BZ203" s="13">
        <f>BY203*VLOOKUP('Données projet'!$B$12,Paramètres!$A$1:$I$89,3,0)*VLOOKUP('Données projet'!$B$12,Paramètres!$A$1:$I$89,5,0)</f>
        <v>-8.8675733422860506E-14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208.92677786250815</v>
      </c>
      <c r="CE203" s="59">
        <f t="shared" si="207"/>
        <v>207.54290142772214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2.0588146351656613</v>
      </c>
      <c r="CL203" s="21">
        <f>EXP(-LN(2)/25)*CL202+(1-EXP(-LN(2)/25))/(LN(2)/25)*Calculateur!CG203*Calculateur!CI203*VLOOKUP('Données projet'!$B$12,Paramètres!$A$1:$I$89,3,0)*0.475*44/12</f>
        <v>0.71809128282903245</v>
      </c>
      <c r="CM203" s="21">
        <f>EXP(-LN(2)/2)*CM202+(1-EXP(-LN(2)/2))/(LN(2)/2)*CG203*CJ203*VLOOKUP('Données projet'!$B$12,Paramètres!$A$1:$I$89,3,0)*0.475*44/12</f>
        <v>7.4644878225041656E-19</v>
      </c>
      <c r="CN203" s="22">
        <f t="shared" si="172"/>
        <v>2.7769059179946938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69.569687286231954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2.5579538487363607E-13</v>
      </c>
      <c r="CU203" s="17">
        <f>CT203*VLOOKUP('Données projet'!$B$13,Paramètres!$A$1:$I$89,3,0)*VLOOKUP('Données projet'!$B$13,Paramètres!$A$1:$I$89,5,0)</f>
        <v>2.4341488824575211E-13</v>
      </c>
      <c r="CV203" s="13">
        <f t="shared" si="173"/>
        <v>3.2970717324875541E-12</v>
      </c>
      <c r="CW203" s="20">
        <f t="shared" si="174"/>
        <v>6.1663475311105072E-12</v>
      </c>
      <c r="CX203" s="59">
        <f t="shared" si="196"/>
        <v>291.75552004952328</v>
      </c>
      <c r="CY203" s="59">
        <f ca="1">AVERAGE(OFFSET($CX$3,0,0,'Données projet'!$E$13+1,1))-AVERAGE(OFFSET($H$3,0,0,'Données projet'!$E$13+1,1))</f>
        <v>470.42022791389275</v>
      </c>
      <c r="CZ203" s="59">
        <f t="shared" si="208"/>
        <v>300.26117330627346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16.537218893294856</v>
      </c>
      <c r="DG203" s="21">
        <f>EXP(-LN(2)/25)*DG202+(1-EXP(-LN(2)/25))/(LN(2)/25)*Calculateur!DB203*Calculateur!DD203*VLOOKUP('Données projet'!$B$13,Paramètres!$A$1:$I$89,3,0)*0.475*44/12</f>
        <v>8.6444287149750849</v>
      </c>
      <c r="DH203" s="21">
        <f>EXP(-LN(2)/2)*DH202+(1-EXP(-LN(2)/2))/(LN(2)/2)*DB203*DE203*VLOOKUP('Données projet'!$B$13,Paramètres!$A$1:$I$89,3,0)*0.475*44/12</f>
        <v>1.0434057381444642E-9</v>
      </c>
      <c r="DI203" s="22">
        <f t="shared" si="175"/>
        <v>25.181647609313348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69.569687286231954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-2.8421709430404007E-13</v>
      </c>
      <c r="DP203" s="17">
        <f>DO203*VLOOKUP('Données projet'!$B$14,Paramètres!$A$1:$I$89,3,0)*VLOOKUP('Données projet'!$B$14,Paramètres!$A$1:$I$89,5,0)</f>
        <v>-2.7489477361086758E-13</v>
      </c>
      <c r="DQ203" s="13" t="e">
        <f t="shared" si="176"/>
        <v>#NUM!</v>
      </c>
      <c r="DR203" s="20" t="e">
        <f t="shared" si="177"/>
        <v>#NUM!</v>
      </c>
      <c r="DS203" s="59" t="e">
        <f t="shared" si="197"/>
        <v>#NUM!</v>
      </c>
      <c r="DT203" s="59">
        <f ca="1">AVERAGE(OFFSET($DS$3,0,0,'Données projet'!$E$14+1,1))-AVERAGE(OFFSET($H$3,0,0,'Données projet'!$E$14+1,1))</f>
        <v>537.37164071064103</v>
      </c>
      <c r="DU203" s="59">
        <f t="shared" si="209"/>
        <v>263.29777321132235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57.533779687389178</v>
      </c>
      <c r="EB203" s="21">
        <f>EXP(-LN(2)/25)*EB202+(1-EXP(-LN(2)/25))/(LN(2)/25)*Calculateur!DW203*Calculateur!DY203*VLOOKUP('Données projet'!$B$14,Paramètres!$A$1:$I$89,3,0)*0.475*44/12</f>
        <v>47.969286549162696</v>
      </c>
      <c r="EC203" s="21">
        <f>EXP(-LN(2)/2)*EC202+(1-EXP(-LN(2)/2))/(LN(2)/2)*DW203*DZ203*VLOOKUP('Données projet'!$B$14,Paramètres!$A$1:$I$89,3,0)*0.475*44/12</f>
        <v>1.8489543474190746</v>
      </c>
      <c r="ED203" s="22">
        <f t="shared" si="178"/>
        <v>107.35202058397095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69.569687286231954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69.569687286231954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69.569687286231954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69.569687286231954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4.65" thickBot="1" x14ac:dyDescent="0.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4.65" thickBot="1" x14ac:dyDescent="0.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1.1636646418946561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1.175998897105349</v>
      </c>
      <c r="BA205" s="82">
        <f>EXP(LN('Données projet'!B88)/'Données projet'!A88)</f>
        <v>1.0924684246274448</v>
      </c>
      <c r="BV205" s="82">
        <f>EXP(LN('Données projet'!B114)/'Données projet'!A114)</f>
        <v>1.2414494093563335</v>
      </c>
      <c r="CQ205" s="82">
        <f>EXP(LN('Données projet'!B140)/'Données projet'!A140)</f>
        <v>1.141469227569226</v>
      </c>
      <c r="DL205" s="82">
        <f>EXP(LN('Données projet'!B166)/'Données projet'!A166)</f>
        <v>1.0924684246274448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6484375" defaultRowHeight="14.25" x14ac:dyDescent="0.45"/>
  <cols>
    <col min="1" max="1" width="23.46484375" style="4" bestFit="1" customWidth="1"/>
    <col min="2" max="2" width="27.59765625" style="4" bestFit="1" customWidth="1"/>
    <col min="3" max="3" width="11.9296875" style="4" bestFit="1" customWidth="1"/>
    <col min="4" max="4" width="40" style="4" bestFit="1" customWidth="1"/>
    <col min="5" max="5" width="11.9296875" style="4" bestFit="1" customWidth="1"/>
    <col min="6" max="6" width="13.59765625" style="4" bestFit="1" customWidth="1"/>
    <col min="7" max="7" width="11.46484375" style="4" bestFit="1" customWidth="1"/>
    <col min="8" max="8" width="39" style="4" bestFit="1" customWidth="1"/>
    <col min="9" max="9" width="16.59765625" style="4" customWidth="1"/>
    <col min="10" max="14" width="11.46484375" style="4"/>
    <col min="15" max="15" width="23.46484375" style="4" bestFit="1" customWidth="1"/>
    <col min="16" max="16384" width="11.46484375" style="4"/>
  </cols>
  <sheetData>
    <row r="1" spans="1:16" ht="43.15" thickBot="1" x14ac:dyDescent="0.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4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2" t="s">
        <v>238</v>
      </c>
      <c r="P2" s="121">
        <v>0</v>
      </c>
    </row>
    <row r="3" spans="1:16" ht="14.65" thickBot="1" x14ac:dyDescent="0.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3"/>
      <c r="P3" s="128">
        <v>0.2</v>
      </c>
    </row>
    <row r="4" spans="1:16" ht="14.65" thickBot="1" x14ac:dyDescent="0.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4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2" t="s">
        <v>237</v>
      </c>
      <c r="P5" s="121">
        <v>0</v>
      </c>
    </row>
    <row r="6" spans="1:16" x14ac:dyDescent="0.4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4"/>
      <c r="P6" s="129">
        <v>0.05</v>
      </c>
    </row>
    <row r="7" spans="1:16" x14ac:dyDescent="0.4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4"/>
      <c r="P7" s="129">
        <v>0.1</v>
      </c>
    </row>
    <row r="8" spans="1:16" ht="14.65" thickBot="1" x14ac:dyDescent="0.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3"/>
      <c r="P8" s="128">
        <v>0.15</v>
      </c>
    </row>
    <row r="9" spans="1:16" ht="14.65" thickBot="1" x14ac:dyDescent="0.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4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2" t="s">
        <v>236</v>
      </c>
      <c r="P10" s="121">
        <v>0</v>
      </c>
    </row>
    <row r="11" spans="1:16" ht="14.65" thickBot="1" x14ac:dyDescent="0.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3"/>
      <c r="P11" s="128">
        <v>0.1</v>
      </c>
    </row>
    <row r="12" spans="1:16" x14ac:dyDescent="0.4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4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4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4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4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4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4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4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4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4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4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4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4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4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4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4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4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4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4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4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4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4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4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4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4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4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4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4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4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4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4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4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4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4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4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4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4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4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4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4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4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4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4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4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4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4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4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4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4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4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4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4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4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4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4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4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4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4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4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4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4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4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4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4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4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4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4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4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4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4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4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4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4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4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4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4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4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4.65" thickBot="1" x14ac:dyDescent="0.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45">
      <c r="A93" s="122" t="s">
        <v>208</v>
      </c>
    </row>
    <row r="94" spans="1:14" x14ac:dyDescent="0.45">
      <c r="A94" s="122" t="s">
        <v>209</v>
      </c>
    </row>
    <row r="95" spans="1:14" x14ac:dyDescent="0.4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C1" zoomScale="90" zoomScaleNormal="90" workbookViewId="0">
      <selection activeCell="L23" sqref="L23"/>
    </sheetView>
  </sheetViews>
  <sheetFormatPr baseColWidth="10" defaultColWidth="11.46484375" defaultRowHeight="14.25" x14ac:dyDescent="0.45"/>
  <cols>
    <col min="1" max="1" width="22.9296875" style="1" bestFit="1" customWidth="1"/>
    <col min="2" max="2" width="10.53125" style="1" bestFit="1" customWidth="1"/>
    <col min="3" max="3" width="15.53125" style="1" bestFit="1" customWidth="1"/>
    <col min="4" max="4" width="13.46484375" style="1" bestFit="1" customWidth="1"/>
    <col min="5" max="8" width="11.46484375" style="1"/>
    <col min="9" max="13" width="11.46484375" style="62"/>
    <col min="14" max="15" width="11.46484375" style="1"/>
    <col min="16" max="17" width="13.46484375" style="1" customWidth="1"/>
    <col min="18" max="16384" width="11.46484375" style="1"/>
  </cols>
  <sheetData>
    <row r="1" spans="1:62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5.9" thickBot="1" x14ac:dyDescent="0.8">
      <c r="A2" s="273" t="s">
        <v>271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5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4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4.65" thickBot="1" x14ac:dyDescent="0.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7.4" thickBot="1" x14ac:dyDescent="0.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45">
      <c r="A6" s="145" t="str">
        <f>IF('Données projet'!$B$9="","",'Données projet'!$B$9)</f>
        <v>Chêne sessile</v>
      </c>
      <c r="B6" s="146">
        <f>'Données projet'!D9</f>
        <v>5.7075000000000005</v>
      </c>
      <c r="C6" s="147">
        <f ca="1">IF(OR('Données projet'!B9="",'Données projet'!C9="",'Données projet'!C9=0%),0,Calculateur!S3)</f>
        <v>719.20816951277925</v>
      </c>
      <c r="D6" s="147">
        <f>IF(OR('Données projet'!B9="",'Données projet'!C9="",'Données projet'!C9=0%),0,Calculateur!T3)</f>
        <v>237.1127421841087</v>
      </c>
      <c r="E6" s="147">
        <f ca="1">MIN(C6,D6)</f>
        <v>237.1127421841087</v>
      </c>
      <c r="F6" s="147">
        <f ca="1">E6*B6</f>
        <v>1353.3209760158004</v>
      </c>
      <c r="G6" s="147">
        <f ca="1">F6*(100%-'Données projet'!$C$24)*(100%-'Données projet'!$C$25)*(100%-'Données projet'!$C$26)*(100%-'Données projet'!$C$27)</f>
        <v>1157.0894344935093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0</v>
      </c>
      <c r="K6" s="151">
        <f>J6*(100%-'Données projet'!$C$24)*(100%-'Données projet'!$C$25)*(100%-'Données projet'!$C$26)*(100%-'Données projet'!$C$27)</f>
        <v>0</v>
      </c>
      <c r="L6" s="152">
        <f ca="1">G6+I6+K6</f>
        <v>1157.0894344935093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45">
      <c r="A7" s="153" t="str">
        <f>IF('Données projet'!$B$10="","",'Données projet'!$B$10)</f>
        <v>Chêne pédonculé</v>
      </c>
      <c r="B7" s="154">
        <f>'Données projet'!D10</f>
        <v>0.45660000000000001</v>
      </c>
      <c r="C7" s="147">
        <f ca="1">IF(OR('Données projet'!B10="",'Données projet'!C10="",'Données projet'!C10=0%),0,Calculateur!AN3)</f>
        <v>442.79037205372367</v>
      </c>
      <c r="D7" s="147">
        <f>IF(OR('Données projet'!B10="",'Données projet'!C10="",'Données projet'!C10=0%),0,Calculateur!AO3)</f>
        <v>288.23553637727969</v>
      </c>
      <c r="E7" s="147">
        <f t="shared" ref="E7:E15" ca="1" si="0">MIN(C7,D7)</f>
        <v>288.23553637727969</v>
      </c>
      <c r="F7" s="147">
        <f t="shared" ref="F7:F15" ca="1" si="1">E7*B7</f>
        <v>131.6083459098659</v>
      </c>
      <c r="G7" s="147">
        <f ca="1">F7*(100%-'Données projet'!$C$24)*(100%-'Données projet'!$C$25)*(100%-'Données projet'!$C$26)*(100%-'Données projet'!$C$27)</f>
        <v>112.52513575293536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112.52513575293536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45">
      <c r="A8" s="153" t="str">
        <f>IF('Données projet'!$B$11="","",'Données projet'!$B$11)</f>
        <v>Chêne pubescent</v>
      </c>
      <c r="B8" s="154">
        <f>'Données projet'!D11</f>
        <v>0.76100000000000012</v>
      </c>
      <c r="C8" s="147">
        <f ca="1">IF(OR('Données projet'!B11="",'Données projet'!C11="",'Données projet'!C11=0%),0,Calculateur!BI3)</f>
        <v>559.91818701710872</v>
      </c>
      <c r="D8" s="147">
        <f>IF(OR('Données projet'!B11="",'Données projet'!C11="",'Données projet'!C11=0%),0,Calculateur!BJ3)</f>
        <v>273.47272623465915</v>
      </c>
      <c r="E8" s="147">
        <f t="shared" ca="1" si="0"/>
        <v>273.47272623465915</v>
      </c>
      <c r="F8" s="147">
        <f t="shared" ca="1" si="1"/>
        <v>208.11274466457564</v>
      </c>
      <c r="G8" s="147">
        <f ca="1">F8*(100%-'Données projet'!$C$24)*(100%-'Données projet'!$C$25)*(100%-'Données projet'!$C$26)*(100%-'Données projet'!$C$27)</f>
        <v>177.93639668821217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177.93639668821217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45">
      <c r="A9" s="153" t="str">
        <f>IF('Données projet'!$B$12="","",'Données projet'!$B$12)</f>
        <v>Merisier</v>
      </c>
      <c r="B9" s="154">
        <f>'Données projet'!D12</f>
        <v>7.6100000000000001E-2</v>
      </c>
      <c r="C9" s="147">
        <f ca="1">IF(OR('Données projet'!B12="",'Données projet'!C12="",'Données projet'!C12=0%),0,Calculateur!CD3)</f>
        <v>208.92677786250815</v>
      </c>
      <c r="D9" s="147">
        <f>IF(OR('Données projet'!B12="",'Données projet'!C12="",'Données projet'!C12=0%),0,Calculateur!CE3)</f>
        <v>207.54290142772214</v>
      </c>
      <c r="E9" s="147">
        <f t="shared" ca="1" si="0"/>
        <v>207.54290142772214</v>
      </c>
      <c r="F9" s="147">
        <f t="shared" ca="1" si="1"/>
        <v>15.794014798649656</v>
      </c>
      <c r="G9" s="147">
        <f ca="1">F9*(100%-'Données projet'!$C$24)*(100%-'Données projet'!$C$25)*(100%-'Données projet'!$C$26)*(100%-'Données projet'!$C$27)</f>
        <v>13.503882652845455</v>
      </c>
      <c r="H9" s="155">
        <f>IF(OR('Données projet'!B12="",'Données projet'!C12="",'Données projet'!C12=0%),0,AVERAGE(Calculateur!$CN$3:$CN$33)*B9)</f>
        <v>0.11308656787932947</v>
      </c>
      <c r="I9" s="149">
        <f>H9*(100%-'Données projet'!$C$24)*(100%-'Données projet'!$C$25)*(100%-'Données projet'!$C$26)*(100%-'Données projet'!$C$27)</f>
        <v>9.6689015536826697E-2</v>
      </c>
      <c r="J9" s="150">
        <f>IF(OR('Données projet'!B12="",'Données projet'!C12="",'Données projet'!C12=0%),0,SUM(Calculateur!$CG$3:$CG$33)*VLOOKUP('Données projet'!$B$12,Paramètres!$A$1:$I$89,9,0)*B9)</f>
        <v>0.67075320512820513</v>
      </c>
      <c r="K9" s="151">
        <f>J9*(100%-'Données projet'!$C$24)*(100%-'Données projet'!$C$25)*(100%-'Données projet'!$C$26)*(100%-'Données projet'!$C$27)</f>
        <v>0.57349399038461535</v>
      </c>
      <c r="L9" s="152">
        <f t="shared" ca="1" si="2"/>
        <v>14.174065658766898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45">
      <c r="A10" s="153" t="str">
        <f>IF('Données projet'!$B$13="","",'Données projet'!$B$13)</f>
        <v>Charme</v>
      </c>
      <c r="B10" s="154">
        <f>'Données projet'!D13</f>
        <v>0.38050000000000006</v>
      </c>
      <c r="C10" s="147">
        <f ca="1">IF(OR('Données projet'!B13="",'Données projet'!C13="",'Données projet'!C13=0%),0,Calculateur!CY3)</f>
        <v>470.42022791389275</v>
      </c>
      <c r="D10" s="147">
        <f>IF(OR('Données projet'!B13="",'Données projet'!C13="",'Données projet'!C13=0%),0,Calculateur!CZ3)</f>
        <v>300.26117330627346</v>
      </c>
      <c r="E10" s="147">
        <f t="shared" ca="1" si="0"/>
        <v>300.26117330627346</v>
      </c>
      <c r="F10" s="147">
        <f t="shared" ca="1" si="1"/>
        <v>114.24937644303706</v>
      </c>
      <c r="G10" s="147">
        <f ca="1">F10*(100%-'Données projet'!$C$24)*(100%-'Données projet'!$C$25)*(100%-'Données projet'!$C$26)*(100%-'Données projet'!$C$27)</f>
        <v>97.683216858796683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ca="1" si="2"/>
        <v>97.683216858796683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45">
      <c r="A11" s="153" t="str">
        <f>IF('Données projet'!$B$14="","",'Données projet'!$B$14)</f>
        <v>Alisier torminal</v>
      </c>
      <c r="B11" s="154">
        <f>'Données projet'!D14</f>
        <v>0.2283</v>
      </c>
      <c r="C11" s="147">
        <f ca="1">IF(OR('Données projet'!B14="",'Données projet'!C14="",'Données projet'!C14=0%),0,Calculateur!DT3)</f>
        <v>537.37164071064103</v>
      </c>
      <c r="D11" s="147">
        <f>IF(OR('Données projet'!B14="",'Données projet'!C14="",'Données projet'!C14=0%),0,Calculateur!DU3)</f>
        <v>263.29777321132235</v>
      </c>
      <c r="E11" s="147">
        <f t="shared" ca="1" si="0"/>
        <v>263.29777321132235</v>
      </c>
      <c r="F11" s="147">
        <f t="shared" ca="1" si="1"/>
        <v>60.110881624144895</v>
      </c>
      <c r="G11" s="147">
        <f ca="1">F11*(100%-'Données projet'!$C$24)*(100%-'Données projet'!$C$25)*(100%-'Données projet'!$C$26)*(100%-'Données projet'!$C$27)</f>
        <v>51.394803788643884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ca="1" si="2"/>
        <v>51.394803788643884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4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4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4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4.65" thickBot="1" x14ac:dyDescent="0.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4.65" thickBot="1" x14ac:dyDescent="0.5">
      <c r="A16" s="209"/>
      <c r="B16" s="213"/>
      <c r="C16" s="214"/>
      <c r="D16" s="23"/>
      <c r="E16" s="23"/>
      <c r="F16" s="165">
        <f t="shared" ref="F16:L16" ca="1" si="3">SUM(F6:F15)</f>
        <v>1883.1963394560737</v>
      </c>
      <c r="G16" s="166">
        <f t="shared" ca="1" si="3"/>
        <v>1610.1328702349429</v>
      </c>
      <c r="H16" s="167">
        <f t="shared" si="3"/>
        <v>0.11308656787932947</v>
      </c>
      <c r="I16" s="167">
        <f t="shared" si="3"/>
        <v>9.6689015536826697E-2</v>
      </c>
      <c r="J16" s="168">
        <f t="shared" si="3"/>
        <v>0.67075320512820513</v>
      </c>
      <c r="K16" s="168">
        <f t="shared" si="3"/>
        <v>0.57349399038461535</v>
      </c>
      <c r="L16" s="169">
        <f t="shared" ca="1" si="3"/>
        <v>1610.8030532408643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45">
      <c r="A17" s="209"/>
      <c r="B17" s="213"/>
      <c r="C17" s="214"/>
      <c r="D17" s="23"/>
      <c r="E17" s="23"/>
      <c r="F17" s="285" t="s">
        <v>246</v>
      </c>
      <c r="G17" s="286"/>
      <c r="H17" s="286"/>
      <c r="I17" s="286"/>
      <c r="J17" s="286"/>
      <c r="K17" s="286"/>
      <c r="L17" s="286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45">
      <c r="A18" s="209"/>
      <c r="B18" s="213"/>
      <c r="C18" s="214"/>
      <c r="D18" s="23"/>
      <c r="E18" s="23"/>
      <c r="F18" s="272"/>
      <c r="G18" s="272"/>
      <c r="H18" s="272"/>
      <c r="I18" s="272"/>
      <c r="J18" s="272"/>
      <c r="K18" s="272"/>
      <c r="L18" s="272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4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4.65" thickBot="1" x14ac:dyDescent="0.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4.65" thickBot="1" x14ac:dyDescent="0.5">
      <c r="A21" s="170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4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4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4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4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4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4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4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4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4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4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4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4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4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4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4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4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4.65" thickBot="1" x14ac:dyDescent="0.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4.65" thickBot="1" x14ac:dyDescent="0.5">
      <c r="A39" s="170" t="str">
        <f>A7</f>
        <v>Chêne pédonculé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4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4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4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4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4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4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4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4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4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4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4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4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4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4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4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4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4.65" thickBot="1" x14ac:dyDescent="0.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4.65" thickBot="1" x14ac:dyDescent="0.5">
      <c r="A57" s="170" t="str">
        <f>A8</f>
        <v>Chêne pubescent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4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4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4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4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4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4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4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4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4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4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4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4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4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4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4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4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4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4.65" thickBot="1" x14ac:dyDescent="0.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4.65" thickBot="1" x14ac:dyDescent="0.5">
      <c r="A76" s="170" t="str">
        <f>A9</f>
        <v>Merisier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4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4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4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4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4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4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4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4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4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4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4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4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4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4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4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4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4.65" thickBot="1" x14ac:dyDescent="0.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4.65" thickBot="1" x14ac:dyDescent="0.5">
      <c r="A94" s="170" t="str">
        <f>A10</f>
        <v>Charme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4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4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4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4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4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4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4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4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4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4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4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4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4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4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4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4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4.65" thickBot="1" x14ac:dyDescent="0.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4.65" thickBot="1" x14ac:dyDescent="0.5">
      <c r="A112" s="170" t="str">
        <f>A11</f>
        <v>Alisier torminal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4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4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4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4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4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4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4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4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4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4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4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4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4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4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4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4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4.65" thickBot="1" x14ac:dyDescent="0.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4.65" thickBot="1" x14ac:dyDescent="0.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4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4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4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4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4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4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4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4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4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4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4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4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4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4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4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4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4.65" thickBot="1" x14ac:dyDescent="0.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4.65" thickBot="1" x14ac:dyDescent="0.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4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4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4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4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4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4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4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4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4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4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4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4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4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4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4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4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4.65" thickBot="1" x14ac:dyDescent="0.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4.65" thickBot="1" x14ac:dyDescent="0.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4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4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4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4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4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4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4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4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4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4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4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4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4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4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4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4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4.65" thickBot="1" x14ac:dyDescent="0.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4.65" thickBot="1" x14ac:dyDescent="0.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4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4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4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4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4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4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4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4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4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4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4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4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4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4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4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4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4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4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4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4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4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4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4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4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4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4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4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4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4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4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4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4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4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4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4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4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4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4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4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4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4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4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4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4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4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4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4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4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4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4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4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4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4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4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4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4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4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4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4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4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4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4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4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4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4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4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4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4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4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4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4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4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4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4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4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4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4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4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4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4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4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4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4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4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4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4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4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4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4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4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4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4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4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4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4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4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4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4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4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4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4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4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4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4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4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4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4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4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4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4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4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4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4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4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4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4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4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4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4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4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4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4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4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4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4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4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4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4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4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4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4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4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4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4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4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4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4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4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4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4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4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4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4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4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4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4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4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4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4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4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4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4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4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4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4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4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4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4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4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4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4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4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4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4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4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4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4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4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4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4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4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H1" zoomScale="80" zoomScaleNormal="80" workbookViewId="0">
      <selection activeCell="F156" sqref="F156"/>
    </sheetView>
  </sheetViews>
  <sheetFormatPr baseColWidth="10" defaultColWidth="11.46484375" defaultRowHeight="14.25" x14ac:dyDescent="0.45"/>
  <cols>
    <col min="1" max="1" width="11.46484375" style="1"/>
    <col min="2" max="2" width="30.9296875" style="1" bestFit="1" customWidth="1"/>
    <col min="3" max="3" width="18.06640625" style="1" bestFit="1" customWidth="1"/>
    <col min="4" max="5" width="11.46484375" style="1"/>
    <col min="6" max="6" width="14" style="1" customWidth="1"/>
    <col min="7" max="7" width="17.53125" style="1" customWidth="1"/>
    <col min="8" max="8" width="21.59765625" style="1" customWidth="1"/>
    <col min="9" max="9" width="37" style="1" customWidth="1"/>
    <col min="10" max="10" width="11.46484375" style="1"/>
    <col min="11" max="11" width="8.9296875" style="1" customWidth="1"/>
    <col min="12" max="12" width="11.46484375" style="1"/>
    <col min="13" max="13" width="21" style="1" customWidth="1"/>
    <col min="14" max="16" width="11.46484375" style="1"/>
    <col min="17" max="17" width="8" style="1" customWidth="1"/>
    <col min="18" max="18" width="11.46484375" style="1"/>
    <col min="19" max="19" width="31" style="1" customWidth="1"/>
    <col min="20" max="20" width="18.06640625" style="1" customWidth="1"/>
    <col min="21" max="21" width="16.46484375" style="1" customWidth="1"/>
    <col min="22" max="22" width="17.9296875" style="1" customWidth="1"/>
    <col min="23" max="16384" width="11.46484375" style="1"/>
  </cols>
  <sheetData>
    <row r="1" spans="1:42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5.9" thickBot="1" x14ac:dyDescent="0.8">
      <c r="A2" s="4"/>
      <c r="B2" s="273" t="s">
        <v>272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5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4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45">
      <c r="A4" s="4"/>
      <c r="B4" s="4"/>
      <c r="C4" s="4"/>
      <c r="D4" s="4"/>
      <c r="E4" s="4"/>
      <c r="G4" s="4"/>
      <c r="H4" s="263" t="s">
        <v>315</v>
      </c>
      <c r="I4" s="263"/>
      <c r="K4" s="287" t="s">
        <v>253</v>
      </c>
      <c r="L4" s="288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4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4.65" thickBot="1" x14ac:dyDescent="0.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8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7" t="s">
        <v>310</v>
      </c>
      <c r="S7" s="298"/>
      <c r="T7" s="298"/>
      <c r="U7" s="298"/>
      <c r="V7" s="299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4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4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4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sessile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1522.6807055531872</v>
      </c>
      <c r="U10" s="178">
        <f>'Données projet'!D9</f>
        <v>5.7075000000000005</v>
      </c>
      <c r="V10" s="177">
        <f>U10*T10</f>
        <v>8690.7001269448174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4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pédonculé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2992.0940172943692</v>
      </c>
      <c r="U11" s="178">
        <f>'Données projet'!D10</f>
        <v>0.45660000000000001</v>
      </c>
      <c r="V11" s="177">
        <f t="shared" ref="V11" si="0">U11*T11</f>
        <v>1366.1901282966089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4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Chêne pubescent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211.34796400570514</v>
      </c>
      <c r="U12" s="178">
        <f>'Données projet'!D11</f>
        <v>0.76100000000000012</v>
      </c>
      <c r="V12" s="177">
        <f t="shared" ref="V12:V19" si="1">U12*T12</f>
        <v>160.83580060834163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4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Merisier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745.58785801374563</v>
      </c>
      <c r="U13" s="178">
        <f>'Données projet'!D12</f>
        <v>7.6100000000000001E-2</v>
      </c>
      <c r="V13" s="177">
        <f t="shared" si="1"/>
        <v>56.739235994846041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45">
      <c r="A14" s="46" t="s">
        <v>165</v>
      </c>
      <c r="B14" s="174" t="str">
        <f>IF('Données projet'!$B$9="","",'Données projet'!$B$9)</f>
        <v>Chêne sessile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Charme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675.42319009424796</v>
      </c>
      <c r="U14" s="178">
        <f>'Données projet'!D13</f>
        <v>0.38050000000000006</v>
      </c>
      <c r="V14" s="177">
        <f t="shared" si="1"/>
        <v>256.99852383086142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45">
      <c r="A15" s="4"/>
      <c r="B15" s="4"/>
      <c r="C15" s="4"/>
      <c r="D15" s="4"/>
      <c r="E15" s="4"/>
      <c r="F15" s="230"/>
      <c r="G15" s="290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Alisier torminal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270.72656648937749</v>
      </c>
      <c r="U15" s="178">
        <f>'Données projet'!D14</f>
        <v>0.2283</v>
      </c>
      <c r="V15" s="177">
        <f t="shared" si="1"/>
        <v>61.806875129524883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4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90"/>
      <c r="H16" s="190"/>
      <c r="I16" s="191"/>
      <c r="J16" s="202"/>
      <c r="K16" s="208"/>
      <c r="L16" s="287" t="s">
        <v>254</v>
      </c>
      <c r="M16" s="288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4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290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4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90"/>
      <c r="J18" s="202"/>
      <c r="K18" s="208"/>
      <c r="L18" s="260" t="s">
        <v>255</v>
      </c>
      <c r="M18" s="262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4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90"/>
      <c r="H19" s="212" t="s">
        <v>178</v>
      </c>
      <c r="I19" s="212" t="s">
        <v>287</v>
      </c>
      <c r="J19" s="93"/>
      <c r="K19" s="173"/>
      <c r="L19" s="287" t="s">
        <v>288</v>
      </c>
      <c r="M19" s="288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4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90"/>
      <c r="H20" s="190">
        <v>1</v>
      </c>
      <c r="I20" s="191">
        <f>(4000+25000+25500+11000+7100)/'[1]Données projet'!C5</f>
        <v>6823.3082706766918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4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3</v>
      </c>
      <c r="I21" s="191">
        <f>13500/3/'[1]Données projet'!C5</f>
        <v>422.93233082706763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4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4</v>
      </c>
      <c r="I22" s="191">
        <v>422.93233082706763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45">
      <c r="A23" s="180">
        <f>'Données projet'!A36</f>
        <v>34</v>
      </c>
      <c r="B23" s="181">
        <f>'Données projet'!D36</f>
        <v>36.679999999999978</v>
      </c>
      <c r="C23" s="193">
        <v>14.625000000000002</v>
      </c>
      <c r="D23" s="182">
        <f>B23*C23</f>
        <v>536.44499999999971</v>
      </c>
      <c r="E23" s="193">
        <v>60</v>
      </c>
      <c r="F23" s="230"/>
      <c r="H23" s="190">
        <v>5</v>
      </c>
      <c r="I23" s="191">
        <v>422.93233082706763</v>
      </c>
      <c r="J23" s="257"/>
      <c r="K23" s="208"/>
      <c r="L23" s="289" t="s">
        <v>260</v>
      </c>
      <c r="M23" s="289"/>
      <c r="N23" s="289"/>
      <c r="O23" s="23"/>
      <c r="P23" s="23"/>
      <c r="Q23" s="234"/>
      <c r="R23" s="23"/>
      <c r="S23" s="36" t="s">
        <v>264</v>
      </c>
      <c r="T23" s="302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-47198.081127496807</v>
      </c>
      <c r="U23" s="302"/>
      <c r="V23" s="302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45">
      <c r="A24" s="180">
        <f>'Données projet'!A37</f>
        <v>42</v>
      </c>
      <c r="B24" s="181">
        <f>'Données projet'!D37</f>
        <v>58.099999999999994</v>
      </c>
      <c r="C24" s="193">
        <v>14.625000000000002</v>
      </c>
      <c r="D24" s="182">
        <f t="shared" ref="D24:D42" si="2">B24*C24</f>
        <v>849.71249999999998</v>
      </c>
      <c r="E24" s="193">
        <v>60</v>
      </c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3">
        <f ca="1">'Scénario référence'!$B$8*$M$30*'Données projet'!$C$5+('Scénario référence'!B9+'Scénario référence'!B10+'Scénario référence'!F8+'Scénario référence'!F9)*$N$19/(1+M4)^N16*'Données projet'!$C$5</f>
        <v>26977.397526311095</v>
      </c>
      <c r="U24" s="303"/>
      <c r="V24" s="303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45">
      <c r="A25" s="180">
        <f>'Données projet'!A38</f>
        <v>50</v>
      </c>
      <c r="B25" s="181">
        <f>'Données projet'!D38</f>
        <v>70.730000000000018</v>
      </c>
      <c r="C25" s="193">
        <v>14.625000000000002</v>
      </c>
      <c r="D25" s="182">
        <f t="shared" si="2"/>
        <v>1034.4262500000004</v>
      </c>
      <c r="E25" s="193">
        <v>60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>
        <v>160</v>
      </c>
      <c r="Q25" s="234"/>
      <c r="R25" s="23"/>
      <c r="S25" s="186" t="s">
        <v>266</v>
      </c>
      <c r="T25" s="304">
        <f ca="1">T23-T24</f>
        <v>-74175.478653807906</v>
      </c>
      <c r="U25" s="304"/>
      <c r="V25" s="30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45">
      <c r="A26" s="180">
        <f>'Données projet'!A39</f>
        <v>58</v>
      </c>
      <c r="B26" s="181">
        <f>'Données projet'!D39</f>
        <v>65.819999999999993</v>
      </c>
      <c r="C26" s="193">
        <v>47.069099999999999</v>
      </c>
      <c r="D26" s="182">
        <f t="shared" si="2"/>
        <v>3098.0881619999996</v>
      </c>
      <c r="E26" s="193">
        <v>60</v>
      </c>
      <c r="F26" s="233"/>
      <c r="G26" s="229"/>
      <c r="H26" s="190"/>
      <c r="I26" s="191"/>
      <c r="K26" s="208"/>
      <c r="L26" s="291" t="s">
        <v>258</v>
      </c>
      <c r="M26" s="292"/>
      <c r="N26" s="292"/>
      <c r="O26" s="292"/>
      <c r="P26" s="293"/>
      <c r="Q26" s="234"/>
      <c r="R26" s="23"/>
      <c r="S26" s="186" t="s">
        <v>265</v>
      </c>
      <c r="T26" s="301" t="str">
        <f ca="1">IF(T25&lt;0,"Votre projet est additionnel","Votre projet n'est pas additionnel")</f>
        <v>Votre projet est additionnel</v>
      </c>
      <c r="U26" s="301"/>
      <c r="V26" s="301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45">
      <c r="A27" s="180">
        <f>'Données projet'!A40</f>
        <v>66</v>
      </c>
      <c r="B27" s="181">
        <f>'Données projet'!D40</f>
        <v>76.480000000000018</v>
      </c>
      <c r="C27" s="193">
        <v>47.069099999999999</v>
      </c>
      <c r="D27" s="182">
        <f t="shared" si="2"/>
        <v>3599.8447680000008</v>
      </c>
      <c r="E27" s="193">
        <v>60</v>
      </c>
      <c r="F27" s="233"/>
      <c r="G27" s="229"/>
      <c r="H27" s="190"/>
      <c r="I27" s="191"/>
      <c r="K27" s="208"/>
      <c r="L27" s="294"/>
      <c r="M27" s="295"/>
      <c r="N27" s="295"/>
      <c r="O27" s="295"/>
      <c r="P27" s="296"/>
      <c r="Q27" s="234"/>
      <c r="R27" s="23"/>
      <c r="S27" s="300" t="s">
        <v>267</v>
      </c>
      <c r="T27" s="300"/>
      <c r="U27" s="300"/>
      <c r="V27" s="300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45">
      <c r="A28" s="180">
        <f>'Données projet'!A41</f>
        <v>74</v>
      </c>
      <c r="B28" s="181">
        <f>'Données projet'!D41</f>
        <v>75.29000000000002</v>
      </c>
      <c r="C28" s="193">
        <v>47.069099999999999</v>
      </c>
      <c r="D28" s="182">
        <f t="shared" si="2"/>
        <v>3543.8325390000009</v>
      </c>
      <c r="E28" s="193">
        <v>60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45">
      <c r="A29" s="180">
        <f>'Données projet'!A42</f>
        <v>82</v>
      </c>
      <c r="B29" s="181">
        <f>'Données projet'!D42</f>
        <v>58.140000000000043</v>
      </c>
      <c r="C29" s="193">
        <v>47.069099999999999</v>
      </c>
      <c r="D29" s="182">
        <f t="shared" si="2"/>
        <v>2736.597474000002</v>
      </c>
      <c r="E29" s="193">
        <v>60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45">
      <c r="A30" s="180">
        <f>'Données projet'!A43</f>
        <v>90</v>
      </c>
      <c r="B30" s="181">
        <f>'Données projet'!D43</f>
        <v>68.54000000000002</v>
      </c>
      <c r="C30" s="193">
        <v>47.069099999999999</v>
      </c>
      <c r="D30" s="182">
        <f t="shared" si="2"/>
        <v>3226.1161140000008</v>
      </c>
      <c r="E30" s="193">
        <v>60</v>
      </c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3544.9931046400911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45">
      <c r="A31" s="180">
        <f>'Données projet'!A44</f>
        <v>100</v>
      </c>
      <c r="B31" s="181">
        <f>'Données projet'!D44</f>
        <v>93.039999999999964</v>
      </c>
      <c r="C31" s="193">
        <v>135.13499999999999</v>
      </c>
      <c r="D31" s="182">
        <f t="shared" si="2"/>
        <v>12572.960399999994</v>
      </c>
      <c r="E31" s="193">
        <v>60</v>
      </c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45">
      <c r="A32" s="180">
        <f>'Données projet'!A45</f>
        <v>110</v>
      </c>
      <c r="B32" s="181">
        <f>'Données projet'!D45</f>
        <v>73.299999999999955</v>
      </c>
      <c r="C32" s="193">
        <v>135.13499999999999</v>
      </c>
      <c r="D32" s="182">
        <f t="shared" si="2"/>
        <v>9905.3954999999933</v>
      </c>
      <c r="E32" s="193">
        <v>60</v>
      </c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45">
      <c r="A33" s="180">
        <f>'Données projet'!A46</f>
        <v>120</v>
      </c>
      <c r="B33" s="181">
        <f>'Données projet'!D46</f>
        <v>66.050000000000011</v>
      </c>
      <c r="C33" s="193">
        <v>135.13499999999999</v>
      </c>
      <c r="D33" s="182">
        <f t="shared" si="2"/>
        <v>8925.6667500000003</v>
      </c>
      <c r="E33" s="193">
        <v>60</v>
      </c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160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45">
      <c r="A34" s="180">
        <f>'Données projet'!A47</f>
        <v>130</v>
      </c>
      <c r="B34" s="181">
        <f>'Données projet'!D47</f>
        <v>75.799999999999955</v>
      </c>
      <c r="C34" s="193">
        <v>135.13499999999999</v>
      </c>
      <c r="D34" s="182">
        <f t="shared" si="2"/>
        <v>10243.232999999993</v>
      </c>
      <c r="E34" s="193">
        <v>60</v>
      </c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153.11004784688996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45">
      <c r="A35" s="180">
        <f>'Données projet'!A48</f>
        <v>140</v>
      </c>
      <c r="B35" s="181">
        <f>'Données projet'!D48</f>
        <v>74.669999999999959</v>
      </c>
      <c r="C35" s="193">
        <v>135.13499999999999</v>
      </c>
      <c r="D35" s="182">
        <f t="shared" si="2"/>
        <v>10090.530449999993</v>
      </c>
      <c r="E35" s="193">
        <v>60</v>
      </c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146.51679219798083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45">
      <c r="A36" s="180">
        <f>'Données projet'!A49</f>
        <v>150</v>
      </c>
      <c r="B36" s="181">
        <f>'Données projet'!D49</f>
        <v>259.52</v>
      </c>
      <c r="C36" s="193">
        <v>190.06649999999999</v>
      </c>
      <c r="D36" s="182">
        <f t="shared" si="2"/>
        <v>49326.058079999995</v>
      </c>
      <c r="E36" s="193">
        <v>60</v>
      </c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140.2074566487855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45">
      <c r="A37" s="180">
        <f>'Données projet'!A50</f>
        <v>153</v>
      </c>
      <c r="B37" s="181">
        <f>'Données projet'!D50</f>
        <v>156.29000000000002</v>
      </c>
      <c r="C37" s="193">
        <v>190.06649999999999</v>
      </c>
      <c r="D37" s="182">
        <f t="shared" si="2"/>
        <v>29705.493285000004</v>
      </c>
      <c r="E37" s="193">
        <v>60</v>
      </c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134.16981497491437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45">
      <c r="A38" s="180">
        <f>'Données projet'!A51</f>
        <v>156</v>
      </c>
      <c r="B38" s="181">
        <f>'Données projet'!D51</f>
        <v>96.65</v>
      </c>
      <c r="C38" s="193">
        <v>190.06649999999999</v>
      </c>
      <c r="D38" s="182">
        <f t="shared" si="2"/>
        <v>18369.927224999999</v>
      </c>
      <c r="E38" s="193">
        <v>60</v>
      </c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128.39216744010946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45">
      <c r="A39" s="180">
        <f>'Données projet'!A52</f>
        <v>159</v>
      </c>
      <c r="B39" s="181">
        <f>'Données projet'!D52</f>
        <v>201.48</v>
      </c>
      <c r="C39" s="193">
        <v>190.06649999999999</v>
      </c>
      <c r="D39" s="182">
        <f t="shared" si="2"/>
        <v>38294.598419999995</v>
      </c>
      <c r="E39" s="193">
        <v>60</v>
      </c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122.86331812450669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4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117.57255322919299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4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112.50962031501726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4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107.66470843542322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4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103.02842912480692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4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98.59179820555687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45">
      <c r="A45" s="46" t="s">
        <v>166</v>
      </c>
      <c r="B45" s="174" t="str">
        <f>IF('Données projet'!$B$10="","",'Données projet'!$B$10)</f>
        <v>Chêne pédonculé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94.346218378523332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4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90.283462563180223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4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86.395657955196413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4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82.675270770522872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4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79.115091646433399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4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75.708221671228131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4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72.448059015529324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4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69.328286139262516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4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66.342857549533534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45">
      <c r="A54" s="180">
        <f>'Données projet'!A62</f>
        <v>31</v>
      </c>
      <c r="B54" s="181">
        <f>'Données projet'!D62</f>
        <v>65.77000000000001</v>
      </c>
      <c r="C54" s="191">
        <v>14.625000000000002</v>
      </c>
      <c r="D54" s="179">
        <f>B54*C54</f>
        <v>961.88625000000025</v>
      </c>
      <c r="E54" s="193">
        <v>60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63.485988085678009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45">
      <c r="A55" s="180">
        <f>'Données projet'!A63</f>
        <v>37</v>
      </c>
      <c r="B55" s="181">
        <f>'Données projet'!D63</f>
        <v>43.890000000000015</v>
      </c>
      <c r="C55" s="191">
        <v>14.625000000000002</v>
      </c>
      <c r="D55" s="179">
        <f t="shared" ref="D55:D73" si="4">B55*C55</f>
        <v>641.89125000000024</v>
      </c>
      <c r="E55" s="193">
        <v>60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60.752141708782808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45">
      <c r="A56" s="180">
        <f>'Données projet'!A64</f>
        <v>44</v>
      </c>
      <c r="B56" s="181">
        <f>'Données projet'!D64</f>
        <v>56.45999999999998</v>
      </c>
      <c r="C56" s="191">
        <v>47.069099999999999</v>
      </c>
      <c r="D56" s="179">
        <f t="shared" si="4"/>
        <v>2657.521385999999</v>
      </c>
      <c r="E56" s="193">
        <v>60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58.136020773954833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45">
      <c r="A57" s="180">
        <f>'Données projet'!A65</f>
        <v>51</v>
      </c>
      <c r="B57" s="181">
        <f>'Données projet'!D65</f>
        <v>55.400000000000006</v>
      </c>
      <c r="C57" s="191">
        <v>47.069099999999999</v>
      </c>
      <c r="D57" s="179">
        <f t="shared" si="4"/>
        <v>2607.6281400000003</v>
      </c>
      <c r="E57" s="193">
        <v>60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55.632555764550091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45">
      <c r="A58" s="180">
        <f>'Données projet'!A66</f>
        <v>58</v>
      </c>
      <c r="B58" s="181">
        <f>'Données projet'!D66</f>
        <v>53.97</v>
      </c>
      <c r="C58" s="191">
        <v>47.069099999999999</v>
      </c>
      <c r="D58" s="179">
        <f t="shared" si="4"/>
        <v>2540.3193269999997</v>
      </c>
      <c r="E58" s="193">
        <v>60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53.236895468468994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45">
      <c r="A59" s="180">
        <f>'Données projet'!A67</f>
        <v>65</v>
      </c>
      <c r="B59" s="181">
        <f>'Données projet'!D67</f>
        <v>56.629999999999995</v>
      </c>
      <c r="C59" s="191">
        <v>47.069099999999999</v>
      </c>
      <c r="D59" s="179">
        <f t="shared" si="4"/>
        <v>2665.5231329999997</v>
      </c>
      <c r="E59" s="193">
        <v>60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50.944397577482306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45">
      <c r="A60" s="180">
        <f>'Données projet'!A68</f>
        <v>72</v>
      </c>
      <c r="B60" s="181">
        <f>'Données projet'!D68</f>
        <v>66.109999999999957</v>
      </c>
      <c r="C60" s="191">
        <v>47.069099999999999</v>
      </c>
      <c r="D60" s="179">
        <f t="shared" si="4"/>
        <v>3111.7382009999978</v>
      </c>
      <c r="E60" s="193">
        <v>60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48.750619691370623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45">
      <c r="A61" s="180">
        <f>'Données projet'!A69</f>
        <v>81</v>
      </c>
      <c r="B61" s="181">
        <f>'Données projet'!D69</f>
        <v>87.399999999999977</v>
      </c>
      <c r="C61" s="191">
        <v>135.13499999999999</v>
      </c>
      <c r="D61" s="179">
        <f t="shared" si="4"/>
        <v>11810.798999999995</v>
      </c>
      <c r="E61" s="193">
        <v>60</v>
      </c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46.651310709445582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45">
      <c r="A62" s="180">
        <f>'Données projet'!A70</f>
        <v>90</v>
      </c>
      <c r="B62" s="181">
        <f>'Données projet'!D70</f>
        <v>88.75</v>
      </c>
      <c r="C62" s="191">
        <v>135.13499999999999</v>
      </c>
      <c r="D62" s="179">
        <f t="shared" si="4"/>
        <v>11993.231249999999</v>
      </c>
      <c r="E62" s="193">
        <v>60</v>
      </c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44.642402592770885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45">
      <c r="A63" s="180">
        <f>'Données projet'!A71</f>
        <v>99</v>
      </c>
      <c r="B63" s="181">
        <f>'Données projet'!D71</f>
        <v>226.42000000000002</v>
      </c>
      <c r="C63" s="191">
        <v>190.06649999999999</v>
      </c>
      <c r="D63" s="179">
        <f t="shared" si="4"/>
        <v>43034.856930000002</v>
      </c>
      <c r="E63" s="193">
        <v>60</v>
      </c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42.720002481120481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45">
      <c r="A64" s="180">
        <f>'Données projet'!A72</f>
        <v>101</v>
      </c>
      <c r="B64" s="181">
        <f>'Données projet'!D72</f>
        <v>82.539999999999992</v>
      </c>
      <c r="C64" s="191">
        <v>190.06649999999999</v>
      </c>
      <c r="D64" s="179">
        <f t="shared" si="4"/>
        <v>15688.088909999999</v>
      </c>
      <c r="E64" s="193">
        <v>60</v>
      </c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40.880385149397583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45">
      <c r="A65" s="180">
        <f>'Données projet'!A73</f>
        <v>103</v>
      </c>
      <c r="B65" s="181">
        <f>'Données projet'!D73</f>
        <v>58.600000000000009</v>
      </c>
      <c r="C65" s="191">
        <v>190.06649999999999</v>
      </c>
      <c r="D65" s="179">
        <f t="shared" si="4"/>
        <v>11137.896900000002</v>
      </c>
      <c r="E65" s="193">
        <v>60</v>
      </c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39.119985788897225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45">
      <c r="A66" s="180">
        <f>'Données projet'!A74</f>
        <v>106</v>
      </c>
      <c r="B66" s="181">
        <f>'Données projet'!D74</f>
        <v>131.46</v>
      </c>
      <c r="C66" s="191">
        <v>190.06649999999999</v>
      </c>
      <c r="D66" s="179">
        <f t="shared" si="4"/>
        <v>24986.142090000001</v>
      </c>
      <c r="E66" s="193">
        <v>60</v>
      </c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37.435393099423187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4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35.823342678873871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4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34.28071069748696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4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32.80450784448513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4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31.391873535392474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4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30.040070368796631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4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28.746478821814957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4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27.508592173985612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4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26.324011649747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4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25.190441770092828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45">
      <c r="A76" s="46" t="s">
        <v>167</v>
      </c>
      <c r="B76" s="174" t="str">
        <f>IF('Données projet'!B11="","",'Données projet'!B11)</f>
        <v>Chêne pubescent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24.105685904395049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4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23.067642013775171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4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22.074298577775281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4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21.123730696435683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4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20.214096360225529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4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19.343632880598602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4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18.510653474257037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4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17.713543994504345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4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16.950759803353439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45">
      <c r="A85" s="180">
        <f>'Données projet'!A88</f>
        <v>60</v>
      </c>
      <c r="B85" s="181">
        <f>'Données projet'!D88</f>
        <v>72.87</v>
      </c>
      <c r="C85" s="191">
        <v>14.625000000000002</v>
      </c>
      <c r="D85" s="179">
        <f>B85*C85</f>
        <v>1065.7237500000001</v>
      </c>
      <c r="E85" s="193">
        <v>60</v>
      </c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16.220822778328653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45">
      <c r="A86" s="180">
        <f>'Données projet'!A89</f>
        <v>69</v>
      </c>
      <c r="B86" s="181">
        <f>'Données projet'!D89</f>
        <v>42.22</v>
      </c>
      <c r="C86" s="191">
        <v>14.625000000000002</v>
      </c>
      <c r="D86" s="179">
        <f t="shared" ref="D86:D104" si="6">B86*C86</f>
        <v>617.46750000000009</v>
      </c>
      <c r="E86" s="193">
        <v>60</v>
      </c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15.522318448161391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45">
      <c r="A87" s="180">
        <f>'Données projet'!A90</f>
        <v>77</v>
      </c>
      <c r="B87" s="181">
        <f>'Données projet'!D90</f>
        <v>33.950000000000017</v>
      </c>
      <c r="C87" s="191">
        <v>14.625000000000002</v>
      </c>
      <c r="D87" s="179">
        <f t="shared" si="6"/>
        <v>496.5187500000003</v>
      </c>
      <c r="E87" s="193">
        <v>60</v>
      </c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14.853893251829088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45">
      <c r="A88" s="180">
        <f>'Données projet'!A91</f>
        <v>86</v>
      </c>
      <c r="B88" s="181">
        <f>'Données projet'!D91</f>
        <v>37.54000000000002</v>
      </c>
      <c r="C88" s="191">
        <v>32</v>
      </c>
      <c r="D88" s="179">
        <f t="shared" si="6"/>
        <v>1201.2800000000007</v>
      </c>
      <c r="E88" s="193">
        <v>60</v>
      </c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14.214251915625919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45">
      <c r="A89" s="180">
        <f>'Données projet'!A92</f>
        <v>95</v>
      </c>
      <c r="B89" s="181">
        <f>'Données projet'!D92</f>
        <v>42.199999999999989</v>
      </c>
      <c r="C89" s="191">
        <v>32</v>
      </c>
      <c r="D89" s="179">
        <f t="shared" si="6"/>
        <v>1350.3999999999996</v>
      </c>
      <c r="E89" s="193">
        <v>60</v>
      </c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13.6021549431827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45">
      <c r="A90" s="180">
        <f>'Données projet'!A93</f>
        <v>104</v>
      </c>
      <c r="B90" s="181">
        <f>'Données projet'!D93</f>
        <v>39.400000000000006</v>
      </c>
      <c r="C90" s="191">
        <v>32</v>
      </c>
      <c r="D90" s="179">
        <f t="shared" si="6"/>
        <v>1260.8000000000002</v>
      </c>
      <c r="E90" s="193">
        <v>60</v>
      </c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13.016416213571965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45">
      <c r="A91" s="180">
        <f>'Données projet'!A94</f>
        <v>113</v>
      </c>
      <c r="B91" s="181">
        <f>'Données projet'!D94</f>
        <v>41.639999999999986</v>
      </c>
      <c r="C91" s="191">
        <v>32</v>
      </c>
      <c r="D91" s="179">
        <f t="shared" si="6"/>
        <v>1332.4799999999996</v>
      </c>
      <c r="E91" s="193">
        <v>60</v>
      </c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12.455900682843987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45">
      <c r="A92" s="180">
        <f>'Données projet'!A95</f>
        <v>122</v>
      </c>
      <c r="B92" s="181">
        <f>'Données projet'!D95</f>
        <v>45.829999999999984</v>
      </c>
      <c r="C92" s="191">
        <v>32</v>
      </c>
      <c r="D92" s="179">
        <f t="shared" si="6"/>
        <v>1466.5599999999995</v>
      </c>
      <c r="E92" s="193">
        <v>60</v>
      </c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11.919522184539701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45">
      <c r="A93" s="180">
        <f>'Données projet'!A96</f>
        <v>132</v>
      </c>
      <c r="B93" s="181">
        <f>'Données projet'!D96</f>
        <v>48.699999999999989</v>
      </c>
      <c r="C93" s="191">
        <v>32</v>
      </c>
      <c r="D93" s="179">
        <f t="shared" si="6"/>
        <v>1558.3999999999996</v>
      </c>
      <c r="E93" s="193">
        <v>60</v>
      </c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11.406241324918376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45">
      <c r="A94" s="180">
        <f>'Données projet'!A97</f>
        <v>144</v>
      </c>
      <c r="B94" s="181">
        <f>'Données projet'!D97</f>
        <v>60.949999999999989</v>
      </c>
      <c r="C94" s="191">
        <v>32</v>
      </c>
      <c r="D94" s="179">
        <f t="shared" si="6"/>
        <v>1950.3999999999996</v>
      </c>
      <c r="E94" s="193">
        <v>60</v>
      </c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10.91506346882141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45">
      <c r="A95" s="180">
        <f>'Données projet'!A98</f>
        <v>156</v>
      </c>
      <c r="B95" s="181">
        <f>'Données projet'!D98</f>
        <v>65.69</v>
      </c>
      <c r="C95" s="191">
        <v>65</v>
      </c>
      <c r="D95" s="179">
        <f t="shared" si="6"/>
        <v>4269.8499999999995</v>
      </c>
      <c r="E95" s="193">
        <v>60</v>
      </c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10.445036812269297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45">
      <c r="A96" s="180">
        <f>'Données projet'!A99</f>
        <v>168</v>
      </c>
      <c r="B96" s="181">
        <f>'Données projet'!D99</f>
        <v>71.37</v>
      </c>
      <c r="C96" s="191">
        <v>65</v>
      </c>
      <c r="D96" s="179">
        <f t="shared" si="6"/>
        <v>4639.05</v>
      </c>
      <c r="E96" s="193">
        <v>60</v>
      </c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9.9952505380567409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45">
      <c r="A97" s="180">
        <f>'Données projet'!A100</f>
        <v>180</v>
      </c>
      <c r="B97" s="181">
        <f>'Données projet'!D100</f>
        <v>175.59000000000003</v>
      </c>
      <c r="C97" s="191">
        <v>65</v>
      </c>
      <c r="D97" s="179">
        <f t="shared" si="6"/>
        <v>11413.350000000002</v>
      </c>
      <c r="E97" s="193">
        <v>60</v>
      </c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9.5648330507720072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45">
      <c r="A98" s="180">
        <f>'Données projet'!A101</f>
        <v>184</v>
      </c>
      <c r="B98" s="181">
        <f>'Données projet'!D101</f>
        <v>101.19999999999999</v>
      </c>
      <c r="C98" s="191">
        <v>65</v>
      </c>
      <c r="D98" s="179">
        <f t="shared" si="6"/>
        <v>6577.9999999999991</v>
      </c>
      <c r="E98" s="193">
        <v>60</v>
      </c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9.1529502878201026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45">
      <c r="A99" s="180">
        <f>'Données projet'!A102</f>
        <v>188</v>
      </c>
      <c r="B99" s="181">
        <f>'Données projet'!D102</f>
        <v>72.180000000000007</v>
      </c>
      <c r="C99" s="191">
        <v>65</v>
      </c>
      <c r="D99" s="179">
        <f t="shared" si="6"/>
        <v>4691.7000000000007</v>
      </c>
      <c r="E99" s="193">
        <v>60</v>
      </c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8.758804103177134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45">
      <c r="A100" s="180">
        <f>'Données projet'!A103</f>
        <v>191</v>
      </c>
      <c r="B100" s="181">
        <f>'Données projet'!D103</f>
        <v>145.01</v>
      </c>
      <c r="C100" s="191">
        <v>80</v>
      </c>
      <c r="D100" s="179">
        <f t="shared" si="6"/>
        <v>11600.8</v>
      </c>
      <c r="E100" s="193">
        <v>60</v>
      </c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8.3816307207436687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4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8.0206992543001618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4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7.675310291196328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4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str">
        <f>IF(O102+1&lt;=MIN('Données projet'!$E$9:$E$18),O102+1,"STOP")</f>
        <v>STOP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4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4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4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45">
      <c r="A107" s="46" t="s">
        <v>168</v>
      </c>
      <c r="B107" s="174" t="str">
        <f>IF('Données projet'!B12="","",'Données projet'!B12)</f>
        <v>Merisier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4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4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4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4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4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4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4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4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45">
      <c r="A116" s="180">
        <f>'Données projet'!A114</f>
        <v>15</v>
      </c>
      <c r="B116" s="181">
        <f>'Données projet'!D114</f>
        <v>1.9230769230769229</v>
      </c>
      <c r="C116" s="191">
        <v>13.1625</v>
      </c>
      <c r="D116" s="179">
        <f>B116*C116</f>
        <v>25.312499999999996</v>
      </c>
      <c r="E116" s="193">
        <v>60</v>
      </c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45">
      <c r="A117" s="180">
        <f>'Données projet'!A115</f>
        <v>20</v>
      </c>
      <c r="B117" s="181">
        <f>'Données projet'!D115</f>
        <v>16.025641025641026</v>
      </c>
      <c r="C117" s="191">
        <v>13.1625</v>
      </c>
      <c r="D117" s="179">
        <f t="shared" ref="D117:D135" si="8">B117*C117</f>
        <v>210.9375</v>
      </c>
      <c r="E117" s="193">
        <v>60</v>
      </c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45">
      <c r="A118" s="180">
        <f>'Données projet'!A116</f>
        <v>25</v>
      </c>
      <c r="B118" s="181">
        <f>'Données projet'!D116</f>
        <v>17.307692307692307</v>
      </c>
      <c r="C118" s="191">
        <v>13.1625</v>
      </c>
      <c r="D118" s="179">
        <f t="shared" si="8"/>
        <v>227.81249999999997</v>
      </c>
      <c r="E118" s="193">
        <v>60</v>
      </c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45">
      <c r="A119" s="180">
        <f>'Données projet'!A117</f>
        <v>31</v>
      </c>
      <c r="B119" s="181">
        <f>'Données projet'!D117</f>
        <v>23.076923076923077</v>
      </c>
      <c r="C119" s="191">
        <v>21.206250000000001</v>
      </c>
      <c r="D119" s="179">
        <f t="shared" si="8"/>
        <v>489.375</v>
      </c>
      <c r="E119" s="193">
        <v>60</v>
      </c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45">
      <c r="A120" s="180">
        <f>'Données projet'!A118</f>
        <v>37</v>
      </c>
      <c r="B120" s="181">
        <f>'Données projet'!D118</f>
        <v>23.076923076923077</v>
      </c>
      <c r="C120" s="191">
        <v>21.206250000000001</v>
      </c>
      <c r="D120" s="179">
        <f t="shared" si="8"/>
        <v>489.375</v>
      </c>
      <c r="E120" s="193">
        <v>60</v>
      </c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45">
      <c r="A121" s="180">
        <f>'Données projet'!A119</f>
        <v>44</v>
      </c>
      <c r="B121" s="181">
        <f>'Données projet'!D119</f>
        <v>27.564102564102562</v>
      </c>
      <c r="C121" s="191">
        <v>21.206250000000001</v>
      </c>
      <c r="D121" s="179">
        <f t="shared" si="8"/>
        <v>584.53125</v>
      </c>
      <c r="E121" s="193">
        <v>60</v>
      </c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45">
      <c r="A122" s="180">
        <f>'Données projet'!A120</f>
        <v>52</v>
      </c>
      <c r="B122" s="181">
        <f>'Données projet'!D120</f>
        <v>30.769230769230766</v>
      </c>
      <c r="C122" s="191">
        <v>21.206250000000001</v>
      </c>
      <c r="D122" s="179">
        <f t="shared" si="8"/>
        <v>652.5</v>
      </c>
      <c r="E122" s="193">
        <v>60</v>
      </c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45">
      <c r="A123" s="180">
        <f>'Données projet'!A121</f>
        <v>60</v>
      </c>
      <c r="B123" s="181">
        <f>'Données projet'!D121</f>
        <v>30.128205128205128</v>
      </c>
      <c r="C123" s="191">
        <v>24.862500000000001</v>
      </c>
      <c r="D123" s="179">
        <f t="shared" si="8"/>
        <v>749.0625</v>
      </c>
      <c r="E123" s="193">
        <v>60</v>
      </c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45">
      <c r="A124" s="180">
        <f>'Données projet'!A122</f>
        <v>69</v>
      </c>
      <c r="B124" s="181">
        <f>'Données projet'!D122</f>
        <v>210.25641025641025</v>
      </c>
      <c r="C124" s="191">
        <v>26.690625000000001</v>
      </c>
      <c r="D124" s="179">
        <f t="shared" si="8"/>
        <v>5611.875</v>
      </c>
      <c r="E124" s="193">
        <v>60</v>
      </c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4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4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4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4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4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4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4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4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4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4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4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4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4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45">
      <c r="A138" s="46" t="s">
        <v>169</v>
      </c>
      <c r="B138" s="174" t="str">
        <f>IF('Données projet'!B13="","",'Données projet'!B13)</f>
        <v>Charme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4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4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4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4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4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4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4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4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45">
      <c r="A147" s="42">
        <f>'Données projet'!A140</f>
        <v>38</v>
      </c>
      <c r="B147" s="175">
        <f>'Données projet'!D140</f>
        <v>71.569999999999993</v>
      </c>
      <c r="C147" s="191">
        <v>13.25</v>
      </c>
      <c r="D147" s="182">
        <f>B147*C147</f>
        <v>948.3024999999999</v>
      </c>
      <c r="E147" s="193">
        <v>60</v>
      </c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45">
      <c r="A148" s="42">
        <f>'Données projet'!A141</f>
        <v>45</v>
      </c>
      <c r="B148" s="175">
        <f>'Données projet'!D141</f>
        <v>41.69</v>
      </c>
      <c r="C148" s="191">
        <v>13.25</v>
      </c>
      <c r="D148" s="182">
        <f t="shared" ref="D148:D166" si="10">B148*C148</f>
        <v>552.39249999999993</v>
      </c>
      <c r="E148" s="193">
        <v>60</v>
      </c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45">
      <c r="A149" s="42">
        <f>'Données projet'!A142</f>
        <v>52</v>
      </c>
      <c r="B149" s="175">
        <f>'Données projet'!D142</f>
        <v>44.400000000000006</v>
      </c>
      <c r="C149" s="191">
        <v>25.625</v>
      </c>
      <c r="D149" s="182">
        <f t="shared" si="10"/>
        <v>1137.7500000000002</v>
      </c>
      <c r="E149" s="193">
        <v>60</v>
      </c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45">
      <c r="A150" s="42">
        <f>'Données projet'!A143</f>
        <v>59</v>
      </c>
      <c r="B150" s="175">
        <f>'Données projet'!D143</f>
        <v>41.81</v>
      </c>
      <c r="C150" s="191">
        <v>25.625</v>
      </c>
      <c r="D150" s="182">
        <f t="shared" si="10"/>
        <v>1071.3812500000001</v>
      </c>
      <c r="E150" s="193">
        <v>60</v>
      </c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45">
      <c r="A151" s="42">
        <f>'Données projet'!A144</f>
        <v>67</v>
      </c>
      <c r="B151" s="175">
        <f>'Données projet'!D144</f>
        <v>42.550000000000011</v>
      </c>
      <c r="C151" s="191">
        <v>25.625</v>
      </c>
      <c r="D151" s="182">
        <f t="shared" si="10"/>
        <v>1090.3437500000002</v>
      </c>
      <c r="E151" s="193">
        <v>60</v>
      </c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45">
      <c r="A152" s="42">
        <f>'Données projet'!A145</f>
        <v>75</v>
      </c>
      <c r="B152" s="175">
        <f>'Données projet'!D145</f>
        <v>43.519999999999982</v>
      </c>
      <c r="C152" s="191">
        <v>25.625</v>
      </c>
      <c r="D152" s="182">
        <f t="shared" si="10"/>
        <v>1115.1999999999996</v>
      </c>
      <c r="E152" s="193">
        <v>60</v>
      </c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45">
      <c r="A153" s="42">
        <f>'Données projet'!A146</f>
        <v>83</v>
      </c>
      <c r="B153" s="175">
        <f>'Données projet'!D146</f>
        <v>49.980000000000018</v>
      </c>
      <c r="C153" s="191">
        <v>25.625</v>
      </c>
      <c r="D153" s="182">
        <f t="shared" si="10"/>
        <v>1280.7375000000004</v>
      </c>
      <c r="E153" s="193">
        <v>60</v>
      </c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45">
      <c r="A154" s="42">
        <f>'Données projet'!A147</f>
        <v>93</v>
      </c>
      <c r="B154" s="175">
        <f>'Données projet'!D147</f>
        <v>67.45999999999998</v>
      </c>
      <c r="C154" s="191">
        <v>33.125</v>
      </c>
      <c r="D154" s="182">
        <f t="shared" si="10"/>
        <v>2234.6124999999993</v>
      </c>
      <c r="E154" s="193">
        <v>60</v>
      </c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45">
      <c r="A155" s="42">
        <f>'Données projet'!A148</f>
        <v>103</v>
      </c>
      <c r="B155" s="175">
        <f>'Données projet'!D148</f>
        <v>67.759999999999991</v>
      </c>
      <c r="C155" s="191">
        <v>33.125</v>
      </c>
      <c r="D155" s="182">
        <f t="shared" si="10"/>
        <v>2244.5499999999997</v>
      </c>
      <c r="E155" s="193">
        <v>60</v>
      </c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45">
      <c r="A156" s="42">
        <f>'Données projet'!A149</f>
        <v>113</v>
      </c>
      <c r="B156" s="175">
        <f>'Données projet'!D149</f>
        <v>68.670000000000016</v>
      </c>
      <c r="C156" s="191">
        <v>33.125</v>
      </c>
      <c r="D156" s="182">
        <f t="shared" si="10"/>
        <v>2274.6937500000004</v>
      </c>
      <c r="E156" s="193">
        <v>60</v>
      </c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45">
      <c r="A157" s="42">
        <f>'Données projet'!A150</f>
        <v>123</v>
      </c>
      <c r="B157" s="175">
        <f>'Données projet'!D150</f>
        <v>203.78999999999996</v>
      </c>
      <c r="C157" s="191">
        <v>33.125</v>
      </c>
      <c r="D157" s="182">
        <f t="shared" si="10"/>
        <v>6750.5437499999989</v>
      </c>
      <c r="E157" s="193">
        <v>60</v>
      </c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45">
      <c r="A158" s="42">
        <f>'Données projet'!A151</f>
        <v>125</v>
      </c>
      <c r="B158" s="175">
        <f>'Données projet'!D151</f>
        <v>70.609999999999985</v>
      </c>
      <c r="C158" s="191">
        <v>33.125</v>
      </c>
      <c r="D158" s="182">
        <f t="shared" si="10"/>
        <v>2338.9562499999997</v>
      </c>
      <c r="E158" s="193">
        <v>60</v>
      </c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45">
      <c r="A159" s="42">
        <f>'Données projet'!A152</f>
        <v>127</v>
      </c>
      <c r="B159" s="175">
        <f>'Données projet'!D152</f>
        <v>46.039999999999992</v>
      </c>
      <c r="C159" s="191">
        <v>33.125</v>
      </c>
      <c r="D159" s="182">
        <f t="shared" si="10"/>
        <v>1525.0749999999998</v>
      </c>
      <c r="E159" s="193">
        <v>60</v>
      </c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45">
      <c r="A160" s="42">
        <f>'Données projet'!A153</f>
        <v>130</v>
      </c>
      <c r="B160" s="175">
        <f>'Données projet'!D153</f>
        <v>112.75</v>
      </c>
      <c r="C160" s="191">
        <v>33.125</v>
      </c>
      <c r="D160" s="182">
        <f t="shared" si="10"/>
        <v>3734.84375</v>
      </c>
      <c r="E160" s="193">
        <v>60</v>
      </c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4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4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4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4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4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4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4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4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45">
      <c r="A169" s="46" t="s">
        <v>170</v>
      </c>
      <c r="B169" s="174" t="str">
        <f>IF('Données projet'!B14="","",'Données projet'!B14)</f>
        <v>Alisier torminal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4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4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4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4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4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4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4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4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45">
      <c r="A178" s="180">
        <f>'Données projet'!A166</f>
        <v>60</v>
      </c>
      <c r="B178" s="181">
        <f>'Données projet'!D166</f>
        <v>72.87</v>
      </c>
      <c r="C178" s="193">
        <v>14.625000000000002</v>
      </c>
      <c r="D178" s="179">
        <f>B178*C178</f>
        <v>1065.7237500000001</v>
      </c>
      <c r="E178" s="193">
        <v>60</v>
      </c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45">
      <c r="A179" s="180">
        <f>'Données projet'!A167</f>
        <v>69</v>
      </c>
      <c r="B179" s="181">
        <f>'Données projet'!D167</f>
        <v>42.22</v>
      </c>
      <c r="C179" s="193">
        <v>14.625000000000002</v>
      </c>
      <c r="D179" s="179">
        <f t="shared" ref="D179:D197" si="11">B179*C179</f>
        <v>617.46750000000009</v>
      </c>
      <c r="E179" s="193">
        <v>60</v>
      </c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45">
      <c r="A180" s="180">
        <f>'Données projet'!A168</f>
        <v>77</v>
      </c>
      <c r="B180" s="181">
        <f>'Données projet'!D168</f>
        <v>33.950000000000017</v>
      </c>
      <c r="C180" s="193">
        <v>14.625000000000002</v>
      </c>
      <c r="D180" s="179">
        <f t="shared" si="11"/>
        <v>496.5187500000003</v>
      </c>
      <c r="E180" s="193">
        <v>60</v>
      </c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45">
      <c r="A181" s="180">
        <f>'Données projet'!A169</f>
        <v>86</v>
      </c>
      <c r="B181" s="181">
        <f>'Données projet'!D169</f>
        <v>37.54000000000002</v>
      </c>
      <c r="C181" s="193">
        <v>47.069099999999999</v>
      </c>
      <c r="D181" s="179">
        <f t="shared" si="11"/>
        <v>1766.9740140000008</v>
      </c>
      <c r="E181" s="193">
        <v>60</v>
      </c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45">
      <c r="A182" s="180">
        <f>'Données projet'!A170</f>
        <v>95</v>
      </c>
      <c r="B182" s="181">
        <f>'Données projet'!D170</f>
        <v>42.199999999999989</v>
      </c>
      <c r="C182" s="193">
        <v>47.069099999999999</v>
      </c>
      <c r="D182" s="179">
        <f t="shared" si="11"/>
        <v>1986.3160199999995</v>
      </c>
      <c r="E182" s="193">
        <v>60</v>
      </c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45">
      <c r="A183" s="180">
        <f>'Données projet'!A171</f>
        <v>104</v>
      </c>
      <c r="B183" s="181">
        <f>'Données projet'!D171</f>
        <v>39.400000000000006</v>
      </c>
      <c r="C183" s="193">
        <v>47.069099999999999</v>
      </c>
      <c r="D183" s="179">
        <f t="shared" si="11"/>
        <v>1854.5225400000002</v>
      </c>
      <c r="E183" s="193">
        <v>60</v>
      </c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45">
      <c r="A184" s="180">
        <f>'Données projet'!A172</f>
        <v>113</v>
      </c>
      <c r="B184" s="181">
        <f>'Données projet'!D172</f>
        <v>41.639999999999986</v>
      </c>
      <c r="C184" s="193">
        <v>47.069099999999999</v>
      </c>
      <c r="D184" s="179">
        <f t="shared" si="11"/>
        <v>1959.9573239999993</v>
      </c>
      <c r="E184" s="193">
        <v>60</v>
      </c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45">
      <c r="A185" s="180">
        <f>'Données projet'!A173</f>
        <v>122</v>
      </c>
      <c r="B185" s="181">
        <f>'Données projet'!D173</f>
        <v>45.829999999999984</v>
      </c>
      <c r="C185" s="193">
        <v>47.069099999999999</v>
      </c>
      <c r="D185" s="179">
        <f t="shared" si="11"/>
        <v>2157.176852999999</v>
      </c>
      <c r="E185" s="193">
        <v>60</v>
      </c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45">
      <c r="A186" s="180">
        <f>'Données projet'!A174</f>
        <v>132</v>
      </c>
      <c r="B186" s="181">
        <f>'Données projet'!D174</f>
        <v>48.699999999999989</v>
      </c>
      <c r="C186" s="193">
        <v>47.069099999999999</v>
      </c>
      <c r="D186" s="179">
        <f t="shared" si="11"/>
        <v>2292.2651699999992</v>
      </c>
      <c r="E186" s="193">
        <v>60</v>
      </c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45">
      <c r="A187" s="180">
        <f>'Données projet'!A175</f>
        <v>144</v>
      </c>
      <c r="B187" s="181">
        <f>'Données projet'!D175</f>
        <v>60.949999999999989</v>
      </c>
      <c r="C187" s="193">
        <v>47.069099999999999</v>
      </c>
      <c r="D187" s="179">
        <f t="shared" si="11"/>
        <v>2868.8616449999995</v>
      </c>
      <c r="E187" s="193">
        <v>60</v>
      </c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45">
      <c r="A188" s="180">
        <f>'Données projet'!A176</f>
        <v>156</v>
      </c>
      <c r="B188" s="181">
        <f>'Données projet'!D176</f>
        <v>65.69</v>
      </c>
      <c r="C188" s="193">
        <v>135.13499999999999</v>
      </c>
      <c r="D188" s="179">
        <f t="shared" si="11"/>
        <v>8877.0181499999999</v>
      </c>
      <c r="E188" s="193">
        <v>60</v>
      </c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45">
      <c r="A189" s="180">
        <f>'Données projet'!A177</f>
        <v>168</v>
      </c>
      <c r="B189" s="181">
        <f>'Données projet'!D177</f>
        <v>71.37</v>
      </c>
      <c r="C189" s="193">
        <v>135.13499999999999</v>
      </c>
      <c r="D189" s="179">
        <f t="shared" si="11"/>
        <v>9644.5849500000004</v>
      </c>
      <c r="E189" s="193">
        <v>60</v>
      </c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45">
      <c r="A190" s="180">
        <f>'Données projet'!A178</f>
        <v>180</v>
      </c>
      <c r="B190" s="181">
        <f>'Données projet'!D178</f>
        <v>175.59000000000003</v>
      </c>
      <c r="C190" s="193">
        <v>135.13499999999999</v>
      </c>
      <c r="D190" s="179">
        <f t="shared" si="11"/>
        <v>23728.354650000001</v>
      </c>
      <c r="E190" s="193">
        <v>60</v>
      </c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45">
      <c r="A191" s="180">
        <f>'Données projet'!A179</f>
        <v>184</v>
      </c>
      <c r="B191" s="181">
        <f>'Données projet'!D179</f>
        <v>101.19999999999999</v>
      </c>
      <c r="C191" s="193">
        <v>135.13499999999999</v>
      </c>
      <c r="D191" s="179">
        <f t="shared" si="11"/>
        <v>13675.661999999998</v>
      </c>
      <c r="E191" s="193">
        <v>60</v>
      </c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45">
      <c r="A192" s="180">
        <f>'Données projet'!A180</f>
        <v>188</v>
      </c>
      <c r="B192" s="181">
        <f>'Données projet'!D180</f>
        <v>72.180000000000007</v>
      </c>
      <c r="C192" s="193">
        <v>135.13499999999999</v>
      </c>
      <c r="D192" s="179">
        <f t="shared" si="11"/>
        <v>9754.0442999999996</v>
      </c>
      <c r="E192" s="193">
        <v>60</v>
      </c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45">
      <c r="A193" s="180">
        <f>'Données projet'!A181</f>
        <v>191</v>
      </c>
      <c r="B193" s="181">
        <f>'Données projet'!D181</f>
        <v>145.01</v>
      </c>
      <c r="C193" s="193">
        <v>190.06649999999999</v>
      </c>
      <c r="D193" s="179">
        <f t="shared" si="11"/>
        <v>27561.543164999995</v>
      </c>
      <c r="E193" s="193">
        <v>60</v>
      </c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4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4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4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4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4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4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4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4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4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4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4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4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4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4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4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4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4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4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4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4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4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4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4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4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4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4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4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4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4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4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4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4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4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4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4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4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4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4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4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4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4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4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4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4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4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4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4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4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4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4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4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4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4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4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4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4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4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4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4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4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4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4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4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4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4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4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4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4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4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4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4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4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4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4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4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4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4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4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4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4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4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4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4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4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4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4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4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4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4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4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4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4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4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4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4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4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4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4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4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4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4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4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4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4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4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4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4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4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4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4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4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4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4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4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4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4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4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4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4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4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4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4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4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4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4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4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4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4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4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4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4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4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4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4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4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4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4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4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4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4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4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4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4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4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4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4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4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4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4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4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4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4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4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4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4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4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4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4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4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4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4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4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4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4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4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4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4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4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4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4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4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4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4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4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4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4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4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4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4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4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4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4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4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4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4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4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4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4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4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4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4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4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4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4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4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4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4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4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4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4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4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4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4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4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4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4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4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4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4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4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4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4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4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4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4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4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4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4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4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4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4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4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4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4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4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4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4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4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4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4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4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4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4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4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4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4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4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4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4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4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4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4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4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4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4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4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4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4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4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4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4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4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4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4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4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4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4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4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4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4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4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4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4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4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4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4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4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4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4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4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4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4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4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4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4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4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4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4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4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4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4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4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4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4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4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4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4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4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4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4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4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4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4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4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4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4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4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4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4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4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4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4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4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4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4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4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4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4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4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4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4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4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4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4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4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4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4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4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4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4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4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4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4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4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4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4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4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4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4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4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4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4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4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4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4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4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4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4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4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4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4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4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4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4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4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4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4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4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4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4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4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4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4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4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4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4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4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4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4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6884909D472E4887D0D71289C24DC5" ma:contentTypeVersion="16" ma:contentTypeDescription="Create a new document." ma:contentTypeScope="" ma:versionID="b650ad57ab3a7623fd3df204a7303bfb">
  <xsd:schema xmlns:xsd="http://www.w3.org/2001/XMLSchema" xmlns:xs="http://www.w3.org/2001/XMLSchema" xmlns:p="http://schemas.microsoft.com/office/2006/metadata/properties" xmlns:ns2="0b31a522-a3bf-48c4-bec5-a17f159ba481" xmlns:ns3="e2382d34-9bb8-44b7-b653-fe70b92f328c" targetNamespace="http://schemas.microsoft.com/office/2006/metadata/properties" ma:root="true" ma:fieldsID="87e2e07588c417d1119dc0de3bcdcb0c" ns2:_="" ns3:_="">
    <xsd:import namespace="0b31a522-a3bf-48c4-bec5-a17f159ba481"/>
    <xsd:import namespace="e2382d34-9bb8-44b7-b653-fe70b92f32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1a522-a3bf-48c4-bec5-a17f159ba4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1090b2c-5079-4c1b-ae3e-0f22ffb919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82d34-9bb8-44b7-b653-fe70b92f328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ea42f30-ac50-40fe-8b72-1112505a2dd8}" ma:internalName="TaxCatchAll" ma:showField="CatchAllData" ma:web="e2382d34-9bb8-44b7-b653-fe70b92f32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382d34-9bb8-44b7-b653-fe70b92f328c" xsi:nil="true"/>
    <lcf76f155ced4ddcb4097134ff3c332f xmlns="0b31a522-a3bf-48c4-bec5-a17f159ba481">
      <Terms xmlns="http://schemas.microsoft.com/office/infopath/2007/PartnerControls"/>
    </lcf76f155ced4ddcb4097134ff3c332f>
    <_Flow_SignoffStatus xmlns="0b31a522-a3bf-48c4-bec5-a17f159ba481" xsi:nil="true"/>
  </documentManagement>
</p:properties>
</file>

<file path=customXml/itemProps1.xml><?xml version="1.0" encoding="utf-8"?>
<ds:datastoreItem xmlns:ds="http://schemas.openxmlformats.org/officeDocument/2006/customXml" ds:itemID="{1BA9C4F4-79D1-487D-87F3-D5BF22B298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31a522-a3bf-48c4-bec5-a17f159ba481"/>
    <ds:schemaRef ds:uri="e2382d34-9bb8-44b7-b653-fe70b92f32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7375F83-DE23-4706-80ED-4A8DA07E8E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A6861AC-80B4-4803-8030-7424409AD984}">
  <ds:schemaRefs>
    <ds:schemaRef ds:uri="http://schemas.microsoft.com/office/2006/metadata/properties"/>
    <ds:schemaRef ds:uri="http://schemas.microsoft.com/office/infopath/2007/PartnerControls"/>
    <ds:schemaRef ds:uri="e2382d34-9bb8-44b7-b653-fe70b92f328c"/>
    <ds:schemaRef ds:uri="0b31a522-a3bf-48c4-bec5-a17f159ba48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Lucas ELLENS</cp:lastModifiedBy>
  <dcterms:created xsi:type="dcterms:W3CDTF">2021-02-01T08:22:39Z</dcterms:created>
  <dcterms:modified xsi:type="dcterms:W3CDTF">2024-04-08T12:38:17Z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0x010100A36884909D472E4887D0D71289C24DC5</vt:lpwstr>
  </property>
  <property fmtid="{D5CDD505-2E9C-101B-9397-08002B2CF9AE}" pid="3" name="Order">
    <vt:r8>2102600</vt:r8>
  </property>
  <property fmtid="{D5CDD505-2E9C-101B-9397-08002B2CF9AE}" pid="4" name="MediaServiceImageTags">
    <vt:lpwstr/>
  </property>
</Properties>
</file>