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LE MENN - 15365640 CD/"/>
    </mc:Choice>
  </mc:AlternateContent>
  <xr:revisionPtr revIDLastSave="0" documentId="14_{2017466F-30C6-4ECA-A644-467CDE523F47}" xr6:coauthVersionLast="47" xr6:coauthVersionMax="47" xr10:uidLastSave="{00000000-0000-0000-0000-000000000000}"/>
  <bookViews>
    <workbookView xWindow="-90" yWindow="0" windowWidth="11460" windowHeight="1441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I23" i="6"/>
  <c r="I24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C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EA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I156" i="2" l="1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HG161" i="2"/>
  <c r="EB161" i="2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DH164" i="2"/>
  <c r="H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FR167" i="2"/>
  <c r="EA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S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FS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47" i="2" a="1"/>
  <c r="BC47" i="2" s="1"/>
  <c r="BC126" i="2" a="1"/>
  <c r="BC126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68" i="2" l="1" a="1"/>
  <c r="BC68" i="2" s="1"/>
  <c r="BC34" i="2" a="1"/>
  <c r="BC34" i="2" s="1"/>
  <c r="BC65" i="2" a="1"/>
  <c r="BC65" i="2" s="1"/>
  <c r="BC114" i="2" a="1"/>
  <c r="BC114" i="2" s="1"/>
  <c r="AH92" i="2" a="1"/>
  <c r="AH92" i="2" s="1"/>
  <c r="BC82" i="2" a="1"/>
  <c r="BC82" i="2" s="1"/>
  <c r="BX107" i="2" a="1"/>
  <c r="BX107" i="2" s="1"/>
  <c r="BC58" i="2" a="1"/>
  <c r="BC58" i="2" s="1"/>
  <c r="BC7" i="2" a="1"/>
  <c r="BC7" i="2" s="1"/>
  <c r="BC185" i="2" a="1"/>
  <c r="BC185" i="2" s="1"/>
  <c r="BC143" i="2" a="1"/>
  <c r="BC143" i="2" s="1"/>
  <c r="BC117" i="2" a="1"/>
  <c r="BC117" i="2" s="1"/>
  <c r="BC31" i="2" a="1"/>
  <c r="BC31" i="2" s="1"/>
  <c r="BC181" i="2" a="1"/>
  <c r="BC181" i="2" s="1"/>
  <c r="AH166" i="2" a="1"/>
  <c r="AH166" i="2" s="1"/>
  <c r="AH90" i="2" a="1"/>
  <c r="AH90" i="2" s="1"/>
  <c r="AH19" i="2" a="1"/>
  <c r="AH19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<sst xmlns="http://schemas.openxmlformats.org/spreadsheetml/2006/main" count="1172" uniqueCount="324">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</sst>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1.8509788036473005</c:v>
                </c:pt>
                <c:pt idx="2">
                  <c:v>2.35728653712914</c:v>
                </c:pt>
                <c:pt idx="3">
                  <c:v>3.0026432755444432</c:v>
                </c:pt>
                <c:pt idx="4">
                  <c:v>3.8253807493365612</c:v>
                </c:pt>
                <c:pt idx="5">
                  <c:v>4.8744348843974343</c:v>
                </c:pt>
                <c:pt idx="6">
                  <c:v>6.2122889663030882</c:v>
                </c:pt>
                <c:pt idx="7">
                  <c:v>7.9187361310716495</c:v>
                </c:pt>
                <c:pt idx="8">
                  <c:v>10.095689897699605</c:v>
                </c:pt>
                <c:pt idx="9">
                  <c:v>12.873335463924604</c:v>
                </c:pt>
                <c:pt idx="10">
                  <c:v>16.417996445784841</c:v>
                </c:pt>
                <c:pt idx="11">
                  <c:v>20.942196699493092</c:v>
                </c:pt>
                <c:pt idx="12">
                  <c:v>26.717531287639904</c:v>
                </c:pt>
                <c:pt idx="13">
                  <c:v>34.091132829068357</c:v>
                </c:pt>
                <c:pt idx="14">
                  <c:v>43.50674002669458</c:v>
                </c:pt>
                <c:pt idx="15">
                  <c:v>55.531657718475003</c:v>
                </c:pt>
                <c:pt idx="16">
                  <c:v>70.891259802074913</c:v>
                </c:pt>
                <c:pt idx="17">
                  <c:v>90.513150226451685</c:v>
                </c:pt>
                <c:pt idx="18">
                  <c:v>115.58369162191825</c:v>
                </c:pt>
                <c:pt idx="19">
                  <c:v>147.62037285270299</c:v>
                </c:pt>
                <c:pt idx="20">
                  <c:v>188.56446301037093</c:v>
                </c:pt>
                <c:pt idx="21">
                  <c:v>240.89965063717693</c:v>
                </c:pt>
                <c:pt idx="22">
                  <c:v>189.04202807994034</c:v>
                </c:pt>
                <c:pt idx="23">
                  <c:v>215.15342463898321</c:v>
                </c:pt>
                <c:pt idx="24">
                  <c:v>241.19184691434074</c:v>
                </c:pt>
                <c:pt idx="25">
                  <c:v>267.16628064802683</c:v>
                </c:pt>
                <c:pt idx="26">
                  <c:v>293.08381945726882</c:v>
                </c:pt>
                <c:pt idx="27">
                  <c:v>318.95019910944154</c:v>
                </c:pt>
                <c:pt idx="28">
                  <c:v>344.77014888445569</c:v>
                </c:pt>
                <c:pt idx="29">
                  <c:v>291.71133121384406</c:v>
                </c:pt>
                <c:pt idx="30">
                  <c:v>319.55482794919106</c:v>
                </c:pt>
                <c:pt idx="31">
                  <c:v>347.34463397985468</c:v>
                </c:pt>
                <c:pt idx="32">
                  <c:v>375.08564490548923</c:v>
                </c:pt>
                <c:pt idx="33">
                  <c:v>402.7819732878761</c:v>
                </c:pt>
                <c:pt idx="34">
                  <c:v>430.43712024820735</c:v>
                </c:pt>
                <c:pt idx="35">
                  <c:v>458.05410062543029</c:v>
                </c:pt>
                <c:pt idx="36">
                  <c:v>382.17113729816555</c:v>
                </c:pt>
                <c:pt idx="37">
                  <c:v>409.36399949084267</c:v>
                </c:pt>
                <c:pt idx="38">
                  <c:v>436.51786568126948</c:v>
                </c:pt>
                <c:pt idx="39">
                  <c:v>463.6354999741024</c:v>
                </c:pt>
                <c:pt idx="40">
                  <c:v>490.71931703138534</c:v>
                </c:pt>
                <c:pt idx="41">
                  <c:v>517.77144348721811</c:v>
                </c:pt>
                <c:pt idx="42">
                  <c:v>544.79376586036392</c:v>
                </c:pt>
                <c:pt idx="43">
                  <c:v>452.34750719947556</c:v>
                </c:pt>
                <c:pt idx="44">
                  <c:v>478.4005360751608</c:v>
                </c:pt>
                <c:pt idx="45">
                  <c:v>504.42340900612658</c:v>
                </c:pt>
                <c:pt idx="46">
                  <c:v>530.41789868871319</c:v>
                </c:pt>
                <c:pt idx="47">
                  <c:v>556.38559007869458</c:v>
                </c:pt>
                <c:pt idx="48">
                  <c:v>582.32790828367308</c:v>
                </c:pt>
                <c:pt idx="49">
                  <c:v>608.24614122919252</c:v>
                </c:pt>
                <c:pt idx="50">
                  <c:v>499.13793525894647</c:v>
                </c:pt>
                <c:pt idx="51">
                  <c:v>523.22859347726126</c:v>
                </c:pt>
                <c:pt idx="52">
                  <c:v>547.29588672843067</c:v>
                </c:pt>
                <c:pt idx="53">
                  <c:v>571.34098589377538</c:v>
                </c:pt>
                <c:pt idx="54">
                  <c:v>595.36495536808297</c:v>
                </c:pt>
                <c:pt idx="55">
                  <c:v>619.36876673610948</c:v>
                </c:pt>
                <c:pt idx="56">
                  <c:v>643.35331022019807</c:v>
                </c:pt>
                <c:pt idx="57">
                  <c:v>553.64128580472936</c:v>
                </c:pt>
                <c:pt idx="58">
                  <c:v>575.62834503087436</c:v>
                </c:pt>
                <c:pt idx="59">
                  <c:v>597.59788119005009</c:v>
                </c:pt>
                <c:pt idx="60">
                  <c:v>619.55062847605086</c:v>
                </c:pt>
                <c:pt idx="61">
                  <c:v>641.48726486437431</c:v>
                </c:pt>
                <c:pt idx="62">
                  <c:v>663.40841823076346</c:v>
                </c:pt>
                <c:pt idx="63">
                  <c:v>685.31467161968374</c:v>
                </c:pt>
                <c:pt idx="64">
                  <c:v>587.63009692280377</c:v>
                </c:pt>
                <c:pt idx="65">
                  <c:v>607.30952025630938</c:v>
                </c:pt>
                <c:pt idx="66">
                  <c:v>626.97570890133682</c:v>
                </c:pt>
                <c:pt idx="67">
                  <c:v>646.62913604618188</c:v>
                </c:pt>
                <c:pt idx="68">
                  <c:v>666.27024379726197</c:v>
                </c:pt>
                <c:pt idx="69">
                  <c:v>685.89944609535667</c:v>
                </c:pt>
                <c:pt idx="70">
                  <c:v>705.51713128095355</c:v>
                </c:pt>
                <c:pt idx="71">
                  <c:v>7.820597394917325E-12</c:v>
                </c:pt>
                <c:pt idx="72">
                  <c:v>7.820597394917325E-12</c:v>
                </c:pt>
                <c:pt idx="73">
                  <c:v>7.820597394917325E-12</c:v>
                </c:pt>
                <c:pt idx="74">
                  <c:v>7.820597394917325E-12</c:v>
                </c:pt>
                <c:pt idx="75">
                  <c:v>7.820597394917325E-12</c:v>
                </c:pt>
                <c:pt idx="76">
                  <c:v>7.820597394917325E-12</c:v>
                </c:pt>
                <c:pt idx="77">
                  <c:v>7.820597394917325E-12</c:v>
                </c:pt>
                <c:pt idx="78">
                  <c:v>7.820597394917325E-12</c:v>
                </c:pt>
                <c:pt idx="79">
                  <c:v>7.820597394917325E-12</c:v>
                </c:pt>
                <c:pt idx="80">
                  <c:v>7.820597394917325E-12</c:v>
                </c:pt>
                <c:pt idx="81">
                  <c:v>7.820597394917325E-12</c:v>
                </c:pt>
                <c:pt idx="82">
                  <c:v>7.820597394917325E-12</c:v>
                </c:pt>
                <c:pt idx="83">
                  <c:v>7.820597394917325E-12</c:v>
                </c:pt>
                <c:pt idx="84">
                  <c:v>7.820597394917325E-12</c:v>
                </c:pt>
                <c:pt idx="85">
                  <c:v>7.820597394917325E-12</c:v>
                </c:pt>
                <c:pt idx="86">
                  <c:v>7.820597394917325E-12</c:v>
                </c:pt>
                <c:pt idx="87">
                  <c:v>7.820597394917325E-12</c:v>
                </c:pt>
                <c:pt idx="88">
                  <c:v>7.820597394917325E-12</c:v>
                </c:pt>
                <c:pt idx="89">
                  <c:v>7.820597394917325E-12</c:v>
                </c:pt>
                <c:pt idx="90">
                  <c:v>7.820597394917325E-12</c:v>
                </c:pt>
                <c:pt idx="91">
                  <c:v>7.820597394917325E-12</c:v>
                </c:pt>
                <c:pt idx="92">
                  <c:v>7.820597394917325E-12</c:v>
                </c:pt>
                <c:pt idx="93">
                  <c:v>7.820597394917325E-12</c:v>
                </c:pt>
                <c:pt idx="94">
                  <c:v>7.820597394917325E-12</c:v>
                </c:pt>
                <c:pt idx="95">
                  <c:v>7.820597394917325E-12</c:v>
                </c:pt>
                <c:pt idx="96">
                  <c:v>7.820597394917325E-12</c:v>
                </c:pt>
                <c:pt idx="97">
                  <c:v>7.820597394917325E-12</c:v>
                </c:pt>
                <c:pt idx="98">
                  <c:v>7.820597394917325E-12</c:v>
                </c:pt>
                <c:pt idx="99">
                  <c:v>7.820597394917325E-12</c:v>
                </c:pt>
                <c:pt idx="100">
                  <c:v>7.820597394917325E-12</c:v>
                </c:pt>
                <c:pt idx="101">
                  <c:v>7.820597394917325E-12</c:v>
                </c:pt>
                <c:pt idx="102">
                  <c:v>7.820597394917325E-12</c:v>
                </c:pt>
                <c:pt idx="103">
                  <c:v>7.820597394917325E-12</c:v>
                </c:pt>
                <c:pt idx="104">
                  <c:v>7.820597394917325E-12</c:v>
                </c:pt>
                <c:pt idx="105">
                  <c:v>7.820597394917325E-12</c:v>
                </c:pt>
                <c:pt idx="106">
                  <c:v>7.820597394917325E-12</c:v>
                </c:pt>
                <c:pt idx="107">
                  <c:v>7.820597394917325E-12</c:v>
                </c:pt>
                <c:pt idx="108">
                  <c:v>7.820597394917325E-12</c:v>
                </c:pt>
                <c:pt idx="109">
                  <c:v>7.820597394917325E-12</c:v>
                </c:pt>
                <c:pt idx="110">
                  <c:v>7.820597394917325E-12</c:v>
                </c:pt>
                <c:pt idx="111">
                  <c:v>7.820597394917325E-12</c:v>
                </c:pt>
                <c:pt idx="112">
                  <c:v>7.820597394917325E-12</c:v>
                </c:pt>
                <c:pt idx="113">
                  <c:v>7.820597394917325E-12</c:v>
                </c:pt>
                <c:pt idx="114">
                  <c:v>7.820597394917325E-12</c:v>
                </c:pt>
                <c:pt idx="115">
                  <c:v>7.820597394917325E-12</c:v>
                </c:pt>
                <c:pt idx="116">
                  <c:v>7.820597394917325E-12</c:v>
                </c:pt>
                <c:pt idx="117">
                  <c:v>7.820597394917325E-12</c:v>
                </c:pt>
                <c:pt idx="118">
                  <c:v>7.820597394917325E-12</c:v>
                </c:pt>
                <c:pt idx="119">
                  <c:v>7.820597394917325E-12</c:v>
                </c:pt>
                <c:pt idx="120">
                  <c:v>7.820597394917325E-12</c:v>
                </c:pt>
                <c:pt idx="121">
                  <c:v>7.820597394917325E-12</c:v>
                </c:pt>
                <c:pt idx="122">
                  <c:v>7.820597394917325E-12</c:v>
                </c:pt>
                <c:pt idx="123">
                  <c:v>7.820597394917325E-12</c:v>
                </c:pt>
                <c:pt idx="124">
                  <c:v>7.820597394917325E-12</c:v>
                </c:pt>
                <c:pt idx="125">
                  <c:v>7.820597394917325E-12</c:v>
                </c:pt>
                <c:pt idx="126">
                  <c:v>7.820597394917325E-12</c:v>
                </c:pt>
                <c:pt idx="127">
                  <c:v>7.820597394917325E-12</c:v>
                </c:pt>
                <c:pt idx="128">
                  <c:v>7.820597394917325E-12</c:v>
                </c:pt>
                <c:pt idx="129">
                  <c:v>7.820597394917325E-12</c:v>
                </c:pt>
                <c:pt idx="130">
                  <c:v>7.820597394917325E-12</c:v>
                </c:pt>
                <c:pt idx="131">
                  <c:v>7.820597394917325E-12</c:v>
                </c:pt>
                <c:pt idx="132">
                  <c:v>7.820597394917325E-12</c:v>
                </c:pt>
                <c:pt idx="133">
                  <c:v>7.820597394917325E-12</c:v>
                </c:pt>
                <c:pt idx="134">
                  <c:v>7.820597394917325E-12</c:v>
                </c:pt>
                <c:pt idx="135">
                  <c:v>7.820597394917325E-12</c:v>
                </c:pt>
                <c:pt idx="136">
                  <c:v>7.820597394917325E-12</c:v>
                </c:pt>
                <c:pt idx="137">
                  <c:v>7.820597394917325E-12</c:v>
                </c:pt>
                <c:pt idx="138">
                  <c:v>7.820597394917325E-12</c:v>
                </c:pt>
                <c:pt idx="139">
                  <c:v>7.820597394917325E-12</c:v>
                </c:pt>
                <c:pt idx="140">
                  <c:v>7.820597394917325E-12</c:v>
                </c:pt>
                <c:pt idx="141">
                  <c:v>7.820597394917325E-12</c:v>
                </c:pt>
                <c:pt idx="142">
                  <c:v>7.820597394917325E-12</c:v>
                </c:pt>
                <c:pt idx="143">
                  <c:v>7.820597394917325E-12</c:v>
                </c:pt>
                <c:pt idx="144">
                  <c:v>7.820597394917325E-12</c:v>
                </c:pt>
                <c:pt idx="145">
                  <c:v>7.820597394917325E-12</c:v>
                </c:pt>
                <c:pt idx="146">
                  <c:v>7.820597394917325E-12</c:v>
                </c:pt>
                <c:pt idx="147">
                  <c:v>7.820597394917325E-12</c:v>
                </c:pt>
                <c:pt idx="148">
                  <c:v>7.820597394917325E-12</c:v>
                </c:pt>
                <c:pt idx="149">
                  <c:v>7.820597394917325E-12</c:v>
                </c:pt>
                <c:pt idx="150">
                  <c:v>7.820597394917325E-12</c:v>
                </c:pt>
                <c:pt idx="151">
                  <c:v>7.820597394917325E-12</c:v>
                </c:pt>
                <c:pt idx="152">
                  <c:v>7.820597394917325E-12</c:v>
                </c:pt>
                <c:pt idx="153">
                  <c:v>7.820597394917325E-12</c:v>
                </c:pt>
                <c:pt idx="154">
                  <c:v>7.820597394917325E-12</c:v>
                </c:pt>
                <c:pt idx="155">
                  <c:v>7.820597394917325E-12</c:v>
                </c:pt>
                <c:pt idx="156">
                  <c:v>7.820597394917325E-12</c:v>
                </c:pt>
                <c:pt idx="157">
                  <c:v>7.820597394917325E-12</c:v>
                </c:pt>
                <c:pt idx="158">
                  <c:v>7.820597394917325E-12</c:v>
                </c:pt>
                <c:pt idx="159">
                  <c:v>7.820597394917325E-12</c:v>
                </c:pt>
                <c:pt idx="160">
                  <c:v>7.820597394917325E-12</c:v>
                </c:pt>
                <c:pt idx="161">
                  <c:v>7.820597394917325E-12</c:v>
                </c:pt>
                <c:pt idx="162">
                  <c:v>7.820597394917325E-12</c:v>
                </c:pt>
                <c:pt idx="163">
                  <c:v>7.820597394917325E-12</c:v>
                </c:pt>
                <c:pt idx="164">
                  <c:v>7.820597394917325E-12</c:v>
                </c:pt>
                <c:pt idx="165">
                  <c:v>7.820597394917325E-12</c:v>
                </c:pt>
                <c:pt idx="166">
                  <c:v>7.820597394917325E-12</c:v>
                </c:pt>
                <c:pt idx="167">
                  <c:v>7.820597394917325E-12</c:v>
                </c:pt>
                <c:pt idx="168">
                  <c:v>7.820597394917325E-12</c:v>
                </c:pt>
                <c:pt idx="169">
                  <c:v>7.820597394917325E-12</c:v>
                </c:pt>
                <c:pt idx="170">
                  <c:v>7.820597394917325E-12</c:v>
                </c:pt>
                <c:pt idx="171">
                  <c:v>7.820597394917325E-12</c:v>
                </c:pt>
                <c:pt idx="172">
                  <c:v>7.820597394917325E-12</c:v>
                </c:pt>
                <c:pt idx="173">
                  <c:v>7.820597394917325E-12</c:v>
                </c:pt>
                <c:pt idx="174">
                  <c:v>7.820597394917325E-12</c:v>
                </c:pt>
                <c:pt idx="175">
                  <c:v>7.820597394917325E-12</c:v>
                </c:pt>
                <c:pt idx="176">
                  <c:v>7.820597394917325E-12</c:v>
                </c:pt>
                <c:pt idx="177">
                  <c:v>7.820597394917325E-12</c:v>
                </c:pt>
                <c:pt idx="178">
                  <c:v>7.820597394917325E-12</c:v>
                </c:pt>
                <c:pt idx="179">
                  <c:v>7.820597394917325E-12</c:v>
                </c:pt>
                <c:pt idx="180">
                  <c:v>7.820597394917325E-12</c:v>
                </c:pt>
                <c:pt idx="181">
                  <c:v>7.820597394917325E-12</c:v>
                </c:pt>
                <c:pt idx="182">
                  <c:v>7.820597394917325E-12</c:v>
                </c:pt>
                <c:pt idx="183">
                  <c:v>7.820597394917325E-12</c:v>
                </c:pt>
                <c:pt idx="184">
                  <c:v>7.820597394917325E-12</c:v>
                </c:pt>
                <c:pt idx="185">
                  <c:v>7.820597394917325E-12</c:v>
                </c:pt>
                <c:pt idx="186">
                  <c:v>7.820597394917325E-12</c:v>
                </c:pt>
                <c:pt idx="187">
                  <c:v>7.820597394917325E-12</c:v>
                </c:pt>
                <c:pt idx="188">
                  <c:v>7.820597394917325E-12</c:v>
                </c:pt>
                <c:pt idx="189">
                  <c:v>7.820597394917325E-12</c:v>
                </c:pt>
                <c:pt idx="190">
                  <c:v>7.820597394917325E-12</c:v>
                </c:pt>
                <c:pt idx="191">
                  <c:v>7.820597394917325E-12</c:v>
                </c:pt>
                <c:pt idx="192">
                  <c:v>7.820597394917325E-12</c:v>
                </c:pt>
                <c:pt idx="193">
                  <c:v>7.820597394917325E-12</c:v>
                </c:pt>
                <c:pt idx="194">
                  <c:v>7.820597394917325E-12</c:v>
                </c:pt>
                <c:pt idx="195">
                  <c:v>7.820597394917325E-12</c:v>
                </c:pt>
                <c:pt idx="196">
                  <c:v>7.820597394917325E-12</c:v>
                </c:pt>
                <c:pt idx="197">
                  <c:v>7.820597394917325E-12</c:v>
                </c:pt>
                <c:pt idx="198">
                  <c:v>7.820597394917325E-12</c:v>
                </c:pt>
                <c:pt idx="199">
                  <c:v>7.820597394917325E-12</c:v>
                </c:pt>
                <c:pt idx="200">
                  <c:v>7.820597394917325E-12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1.487708571830886</c:v>
                </c:pt>
                <c:pt idx="2">
                  <c:v>1.8063244645912075</c:v>
                </c:pt>
                <c:pt idx="3">
                  <c:v>2.193441988325747</c:v>
                </c:pt>
                <c:pt idx="4">
                  <c:v>2.6638428125097842</c:v>
                </c:pt>
                <c:pt idx="5">
                  <c:v>3.2355092314076099</c:v>
                </c:pt>
                <c:pt idx="6">
                  <c:v>3.9303193983364859</c:v>
                </c:pt>
                <c:pt idx="7">
                  <c:v>4.7748940234812096</c:v>
                </c:pt>
                <c:pt idx="8">
                  <c:v>5.8016276226126307</c:v>
                </c:pt>
                <c:pt idx="9">
                  <c:v>7.0499446499537939</c:v>
                </c:pt>
                <c:pt idx="10">
                  <c:v>8.5678296847047104</c:v>
                </c:pt>
                <c:pt idx="11">
                  <c:v>10.413691617160287</c:v>
                </c:pt>
                <c:pt idx="12">
                  <c:v>12.658634923786138</c:v>
                </c:pt>
                <c:pt idx="13">
                  <c:v>15.38922715198346</c:v>
                </c:pt>
                <c:pt idx="14">
                  <c:v>18.710871290357538</c:v>
                </c:pt>
                <c:pt idx="15">
                  <c:v>22.751915555095071</c:v>
                </c:pt>
                <c:pt idx="16">
                  <c:v>27.668662224725569</c:v>
                </c:pt>
                <c:pt idx="17">
                  <c:v>33.651472660263259</c:v>
                </c:pt>
                <c:pt idx="18">
                  <c:v>40.932208966857907</c:v>
                </c:pt>
                <c:pt idx="19">
                  <c:v>49.793305609579022</c:v>
                </c:pt>
                <c:pt idx="20">
                  <c:v>60.578828793259014</c:v>
                </c:pt>
                <c:pt idx="21">
                  <c:v>73.707960122497852</c:v>
                </c:pt>
                <c:pt idx="22">
                  <c:v>89.691437108461628</c:v>
                </c:pt>
                <c:pt idx="23">
                  <c:v>109.15160031240815</c:v>
                </c:pt>
                <c:pt idx="24">
                  <c:v>132.84683998665642</c:v>
                </c:pt>
                <c:pt idx="25">
                  <c:v>161.70140970029556</c:v>
                </c:pt>
                <c:pt idx="26">
                  <c:v>136.74439615020125</c:v>
                </c:pt>
                <c:pt idx="27">
                  <c:v>164.75077334312192</c:v>
                </c:pt>
                <c:pt idx="28">
                  <c:v>192.6444161741795</c:v>
                </c:pt>
                <c:pt idx="29">
                  <c:v>220.44397098530533</c:v>
                </c:pt>
                <c:pt idx="30">
                  <c:v>200.23480062612774</c:v>
                </c:pt>
                <c:pt idx="31">
                  <c:v>232.54877790391367</c:v>
                </c:pt>
                <c:pt idx="32">
                  <c:v>264.76009082333889</c:v>
                </c:pt>
                <c:pt idx="33">
                  <c:v>296.88298625047742</c:v>
                </c:pt>
                <c:pt idx="34">
                  <c:v>328.92837104423444</c:v>
                </c:pt>
                <c:pt idx="35">
                  <c:v>296.28142501216269</c:v>
                </c:pt>
                <c:pt idx="36">
                  <c:v>328.7283093698781</c:v>
                </c:pt>
                <c:pt idx="37">
                  <c:v>361.10450336561422</c:v>
                </c:pt>
                <c:pt idx="38">
                  <c:v>393.41722914254575</c:v>
                </c:pt>
                <c:pt idx="39">
                  <c:v>425.67242592235561</c:v>
                </c:pt>
                <c:pt idx="40">
                  <c:v>385.64370369702669</c:v>
                </c:pt>
                <c:pt idx="41">
                  <c:v>415.32485548223758</c:v>
                </c:pt>
                <c:pt idx="42">
                  <c:v>444.96027949966771</c:v>
                </c:pt>
                <c:pt idx="43">
                  <c:v>474.55344560757021</c:v>
                </c:pt>
                <c:pt idx="44">
                  <c:v>504.10735599489294</c:v>
                </c:pt>
                <c:pt idx="45">
                  <c:v>476.67043320372562</c:v>
                </c:pt>
                <c:pt idx="46">
                  <c:v>501.79464523740444</c:v>
                </c:pt>
                <c:pt idx="47">
                  <c:v>526.89224796595784</c:v>
                </c:pt>
                <c:pt idx="48">
                  <c:v>551.96468570905517</c:v>
                </c:pt>
                <c:pt idx="49">
                  <c:v>577.01326101134964</c:v>
                </c:pt>
                <c:pt idx="50">
                  <c:v>602.0391542325317</c:v>
                </c:pt>
                <c:pt idx="51">
                  <c:v>567.62276426035078</c:v>
                </c:pt>
                <c:pt idx="52">
                  <c:v>587.55317950213123</c:v>
                </c:pt>
                <c:pt idx="53">
                  <c:v>607.46951736202516</c:v>
                </c:pt>
                <c:pt idx="54">
                  <c:v>627.37230392798858</c:v>
                </c:pt>
                <c:pt idx="55">
                  <c:v>647.26202921811966</c:v>
                </c:pt>
                <c:pt idx="56">
                  <c:v>667.13915070848282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1.4678096381152426</c:v>
                </c:pt>
                <c:pt idx="2">
                  <c:v>1.8577125064402493</c:v>
                </c:pt>
                <c:pt idx="3">
                  <c:v>2.3516058449587698</c:v>
                </c:pt>
                <c:pt idx="4">
                  <c:v>2.9773303702260798</c:v>
                </c:pt>
                <c:pt idx="5">
                  <c:v>3.7702069504069935</c:v>
                </c:pt>
                <c:pt idx="6">
                  <c:v>4.775052990760897</c:v>
                </c:pt>
                <c:pt idx="7">
                  <c:v>6.0487440231116798</c:v>
                </c:pt>
                <c:pt idx="8">
                  <c:v>7.6634683274288991</c:v>
                </c:pt>
                <c:pt idx="9">
                  <c:v>9.7108625983638834</c:v>
                </c:pt>
                <c:pt idx="10">
                  <c:v>12.30726780313973</c:v>
                </c:pt>
                <c:pt idx="11">
                  <c:v>15.600409448968461</c:v>
                </c:pt>
                <c:pt idx="12">
                  <c:v>19.77788929527058</c:v>
                </c:pt>
                <c:pt idx="13">
                  <c:v>25.077980957302103</c:v>
                </c:pt>
                <c:pt idx="14">
                  <c:v>31.803356029588638</c:v>
                </c:pt>
                <c:pt idx="15">
                  <c:v>40.33853817733057</c:v>
                </c:pt>
                <c:pt idx="16">
                  <c:v>51.172100124303235</c:v>
                </c:pt>
                <c:pt idx="17">
                  <c:v>64.924895375729704</c:v>
                </c:pt>
                <c:pt idx="18">
                  <c:v>82.385969123201647</c:v>
                </c:pt>
                <c:pt idx="19">
                  <c:v>104.55824181585456</c:v>
                </c:pt>
                <c:pt idx="20">
                  <c:v>132.71663076326527</c:v>
                </c:pt>
                <c:pt idx="21">
                  <c:v>149.86349088994214</c:v>
                </c:pt>
                <c:pt idx="22">
                  <c:v>171.75929390005538</c:v>
                </c:pt>
                <c:pt idx="23">
                  <c:v>193.58937066536194</c:v>
                </c:pt>
                <c:pt idx="24">
                  <c:v>215.36217958372643</c:v>
                </c:pt>
                <c:pt idx="25">
                  <c:v>237.08432568129535</c:v>
                </c:pt>
                <c:pt idx="26">
                  <c:v>201.4261589469568</c:v>
                </c:pt>
                <c:pt idx="27">
                  <c:v>225.84813487839025</c:v>
                </c:pt>
                <c:pt idx="28">
                  <c:v>250.20960494403877</c:v>
                </c:pt>
                <c:pt idx="29">
                  <c:v>274.51728748697752</c:v>
                </c:pt>
                <c:pt idx="30">
                  <c:v>298.776612945463</c:v>
                </c:pt>
                <c:pt idx="31">
                  <c:v>263.88892164359248</c:v>
                </c:pt>
                <c:pt idx="32">
                  <c:v>288.73729643997962</c:v>
                </c:pt>
                <c:pt idx="33">
                  <c:v>313.53786869396725</c:v>
                </c:pt>
                <c:pt idx="34">
                  <c:v>338.29494871140395</c:v>
                </c:pt>
                <c:pt idx="35">
                  <c:v>363.01216447261658</c:v>
                </c:pt>
                <c:pt idx="36">
                  <c:v>327.52788280677879</c:v>
                </c:pt>
                <c:pt idx="37">
                  <c:v>351.50737289573021</c:v>
                </c:pt>
                <c:pt idx="38">
                  <c:v>375.45100724100371</c:v>
                </c:pt>
                <c:pt idx="39">
                  <c:v>399.36139216370793</c:v>
                </c:pt>
                <c:pt idx="40">
                  <c:v>423.24079659257137</c:v>
                </c:pt>
                <c:pt idx="41">
                  <c:v>386.75124975440627</c:v>
                </c:pt>
                <c:pt idx="42">
                  <c:v>409.51850419898801</c:v>
                </c:pt>
                <c:pt idx="43">
                  <c:v>432.25843496585861</c:v>
                </c:pt>
                <c:pt idx="44">
                  <c:v>454.97268045088828</c:v>
                </c:pt>
                <c:pt idx="45">
                  <c:v>477.66270222958752</c:v>
                </c:pt>
                <c:pt idx="46">
                  <c:v>439.95779815210875</c:v>
                </c:pt>
                <c:pt idx="47">
                  <c:v>461.35077692036253</c:v>
                </c:pt>
                <c:pt idx="48">
                  <c:v>482.72259451250079</c:v>
                </c:pt>
                <c:pt idx="49">
                  <c:v>504.07431885281977</c:v>
                </c:pt>
                <c:pt idx="50">
                  <c:v>525.40692008667054</c:v>
                </c:pt>
                <c:pt idx="51">
                  <c:v>486.65728665769012</c:v>
                </c:pt>
                <c:pt idx="52">
                  <c:v>506.8823127476889</c:v>
                </c:pt>
                <c:pt idx="53">
                  <c:v>527.09028501417185</c:v>
                </c:pt>
                <c:pt idx="54">
                  <c:v>547.2819487678953</c:v>
                </c:pt>
                <c:pt idx="55">
                  <c:v>567.45798988344666</c:v>
                </c:pt>
                <c:pt idx="56">
                  <c:v>530.08265448348277</c:v>
                </c:pt>
                <c:pt idx="57">
                  <c:v>548.77699801739243</c:v>
                </c:pt>
                <c:pt idx="58">
                  <c:v>567.45798988344666</c:v>
                </c:pt>
                <c:pt idx="59">
                  <c:v>586.12613117064211</c:v>
                </c:pt>
                <c:pt idx="60">
                  <c:v>604.78188847071704</c:v>
                </c:pt>
                <c:pt idx="61">
                  <c:v>572.68634410740208</c:v>
                </c:pt>
                <c:pt idx="62">
                  <c:v>590.04485244072748</c:v>
                </c:pt>
                <c:pt idx="63">
                  <c:v>607.39273139699276</c:v>
                </c:pt>
                <c:pt idx="64">
                  <c:v>624.73032709457823</c:v>
                </c:pt>
                <c:pt idx="65">
                  <c:v>642.05796488895498</c:v>
                </c:pt>
                <c:pt idx="66">
                  <c:v>613.3594992761856</c:v>
                </c:pt>
                <c:pt idx="67">
                  <c:v>629.38925981661589</c:v>
                </c:pt>
                <c:pt idx="68">
                  <c:v>645.41057723213919</c:v>
                </c:pt>
                <c:pt idx="69">
                  <c:v>661.42369048595856</c:v>
                </c:pt>
                <c:pt idx="70">
                  <c:v>677.42882603564658</c:v>
                </c:pt>
                <c:pt idx="71">
                  <c:v>650.25260563533459</c:v>
                </c:pt>
                <c:pt idx="72">
                  <c:v>664.96038766605932</c:v>
                </c:pt>
                <c:pt idx="73">
                  <c:v>679.6614788352457</c:v>
                </c:pt>
                <c:pt idx="74">
                  <c:v>694.35604416044907</c:v>
                </c:pt>
                <c:pt idx="75">
                  <c:v>709.04424111007302</c:v>
                </c:pt>
                <c:pt idx="76">
                  <c:v>682.63811513058772</c:v>
                </c:pt>
                <c:pt idx="77">
                  <c:v>696.21565844927864</c:v>
                </c:pt>
                <c:pt idx="78">
                  <c:v>709.78778066070856</c:v>
                </c:pt>
                <c:pt idx="79">
                  <c:v>723.35459996506006</c:v>
                </c:pt>
                <c:pt idx="80">
                  <c:v>736.91622977013833</c:v>
                </c:pt>
                <c:pt idx="81">
                  <c:v>1.5119369728679821E-12</c:v>
                </c:pt>
                <c:pt idx="82">
                  <c:v>1.5119369728679821E-12</c:v>
                </c:pt>
                <c:pt idx="83">
                  <c:v>1.5119369728679821E-12</c:v>
                </c:pt>
                <c:pt idx="84">
                  <c:v>1.5119369728679821E-12</c:v>
                </c:pt>
                <c:pt idx="85">
                  <c:v>1.5119369728679821E-12</c:v>
                </c:pt>
                <c:pt idx="86">
                  <c:v>1.5119369728679821E-12</c:v>
                </c:pt>
                <c:pt idx="87">
                  <c:v>1.5119369728679821E-12</c:v>
                </c:pt>
                <c:pt idx="88">
                  <c:v>1.5119369728679821E-12</c:v>
                </c:pt>
                <c:pt idx="89">
                  <c:v>1.5119369728679821E-12</c:v>
                </c:pt>
                <c:pt idx="90">
                  <c:v>1.5119369728679821E-12</c:v>
                </c:pt>
                <c:pt idx="91">
                  <c:v>1.5119369728679821E-12</c:v>
                </c:pt>
                <c:pt idx="92">
                  <c:v>1.5119369728679821E-12</c:v>
                </c:pt>
                <c:pt idx="93">
                  <c:v>1.5119369728679821E-12</c:v>
                </c:pt>
                <c:pt idx="94">
                  <c:v>1.5119369728679821E-12</c:v>
                </c:pt>
                <c:pt idx="95">
                  <c:v>1.5119369728679821E-12</c:v>
                </c:pt>
                <c:pt idx="96">
                  <c:v>1.5119369728679821E-12</c:v>
                </c:pt>
                <c:pt idx="97">
                  <c:v>1.5119369728679821E-12</c:v>
                </c:pt>
                <c:pt idx="98">
                  <c:v>1.5119369728679821E-12</c:v>
                </c:pt>
                <c:pt idx="99">
                  <c:v>1.5119369728679821E-12</c:v>
                </c:pt>
                <c:pt idx="100">
                  <c:v>1.5119369728679821E-12</c:v>
                </c:pt>
                <c:pt idx="101">
                  <c:v>1.5119369728679821E-12</c:v>
                </c:pt>
                <c:pt idx="102">
                  <c:v>1.5119369728679821E-12</c:v>
                </c:pt>
                <c:pt idx="103">
                  <c:v>1.5119369728679821E-12</c:v>
                </c:pt>
                <c:pt idx="104">
                  <c:v>1.5119369728679821E-12</c:v>
                </c:pt>
                <c:pt idx="105">
                  <c:v>1.5119369728679821E-12</c:v>
                </c:pt>
                <c:pt idx="106">
                  <c:v>1.5119369728679821E-12</c:v>
                </c:pt>
                <c:pt idx="107">
                  <c:v>1.5119369728679821E-12</c:v>
                </c:pt>
                <c:pt idx="108">
                  <c:v>1.5119369728679821E-12</c:v>
                </c:pt>
                <c:pt idx="109">
                  <c:v>1.5119369728679821E-12</c:v>
                </c:pt>
                <c:pt idx="110">
                  <c:v>1.5119369728679821E-12</c:v>
                </c:pt>
                <c:pt idx="111">
                  <c:v>1.5119369728679821E-12</c:v>
                </c:pt>
                <c:pt idx="112">
                  <c:v>1.5119369728679821E-12</c:v>
                </c:pt>
                <c:pt idx="113">
                  <c:v>1.5119369728679821E-12</c:v>
                </c:pt>
                <c:pt idx="114">
                  <c:v>1.5119369728679821E-12</c:v>
                </c:pt>
                <c:pt idx="115">
                  <c:v>1.5119369728679821E-12</c:v>
                </c:pt>
                <c:pt idx="116">
                  <c:v>1.5119369728679821E-12</c:v>
                </c:pt>
                <c:pt idx="117">
                  <c:v>1.5119369728679821E-12</c:v>
                </c:pt>
                <c:pt idx="118">
                  <c:v>1.5119369728679821E-12</c:v>
                </c:pt>
                <c:pt idx="119">
                  <c:v>1.5119369728679821E-12</c:v>
                </c:pt>
                <c:pt idx="120">
                  <c:v>1.5119369728679821E-12</c:v>
                </c:pt>
                <c:pt idx="121">
                  <c:v>1.5119369728679821E-12</c:v>
                </c:pt>
                <c:pt idx="122">
                  <c:v>1.5119369728679821E-12</c:v>
                </c:pt>
                <c:pt idx="123">
                  <c:v>1.5119369728679821E-12</c:v>
                </c:pt>
                <c:pt idx="124">
                  <c:v>1.5119369728679821E-12</c:v>
                </c:pt>
                <c:pt idx="125">
                  <c:v>1.5119369728679821E-12</c:v>
                </c:pt>
                <c:pt idx="126">
                  <c:v>1.5119369728679821E-12</c:v>
                </c:pt>
                <c:pt idx="127">
                  <c:v>1.5119369728679821E-12</c:v>
                </c:pt>
                <c:pt idx="128">
                  <c:v>1.5119369728679821E-12</c:v>
                </c:pt>
                <c:pt idx="129">
                  <c:v>1.5119369728679821E-12</c:v>
                </c:pt>
                <c:pt idx="130">
                  <c:v>1.5119369728679821E-12</c:v>
                </c:pt>
                <c:pt idx="131">
                  <c:v>1.5119369728679821E-12</c:v>
                </c:pt>
                <c:pt idx="132">
                  <c:v>1.5119369728679821E-12</c:v>
                </c:pt>
                <c:pt idx="133">
                  <c:v>1.5119369728679821E-12</c:v>
                </c:pt>
                <c:pt idx="134">
                  <c:v>1.5119369728679821E-12</c:v>
                </c:pt>
                <c:pt idx="135">
                  <c:v>1.5119369728679821E-12</c:v>
                </c:pt>
                <c:pt idx="136">
                  <c:v>1.5119369728679821E-12</c:v>
                </c:pt>
                <c:pt idx="137">
                  <c:v>1.5119369728679821E-12</c:v>
                </c:pt>
                <c:pt idx="138">
                  <c:v>1.5119369728679821E-12</c:v>
                </c:pt>
                <c:pt idx="139">
                  <c:v>1.5119369728679821E-12</c:v>
                </c:pt>
                <c:pt idx="140">
                  <c:v>1.5119369728679821E-12</c:v>
                </c:pt>
                <c:pt idx="141">
                  <c:v>1.5119369728679821E-12</c:v>
                </c:pt>
                <c:pt idx="142">
                  <c:v>1.5119369728679821E-12</c:v>
                </c:pt>
                <c:pt idx="143">
                  <c:v>1.5119369728679821E-12</c:v>
                </c:pt>
                <c:pt idx="144">
                  <c:v>1.5119369728679821E-12</c:v>
                </c:pt>
                <c:pt idx="145">
                  <c:v>1.5119369728679821E-12</c:v>
                </c:pt>
                <c:pt idx="146">
                  <c:v>1.5119369728679821E-12</c:v>
                </c:pt>
                <c:pt idx="147">
                  <c:v>1.5119369728679821E-12</c:v>
                </c:pt>
                <c:pt idx="148">
                  <c:v>1.5119369728679821E-12</c:v>
                </c:pt>
                <c:pt idx="149">
                  <c:v>1.5119369728679821E-12</c:v>
                </c:pt>
                <c:pt idx="150">
                  <c:v>1.5119369728679821E-12</c:v>
                </c:pt>
                <c:pt idx="151">
                  <c:v>1.5119369728679821E-12</c:v>
                </c:pt>
                <c:pt idx="152">
                  <c:v>1.5119369728679821E-12</c:v>
                </c:pt>
                <c:pt idx="153">
                  <c:v>1.5119369728679821E-12</c:v>
                </c:pt>
                <c:pt idx="154">
                  <c:v>1.5119369728679821E-12</c:v>
                </c:pt>
                <c:pt idx="155">
                  <c:v>1.5119369728679821E-12</c:v>
                </c:pt>
                <c:pt idx="156">
                  <c:v>1.5119369728679821E-12</c:v>
                </c:pt>
                <c:pt idx="157">
                  <c:v>1.5119369728679821E-12</c:v>
                </c:pt>
                <c:pt idx="158">
                  <c:v>1.5119369728679821E-12</c:v>
                </c:pt>
                <c:pt idx="159">
                  <c:v>1.5119369728679821E-12</c:v>
                </c:pt>
                <c:pt idx="160">
                  <c:v>1.5119369728679821E-12</c:v>
                </c:pt>
                <c:pt idx="161">
                  <c:v>1.5119369728679821E-12</c:v>
                </c:pt>
                <c:pt idx="162">
                  <c:v>1.5119369728679821E-12</c:v>
                </c:pt>
                <c:pt idx="163">
                  <c:v>1.5119369728679821E-12</c:v>
                </c:pt>
                <c:pt idx="164">
                  <c:v>1.5119369728679821E-12</c:v>
                </c:pt>
                <c:pt idx="165">
                  <c:v>1.5119369728679821E-12</c:v>
                </c:pt>
                <c:pt idx="166">
                  <c:v>1.5119369728679821E-12</c:v>
                </c:pt>
                <c:pt idx="167">
                  <c:v>1.5119369728679821E-12</c:v>
                </c:pt>
                <c:pt idx="168">
                  <c:v>1.5119369728679821E-12</c:v>
                </c:pt>
                <c:pt idx="169">
                  <c:v>1.5119369728679821E-12</c:v>
                </c:pt>
                <c:pt idx="170">
                  <c:v>1.5119369728679821E-12</c:v>
                </c:pt>
                <c:pt idx="171">
                  <c:v>1.5119369728679821E-12</c:v>
                </c:pt>
                <c:pt idx="172">
                  <c:v>1.5119369728679821E-12</c:v>
                </c:pt>
                <c:pt idx="173">
                  <c:v>1.5119369728679821E-12</c:v>
                </c:pt>
                <c:pt idx="174">
                  <c:v>1.5119369728679821E-12</c:v>
                </c:pt>
                <c:pt idx="175">
                  <c:v>1.5119369728679821E-12</c:v>
                </c:pt>
                <c:pt idx="176">
                  <c:v>1.5119369728679821E-12</c:v>
                </c:pt>
                <c:pt idx="177">
                  <c:v>1.5119369728679821E-12</c:v>
                </c:pt>
                <c:pt idx="178">
                  <c:v>1.5119369728679821E-12</c:v>
                </c:pt>
                <c:pt idx="179">
                  <c:v>1.5119369728679821E-12</c:v>
                </c:pt>
                <c:pt idx="180">
                  <c:v>1.5119369728679821E-12</c:v>
                </c:pt>
                <c:pt idx="181">
                  <c:v>1.5119369728679821E-12</c:v>
                </c:pt>
                <c:pt idx="182">
                  <c:v>1.5119369728679821E-12</c:v>
                </c:pt>
                <c:pt idx="183">
                  <c:v>1.5119369728679821E-12</c:v>
                </c:pt>
                <c:pt idx="184">
                  <c:v>1.5119369728679821E-12</c:v>
                </c:pt>
                <c:pt idx="185">
                  <c:v>1.5119369728679821E-12</c:v>
                </c:pt>
                <c:pt idx="186">
                  <c:v>1.5119369728679821E-12</c:v>
                </c:pt>
                <c:pt idx="187">
                  <c:v>1.5119369728679821E-12</c:v>
                </c:pt>
                <c:pt idx="188">
                  <c:v>1.5119369728679821E-12</c:v>
                </c:pt>
                <c:pt idx="189">
                  <c:v>1.5119369728679821E-12</c:v>
                </c:pt>
                <c:pt idx="190">
                  <c:v>1.5119369728679821E-12</c:v>
                </c:pt>
                <c:pt idx="191">
                  <c:v>1.5119369728679821E-12</c:v>
                </c:pt>
                <c:pt idx="192">
                  <c:v>1.5119369728679821E-12</c:v>
                </c:pt>
                <c:pt idx="193">
                  <c:v>1.5119369728679821E-12</c:v>
                </c:pt>
                <c:pt idx="194">
                  <c:v>1.5119369728679821E-12</c:v>
                </c:pt>
                <c:pt idx="195">
                  <c:v>1.5119369728679821E-12</c:v>
                </c:pt>
                <c:pt idx="196">
                  <c:v>1.5119369728679821E-12</c:v>
                </c:pt>
                <c:pt idx="197">
                  <c:v>1.5119369728679821E-12</c:v>
                </c:pt>
                <c:pt idx="198">
                  <c:v>1.5119369728679821E-12</c:v>
                </c:pt>
                <c:pt idx="199">
                  <c:v>1.5119369728679821E-12</c:v>
                </c:pt>
                <c:pt idx="200">
                  <c:v>1.5119369728679821E-12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5" x14ac:dyDescent="0.35"/>
  <cols>
    <col min="1" max="1" width="6.6328125" customWidth="1"/>
    <col min="2" max="13" width="15.9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30" sqref="C30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90625" style="23" bestFit="1" customWidth="1"/>
    <col min="4" max="4" width="16.453125" style="23" customWidth="1"/>
    <col min="5" max="5" width="23.36328125" style="23" customWidth="1"/>
    <col min="6" max="6" width="28.90625" style="23" bestFit="1" customWidth="1"/>
    <col min="7" max="8" width="14.6328125" style="23" customWidth="1"/>
    <col min="9" max="9" width="17" style="23" customWidth="1"/>
    <col min="10" max="10" width="13.9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8.16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18</v>
      </c>
      <c r="C9" s="32">
        <v>0.38</v>
      </c>
      <c r="D9" s="33">
        <f t="shared" ref="D9:D18" si="0">C9*$C$5</f>
        <v>3.1008</v>
      </c>
      <c r="E9" s="34">
        <v>70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20</v>
      </c>
      <c r="C10" s="32">
        <v>0.56999999999999995</v>
      </c>
      <c r="D10" s="33">
        <f t="shared" si="0"/>
        <v>4.6511999999999993</v>
      </c>
      <c r="E10" s="34">
        <v>56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156</v>
      </c>
      <c r="C11" s="32">
        <v>0.05</v>
      </c>
      <c r="D11" s="33">
        <f t="shared" si="0"/>
        <v>0.40800000000000003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8.1599999999999984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21</v>
      </c>
      <c r="B36" s="60">
        <v>195.31</v>
      </c>
      <c r="C36" s="60">
        <v>1</v>
      </c>
      <c r="D36" s="60">
        <v>64.599999999999994</v>
      </c>
      <c r="E36" s="51">
        <v>0.25</v>
      </c>
      <c r="F36" s="51">
        <v>0.37</v>
      </c>
      <c r="G36" s="51">
        <v>0.38</v>
      </c>
      <c r="H36" s="51">
        <v>0</v>
      </c>
      <c r="I36" s="49">
        <f>IFERROR(B36/A36,"")</f>
        <v>9.300476190476191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28</v>
      </c>
      <c r="B37" s="60">
        <v>282.01</v>
      </c>
      <c r="C37" s="60">
        <v>2</v>
      </c>
      <c r="D37" s="60">
        <v>67.639999999999986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21.61428571428571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35</v>
      </c>
      <c r="B38" s="60">
        <v>377.23</v>
      </c>
      <c r="C38" s="60">
        <v>3</v>
      </c>
      <c r="D38" s="60">
        <v>86.700000000000045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23.265714285714289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42</v>
      </c>
      <c r="B39" s="60">
        <v>450.49</v>
      </c>
      <c r="C39" s="60">
        <v>4</v>
      </c>
      <c r="D39" s="60">
        <v>100.04000000000002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22.851428571428578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49</v>
      </c>
      <c r="B40" s="60">
        <v>504.24</v>
      </c>
      <c r="C40" s="60">
        <v>5</v>
      </c>
      <c r="D40" s="60">
        <v>112.69999999999999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21.970000000000002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56</v>
      </c>
      <c r="B41" s="60">
        <v>534.03</v>
      </c>
      <c r="C41" s="60">
        <v>6</v>
      </c>
      <c r="D41" s="60">
        <v>94.669999999999959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20.355714285714278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63</v>
      </c>
      <c r="B42" s="60">
        <v>569.67999999999995</v>
      </c>
      <c r="C42" s="60">
        <v>7</v>
      </c>
      <c r="D42" s="60">
        <v>99.599999999999966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18.617142857142849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70</v>
      </c>
      <c r="B43" s="60">
        <v>586.86</v>
      </c>
      <c r="C43" s="60">
        <v>8</v>
      </c>
      <c r="D43" s="60">
        <v>586.86</v>
      </c>
      <c r="E43" s="51">
        <v>0.6</v>
      </c>
      <c r="F43" s="51">
        <v>0.2</v>
      </c>
      <c r="G43" s="51">
        <v>0.2</v>
      </c>
      <c r="H43" s="51">
        <v>0</v>
      </c>
      <c r="I43" s="49">
        <f t="shared" si="1"/>
        <v>16.682857142857149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Epicéa de Sitka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25</v>
      </c>
      <c r="B62" s="60">
        <v>155</v>
      </c>
      <c r="C62" s="60">
        <v>1</v>
      </c>
      <c r="D62" s="60">
        <v>52</v>
      </c>
      <c r="E62" s="51">
        <v>0</v>
      </c>
      <c r="F62" s="51">
        <v>0.5</v>
      </c>
      <c r="G62" s="51">
        <v>0.5</v>
      </c>
      <c r="H62" s="51">
        <v>0</v>
      </c>
      <c r="I62" s="53">
        <f>IFERROR(B62/A62,"")</f>
        <v>6.2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29</v>
      </c>
      <c r="B63" s="60">
        <v>213</v>
      </c>
      <c r="C63" s="60">
        <v>2</v>
      </c>
      <c r="D63" s="60">
        <v>52</v>
      </c>
      <c r="E63" s="51">
        <v>0</v>
      </c>
      <c r="F63" s="51">
        <v>0.5</v>
      </c>
      <c r="G63" s="51">
        <v>0.5</v>
      </c>
      <c r="H63" s="51">
        <v>0</v>
      </c>
      <c r="I63" s="49">
        <f>IF(A63&lt;&gt;0,(B63-(B62-D62))/(A63-A62),"")</f>
        <v>27.5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34</v>
      </c>
      <c r="B64" s="60">
        <v>321</v>
      </c>
      <c r="C64" s="60">
        <v>3</v>
      </c>
      <c r="D64" s="60">
        <v>65</v>
      </c>
      <c r="E64" s="51">
        <v>0.35</v>
      </c>
      <c r="F64" s="51">
        <v>0.15</v>
      </c>
      <c r="G64" s="51">
        <v>0.15</v>
      </c>
      <c r="H64" s="51">
        <v>0.35</v>
      </c>
      <c r="I64" s="49">
        <f>IF(A64&lt;&gt;0,(B64-(B63-D63))/(A64-A63),"")</f>
        <v>32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39</v>
      </c>
      <c r="B65" s="60">
        <v>418</v>
      </c>
      <c r="C65" s="60">
        <v>4</v>
      </c>
      <c r="D65" s="60">
        <v>70</v>
      </c>
      <c r="E65" s="51">
        <v>0.35</v>
      </c>
      <c r="F65" s="51">
        <v>0.15</v>
      </c>
      <c r="G65" s="51">
        <v>0.15</v>
      </c>
      <c r="H65" s="51">
        <v>0.35</v>
      </c>
      <c r="I65" s="49">
        <f>IF(A65&lt;&gt;0,(B65-(B64-D64))/(A65-A64),"")</f>
        <v>32.4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44</v>
      </c>
      <c r="B66" s="60">
        <v>497</v>
      </c>
      <c r="C66" s="60">
        <v>5</v>
      </c>
      <c r="D66" s="60">
        <v>53</v>
      </c>
      <c r="E66" s="51">
        <v>0.35</v>
      </c>
      <c r="F66" s="51">
        <v>0.15</v>
      </c>
      <c r="G66" s="51">
        <v>0.15</v>
      </c>
      <c r="H66" s="51">
        <v>0.35</v>
      </c>
      <c r="I66" s="49">
        <f t="shared" ref="I66:I81" si="2">IF(A66&lt;&gt;0,(B66-(B65-D65))/(A66-A65),"")</f>
        <v>29.8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50</v>
      </c>
      <c r="B67" s="60">
        <v>596</v>
      </c>
      <c r="C67" s="60">
        <v>6</v>
      </c>
      <c r="D67" s="60">
        <v>55</v>
      </c>
      <c r="E67" s="51">
        <v>0.35</v>
      </c>
      <c r="F67" s="51">
        <v>0.15</v>
      </c>
      <c r="G67" s="51">
        <v>0.15</v>
      </c>
      <c r="H67" s="51">
        <v>0.35</v>
      </c>
      <c r="I67" s="49">
        <f t="shared" si="2"/>
        <v>25.333333333333332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56</v>
      </c>
      <c r="B68" s="60">
        <v>662</v>
      </c>
      <c r="C68" s="60">
        <v>7</v>
      </c>
      <c r="D68" s="60">
        <v>662</v>
      </c>
      <c r="E68" s="51">
        <v>0.35</v>
      </c>
      <c r="F68" s="51">
        <v>0.15</v>
      </c>
      <c r="G68" s="51">
        <v>0.15</v>
      </c>
      <c r="H68" s="51">
        <v>0.35</v>
      </c>
      <c r="I68" s="49">
        <f t="shared" si="2"/>
        <v>20.166666666666668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Séquoia toujours vert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20</v>
      </c>
      <c r="B88" s="60">
        <v>134</v>
      </c>
      <c r="C88" s="60">
        <v>1</v>
      </c>
      <c r="D88" s="60">
        <v>5</v>
      </c>
      <c r="E88" s="51">
        <v>0.25</v>
      </c>
      <c r="F88" s="51">
        <v>0.37</v>
      </c>
      <c r="G88" s="51">
        <v>0.38</v>
      </c>
      <c r="H88" s="87">
        <v>0</v>
      </c>
      <c r="I88" s="53">
        <f>IFERROR(B88/A88,"")</f>
        <v>6.7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25</v>
      </c>
      <c r="B89" s="60">
        <v>243</v>
      </c>
      <c r="C89" s="60">
        <v>2</v>
      </c>
      <c r="D89" s="60">
        <v>63</v>
      </c>
      <c r="E89" s="51">
        <v>0.25</v>
      </c>
      <c r="F89" s="51">
        <v>0.37</v>
      </c>
      <c r="G89" s="51">
        <v>0.38</v>
      </c>
      <c r="H89" s="87">
        <v>0</v>
      </c>
      <c r="I89" s="53">
        <f t="shared" ref="I89:I107" si="3">IF(A89&lt;&gt;0,(B89-(B88-D88))/(A89-A88),"")</f>
        <v>22.8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30</v>
      </c>
      <c r="B90" s="60">
        <v>308</v>
      </c>
      <c r="C90" s="60">
        <v>3</v>
      </c>
      <c r="D90" s="60">
        <v>63</v>
      </c>
      <c r="E90" s="87">
        <v>0.25</v>
      </c>
      <c r="F90" s="87">
        <v>0.37</v>
      </c>
      <c r="G90" s="87">
        <v>0.38</v>
      </c>
      <c r="H90" s="87">
        <v>0</v>
      </c>
      <c r="I90" s="53">
        <f t="shared" si="3"/>
        <v>25.6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35</v>
      </c>
      <c r="B91" s="60">
        <v>376</v>
      </c>
      <c r="C91" s="60">
        <v>4</v>
      </c>
      <c r="D91" s="60">
        <v>63</v>
      </c>
      <c r="E91" s="87">
        <v>0.25</v>
      </c>
      <c r="F91" s="87">
        <v>0.37</v>
      </c>
      <c r="G91" s="87">
        <v>0.38</v>
      </c>
      <c r="H91" s="87">
        <v>0</v>
      </c>
      <c r="I91" s="53">
        <f t="shared" si="3"/>
        <v>26.2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40</v>
      </c>
      <c r="B92" s="60">
        <v>440</v>
      </c>
      <c r="C92" s="60">
        <v>5</v>
      </c>
      <c r="D92" s="60">
        <v>63</v>
      </c>
      <c r="E92" s="87">
        <v>0.25</v>
      </c>
      <c r="F92" s="87">
        <v>0.37</v>
      </c>
      <c r="G92" s="87">
        <v>0.38</v>
      </c>
      <c r="H92" s="87">
        <v>0</v>
      </c>
      <c r="I92" s="53">
        <f t="shared" si="3"/>
        <v>25.4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45</v>
      </c>
      <c r="B93" s="60">
        <v>498</v>
      </c>
      <c r="C93" s="60">
        <v>6</v>
      </c>
      <c r="D93" s="60">
        <v>63</v>
      </c>
      <c r="E93" s="87">
        <v>0.6</v>
      </c>
      <c r="F93" s="87">
        <v>0.2</v>
      </c>
      <c r="G93" s="87">
        <v>0.2</v>
      </c>
      <c r="H93" s="87">
        <v>0</v>
      </c>
      <c r="I93" s="53">
        <f t="shared" si="3"/>
        <v>24.2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50</v>
      </c>
      <c r="B94" s="60">
        <v>549</v>
      </c>
      <c r="C94" s="60">
        <v>7</v>
      </c>
      <c r="D94" s="60">
        <v>63</v>
      </c>
      <c r="E94" s="87">
        <v>0.6</v>
      </c>
      <c r="F94" s="87">
        <v>0.2</v>
      </c>
      <c r="G94" s="87">
        <v>0.2</v>
      </c>
      <c r="H94" s="87">
        <v>0</v>
      </c>
      <c r="I94" s="53">
        <f t="shared" si="3"/>
        <v>22.8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55</v>
      </c>
      <c r="B95" s="60">
        <v>594</v>
      </c>
      <c r="C95" s="60">
        <v>8</v>
      </c>
      <c r="D95" s="60">
        <v>60</v>
      </c>
      <c r="E95" s="87">
        <v>0.6</v>
      </c>
      <c r="F95" s="87">
        <v>0.2</v>
      </c>
      <c r="G95" s="87">
        <v>0.2</v>
      </c>
      <c r="H95" s="87">
        <v>0</v>
      </c>
      <c r="I95" s="53">
        <f t="shared" si="3"/>
        <v>21.6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60</v>
      </c>
      <c r="B96" s="60">
        <v>634</v>
      </c>
      <c r="C96" s="60">
        <v>9</v>
      </c>
      <c r="D96" s="60">
        <v>53</v>
      </c>
      <c r="E96" s="87">
        <v>0.6</v>
      </c>
      <c r="F96" s="87">
        <v>0.2</v>
      </c>
      <c r="G96" s="87">
        <v>0.2</v>
      </c>
      <c r="H96" s="87">
        <v>0</v>
      </c>
      <c r="I96" s="53">
        <f t="shared" si="3"/>
        <v>20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65</v>
      </c>
      <c r="B97" s="60">
        <v>674</v>
      </c>
      <c r="C97" s="60">
        <v>10</v>
      </c>
      <c r="D97" s="60">
        <v>48</v>
      </c>
      <c r="E97" s="87">
        <v>0.6</v>
      </c>
      <c r="F97" s="87">
        <v>0.2</v>
      </c>
      <c r="G97" s="87">
        <v>0.2</v>
      </c>
      <c r="H97" s="87">
        <v>0</v>
      </c>
      <c r="I97" s="53">
        <f t="shared" si="3"/>
        <v>18.600000000000001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70</v>
      </c>
      <c r="B98" s="60">
        <v>712</v>
      </c>
      <c r="C98" s="60">
        <v>11</v>
      </c>
      <c r="D98" s="60">
        <v>45</v>
      </c>
      <c r="E98" s="87">
        <v>0.6</v>
      </c>
      <c r="F98" s="87">
        <v>0.2</v>
      </c>
      <c r="G98" s="87">
        <v>0.2</v>
      </c>
      <c r="H98" s="87">
        <v>0</v>
      </c>
      <c r="I98" s="53">
        <f t="shared" si="3"/>
        <v>17.2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75</v>
      </c>
      <c r="B99" s="60">
        <v>746</v>
      </c>
      <c r="C99" s="60">
        <v>12</v>
      </c>
      <c r="D99" s="60">
        <v>43</v>
      </c>
      <c r="E99" s="87">
        <v>0.6</v>
      </c>
      <c r="F99" s="87">
        <v>0.2</v>
      </c>
      <c r="G99" s="87">
        <v>0.2</v>
      </c>
      <c r="H99" s="87">
        <v>0</v>
      </c>
      <c r="I99" s="53">
        <f t="shared" si="3"/>
        <v>15.8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80</v>
      </c>
      <c r="B100" s="60">
        <v>776</v>
      </c>
      <c r="C100" s="60">
        <v>13</v>
      </c>
      <c r="D100" s="60">
        <v>776</v>
      </c>
      <c r="E100" s="65">
        <v>0.6</v>
      </c>
      <c r="F100" s="65">
        <v>0.2</v>
      </c>
      <c r="G100" s="65">
        <v>0.2</v>
      </c>
      <c r="H100" s="65">
        <v>0</v>
      </c>
      <c r="I100" s="53">
        <f t="shared" si="3"/>
        <v>14.6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3" sqref="C23"/>
    </sheetView>
  </sheetViews>
  <sheetFormatPr baseColWidth="10" defaultColWidth="11.453125" defaultRowHeight="14.5" x14ac:dyDescent="0.35"/>
  <cols>
    <col min="1" max="1" width="5.9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0.65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0.35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90625" style="4" bestFit="1" customWidth="1"/>
    <col min="2" max="4" width="11.453125" style="4"/>
    <col min="5" max="5" width="9.54296875" style="4" customWidth="1"/>
    <col min="6" max="7" width="11.453125" style="4"/>
    <col min="8" max="8" width="10.63281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5429687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36328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9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36328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36328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Epicéa de Sitka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Séquoia toujours vert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3.25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11.916666666666666</v>
      </c>
      <c r="H3" s="67">
        <f>(B3+E3+F3)*44/12+(C3+D3)*0.475*44/12</f>
        <v>209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53.75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197.08333333333334</v>
      </c>
      <c r="S3" s="59">
        <f ca="1">AVERAGE(OFFSET($R$3,0,0,'Données projet'!$E$9+1,1))-AVERAGE(OFFSET($H$3,0,0,'Données projet'!$E$9+1,1))</f>
        <v>399.91876225849921</v>
      </c>
      <c r="T3" s="59">
        <f>IF('Données projet'!E9&gt;30,$R$33-$H$33,LOOKUP('Données projet'!$E$9,$A$3:$A$203,R3:R203)-LOOKUP('Données projet'!$E$9,$A$3:$A$203,$H$3:$H$203))</f>
        <v>368.64132082233505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53.75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197.08333333333334</v>
      </c>
      <c r="AN3" s="59">
        <f ca="1">AVERAGE(OFFSET($AM$3,0,0,'Données projet'!$E$10+1,1))-AVERAGE(OFFSET($H$3,0,0,'Données projet'!$E$10+1,1))</f>
        <v>280.35802808205239</v>
      </c>
      <c r="AO3" s="59">
        <f>IF('Données projet'!E10&gt;30,$AM$33-$H$33,LOOKUP('Données projet'!$E$10,$A$3:$A$203,AM3:AM203)-LOOKUP('Données projet'!$E$10,$A$3:$A$203,$H$3:$H$203))</f>
        <v>249.32129349927175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53.75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197.08333333333334</v>
      </c>
      <c r="BI3" s="59">
        <f ca="1">AVERAGE(OFFSET($BH$3,0,0,'Données projet'!$E$11+1,1))-AVERAGE(OFFSET($H$3,0,0,'Données projet'!$E$11+1,1))</f>
        <v>409.91320873873292</v>
      </c>
      <c r="BJ3" s="59">
        <f>IF('Données projet'!E11&gt;30,$BH$33-$H$33,LOOKUP('Données projet'!$E$11,$A$3:$A$203,BH3:BH203)-LOOKUP('Données projet'!$E$11,$A$3:$A$203,$H$3:$H$203))</f>
        <v>347.86310581860698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53.75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53.75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53.75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53.75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53.75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53.75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53.75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3.25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11.916666666666666</v>
      </c>
      <c r="H4" s="67">
        <f t="shared" ref="H4:H67" si="1">(B4+E4+F4)*44/12+(C4+D4)*0.475*44/12</f>
        <v>209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54.031901170442559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9.300476190476191</v>
      </c>
      <c r="N4" s="13">
        <f>IF('Données projet'!$A$36&gt;35,N3+M4-V3,IF(A4&lt;'Données projet'!$A$36,$K$205^A4,IF(A4='Données projet'!$A$36,'Données projet'!$B$36,N3+M4-V3)))</f>
        <v>1.2855297099408214</v>
      </c>
      <c r="O4" s="13">
        <f>N4*VLOOKUP('Données projet'!$B$9,Paramètres!$A$1:$I$89,3,0)*VLOOKUP('Données projet'!$B$9,Paramètres!$A$1:$I$89,5,0)</f>
        <v>0.71861110785691917</v>
      </c>
      <c r="P4" s="13">
        <f>EXP(-1.0587+0.8836*LN(O4)+0.284)</f>
        <v>0.34415184160564588</v>
      </c>
      <c r="Q4" s="20">
        <f t="shared" ref="Q4:Q34" si="2">(O4+P4)*0.475*44/12</f>
        <v>1.8509788036473005</v>
      </c>
      <c r="R4" s="59">
        <f t="shared" si="0"/>
        <v>201.19017198415892</v>
      </c>
      <c r="S4" s="59">
        <f ca="1">AVERAGE(OFFSET($R$3,0,0,'Données projet'!$E$9+1,1))-AVERAGE(OFFSET($H$3,0,0,'Données projet'!$E$9+1,1))</f>
        <v>399.91876225849921</v>
      </c>
      <c r="T4" s="59">
        <f>$T$3</f>
        <v>368.64132082233505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54.031901170442559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6.2</v>
      </c>
      <c r="AI4" s="13">
        <f>IF('Données projet'!$A$62&gt;35,AI3+AH4-AQ3,IF(A4&lt;'Données projet'!$A$62,$AF$205^A4,IF(A4='Données projet'!$A$62,'Données projet'!$B$62,AI3+AH4-AQ3)))</f>
        <v>1.2235261841298362</v>
      </c>
      <c r="AJ4" s="13">
        <f>AI4*VLOOKUP('Données projet'!$B$10,Paramètres!$A$1:$I$89,3,0)*VLOOKUP('Données projet'!$B$10,Paramètres!$A$1:$I$89,5,0)</f>
        <v>0.57261025417276334</v>
      </c>
      <c r="AK4" s="13">
        <f>EXP(-1.0587+0.8836*LN(AJ4)+0.284)</f>
        <v>0.28157648563444393</v>
      </c>
      <c r="AL4" s="20">
        <f t="shared" ref="AL4:AL67" si="4">(AJ4+AK4)*0.475*44/12</f>
        <v>1.487708571830886</v>
      </c>
      <c r="AM4" s="59">
        <f t="shared" ref="AM4:AM67" si="5">AL4+(AD4+AE4)*44/12</f>
        <v>200.82690175234251</v>
      </c>
      <c r="AN4" s="59">
        <f ca="1">AVERAGE(OFFSET($AM$3,0,0,'Données projet'!$E$10+1,1))-AVERAGE(OFFSET($H$3,0,0,'Données projet'!$E$10+1,1))</f>
        <v>280.35802808205239</v>
      </c>
      <c r="AO4" s="59">
        <f>$AO$3</f>
        <v>249.32129349927175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54.031901170442559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6.7</v>
      </c>
      <c r="BD4" s="12">
        <f>IF('Données projet'!$A$88&gt;35,BD3+BC4-BL3,IF(A4&lt;'Données projet'!$A$88,$BA$205^A4,IF(A4='Données projet'!$A$88,'Données projet'!$B$88,BD3+BC4-BL3)))</f>
        <v>1.277483324775911</v>
      </c>
      <c r="BE4" s="13">
        <f>BD4*VLOOKUP('Données projet'!$B$11,Paramètres!$A$1:$I$89,3,0)*VLOOKUP('Données projet'!$B$11,Paramètres!$A$1:$I$89,5,0)</f>
        <v>0.56464762955095271</v>
      </c>
      <c r="BF4" s="13">
        <f>EXP(-1.0587+0.8836*LN(BE4)+0.284)</f>
        <v>0.2781138851563637</v>
      </c>
      <c r="BG4" s="20">
        <f t="shared" ref="BG4:BG67" si="7">(BE4+BF4)*0.475*44/12</f>
        <v>1.4678096381152426</v>
      </c>
      <c r="BH4" s="59">
        <f t="shared" ref="BH4:BH67" si="8">BG4+(AY4+AZ4)*44/12</f>
        <v>200.80700281862687</v>
      </c>
      <c r="BI4" s="59">
        <f ca="1">AVERAGE(OFFSET($BH$3,0,0,'Données projet'!$E$11+1,1))-AVERAGE(OFFSET($H$3,0,0,'Données projet'!$E$11+1,1))</f>
        <v>409.91320873873292</v>
      </c>
      <c r="BJ4" s="59">
        <f>$BJ$3</f>
        <v>347.86310581860698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54.031901170442559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54.031901170442559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54.031901170442559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54.031901170442559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54.031901170442559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54.031901170442559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54.031901170442559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3.25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11.916666666666666</v>
      </c>
      <c r="H5" s="67">
        <f t="shared" si="1"/>
        <v>209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54.308911985814547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9.300476190476191</v>
      </c>
      <c r="N5" s="13">
        <f>IF('Données projet'!$A$36&gt;35,N4+M5-V4,IF(A5&lt;'Données projet'!$A$36,$K$205^A5,IF(A5='Données projet'!$A$36,'Données projet'!$B$36,N4+M5-V4)))</f>
        <v>1.6525866351405323</v>
      </c>
      <c r="O5" s="13">
        <f>N5*VLOOKUP('Données projet'!$B$9,Paramètres!$A$1:$I$89,3,0)*VLOOKUP('Données projet'!$B$9,Paramètres!$A$1:$I$89,5,0)</f>
        <v>0.92379592904355756</v>
      </c>
      <c r="P5" s="13">
        <f t="shared" ref="P5:P68" si="33">EXP(-1.0587+0.8836*LN(O5)+0.284)</f>
        <v>0.42967002528896309</v>
      </c>
      <c r="Q5" s="20">
        <f t="shared" si="2"/>
        <v>2.35728653712914</v>
      </c>
      <c r="R5" s="59">
        <f t="shared" si="0"/>
        <v>203.93440826289358</v>
      </c>
      <c r="S5" s="59">
        <f ca="1">AVERAGE(OFFSET($R$3,0,0,'Données projet'!$E$9+1,1))-AVERAGE(OFFSET($H$3,0,0,'Données projet'!$E$9+1,1))</f>
        <v>399.91876225849921</v>
      </c>
      <c r="T5" s="59">
        <f t="shared" ref="T5:T68" si="34">$T$3</f>
        <v>368.64132082233505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54.308911985814547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6.2</v>
      </c>
      <c r="AI5" s="13">
        <f>IF('Données projet'!$A$62&gt;35,AI4+AH5-AQ4,IF(A5&lt;'Données projet'!$A$62,$AF$205^A5,IF(A5='Données projet'!$A$62,'Données projet'!$B$62,AI4+AH5-AQ4)))</f>
        <v>1.4970163232513178</v>
      </c>
      <c r="AJ5" s="13">
        <f>AI5*VLOOKUP('Données projet'!$B$10,Paramètres!$A$1:$I$89,3,0)*VLOOKUP('Données projet'!$B$10,Paramètres!$A$1:$I$89,5,0)</f>
        <v>0.70060363928161673</v>
      </c>
      <c r="AK5" s="13">
        <f t="shared" ref="AK5:AK68" si="35">EXP(-1.0587+0.8836*LN(AJ5)+0.284)</f>
        <v>0.33652045522051222</v>
      </c>
      <c r="AL5" s="20">
        <f t="shared" si="4"/>
        <v>1.8063244645912075</v>
      </c>
      <c r="AM5" s="59">
        <f t="shared" si="5"/>
        <v>203.38344619035564</v>
      </c>
      <c r="AN5" s="59">
        <f ca="1">AVERAGE(OFFSET($AM$3,0,0,'Données projet'!$E$10+1,1))-AVERAGE(OFFSET($H$3,0,0,'Données projet'!$E$10+1,1))</f>
        <v>280.35802808205239</v>
      </c>
      <c r="AO5" s="59">
        <f t="shared" ref="AO5:AO68" si="36">$AO$3</f>
        <v>249.32129349927175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54.308911985814547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6.7</v>
      </c>
      <c r="BD5" s="12">
        <f>IF('Données projet'!$A$88&gt;35,BD4+BC5-BL4,IF(A5&lt;'Données projet'!$A$88,$BA$205^A5,IF(A5='Données projet'!$A$88,'Données projet'!$B$88,BD4+BC5-BL4)))</f>
        <v>1.6319636450805157</v>
      </c>
      <c r="BE5" s="13">
        <f>BD5*VLOOKUP('Données projet'!$B$11,Paramètres!$A$1:$I$89,3,0)*VLOOKUP('Données projet'!$B$11,Paramètres!$A$1:$I$89,5,0)</f>
        <v>0.72132793112558802</v>
      </c>
      <c r="BF5" s="13">
        <f t="shared" ref="BF5:BF68" si="37">EXP(-1.0587+0.8836*LN(BE5)+0.284)</f>
        <v>0.34530125917503374</v>
      </c>
      <c r="BG5" s="20">
        <f t="shared" si="7"/>
        <v>1.8577125064402493</v>
      </c>
      <c r="BH5" s="59">
        <f t="shared" si="8"/>
        <v>203.43483423220468</v>
      </c>
      <c r="BI5" s="59">
        <f ca="1">AVERAGE(OFFSET($BH$3,0,0,'Données projet'!$E$11+1,1))-AVERAGE(OFFSET($H$3,0,0,'Données projet'!$E$11+1,1))</f>
        <v>409.91320873873292</v>
      </c>
      <c r="BJ5" s="59">
        <f t="shared" ref="BJ5:BJ68" si="38">$BJ$3</f>
        <v>347.86310581860698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54.308911985814547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54.308911985814547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54.308911985814547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54.308911985814547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54.308911985814547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54.308911985814547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54.308911985814547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3.25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11.916666666666666</v>
      </c>
      <c r="H6" s="67">
        <f t="shared" si="1"/>
        <v>209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54.58111728284323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9.300476190476191</v>
      </c>
      <c r="N6" s="13">
        <f>IF('Données projet'!$A$36&gt;35,N5+M6-V5,IF(A6&lt;'Données projet'!$A$36,$K$205^A6,IF(A6='Données projet'!$A$36,'Données projet'!$B$36,N5+M6-V5)))</f>
        <v>2.1244492177242864</v>
      </c>
      <c r="O6" s="13">
        <f>N6*VLOOKUP('Données projet'!$B$9,Paramètres!$A$1:$I$89,3,0)*VLOOKUP('Données projet'!$B$9,Paramètres!$A$1:$I$89,5,0)</f>
        <v>1.1875671127078762</v>
      </c>
      <c r="P6" s="13">
        <f t="shared" si="33"/>
        <v>0.53643859573869412</v>
      </c>
      <c r="Q6" s="20">
        <f t="shared" si="2"/>
        <v>3.0026432755444432</v>
      </c>
      <c r="R6" s="59">
        <f t="shared" si="0"/>
        <v>206.8000733126363</v>
      </c>
      <c r="S6" s="59">
        <f ca="1">AVERAGE(OFFSET($R$3,0,0,'Données projet'!$E$9+1,1))-AVERAGE(OFFSET($H$3,0,0,'Données projet'!$E$9+1,1))</f>
        <v>399.91876225849921</v>
      </c>
      <c r="T6" s="59">
        <f t="shared" si="34"/>
        <v>368.64132082233505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54.58111728284323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6.2</v>
      </c>
      <c r="AI6" s="13">
        <f>IF('Données projet'!$A$62&gt;35,AI5+AH6-AQ5,IF(A6&lt;'Données projet'!$A$62,$AF$205^A6,IF(A6='Données projet'!$A$62,'Données projet'!$B$62,AI5+AH6-AQ5)))</f>
        <v>1.8316386695677622</v>
      </c>
      <c r="AJ6" s="13">
        <f>AI6*VLOOKUP('Données projet'!$B$10,Paramètres!$A$1:$I$89,3,0)*VLOOKUP('Données projet'!$B$10,Paramètres!$A$1:$I$89,5,0)</f>
        <v>0.85720689735771283</v>
      </c>
      <c r="AK6" s="13">
        <f t="shared" si="35"/>
        <v>0.40218563182453443</v>
      </c>
      <c r="AL6" s="20">
        <f t="shared" si="4"/>
        <v>2.193441988325747</v>
      </c>
      <c r="AM6" s="59">
        <f t="shared" si="5"/>
        <v>205.99087202541762</v>
      </c>
      <c r="AN6" s="59">
        <f ca="1">AVERAGE(OFFSET($AM$3,0,0,'Données projet'!$E$10+1,1))-AVERAGE(OFFSET($H$3,0,0,'Données projet'!$E$10+1,1))</f>
        <v>280.35802808205239</v>
      </c>
      <c r="AO6" s="59">
        <f t="shared" si="36"/>
        <v>249.32129349927175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54.58111728284323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6.7</v>
      </c>
      <c r="BD6" s="12">
        <f>IF('Données projet'!$A$88&gt;35,BD5+BC6-BL5,IF(A6&lt;'Données projet'!$A$88,$BA$205^A6,IF(A6='Données projet'!$A$88,'Données projet'!$B$88,BD5+BC6-BL5)))</f>
        <v>2.0848063432308721</v>
      </c>
      <c r="BE6" s="13">
        <f>BD6*VLOOKUP('Données projet'!$B$11,Paramètres!$A$1:$I$89,3,0)*VLOOKUP('Données projet'!$B$11,Paramètres!$A$1:$I$89,5,0)</f>
        <v>0.92148440370804563</v>
      </c>
      <c r="BF6" s="13">
        <f t="shared" si="37"/>
        <v>0.42871990918694192</v>
      </c>
      <c r="BG6" s="20">
        <f t="shared" si="7"/>
        <v>2.3516058449587698</v>
      </c>
      <c r="BH6" s="59">
        <f t="shared" si="8"/>
        <v>206.14903588205064</v>
      </c>
      <c r="BI6" s="59">
        <f ca="1">AVERAGE(OFFSET($BH$3,0,0,'Données projet'!$E$11+1,1))-AVERAGE(OFFSET($H$3,0,0,'Données projet'!$E$11+1,1))</f>
        <v>409.91320873873292</v>
      </c>
      <c r="BJ6" s="59">
        <f t="shared" si="38"/>
        <v>347.86310581860698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54.58111728284323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54.58111728284323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54.58111728284323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54.58111728284323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54.58111728284323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54.58111728284323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54.58111728284323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3.25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11.916666666666666</v>
      </c>
      <c r="H7" s="67">
        <f t="shared" si="1"/>
        <v>209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54.848600426528336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9.300476190476191</v>
      </c>
      <c r="N7" s="13">
        <f>IF('Données projet'!$A$36&gt;35,N6+M7-V6,IF(A7&lt;'Données projet'!$A$36,$K$205^A7,IF(A7='Données projet'!$A$36,'Données projet'!$B$36,N6+M7-V6)))</f>
        <v>2.7310425866451067</v>
      </c>
      <c r="O7" s="13">
        <f>N7*VLOOKUP('Données projet'!$B$9,Paramètres!$A$1:$I$89,3,0)*VLOOKUP('Données projet'!$B$9,Paramètres!$A$1:$I$89,5,0)</f>
        <v>1.5266528059346147</v>
      </c>
      <c r="P7" s="13">
        <f t="shared" si="33"/>
        <v>0.66973805492848271</v>
      </c>
      <c r="Q7" s="20">
        <f t="shared" si="2"/>
        <v>3.8253807493365612</v>
      </c>
      <c r="R7" s="59">
        <f t="shared" si="0"/>
        <v>209.82580453549602</v>
      </c>
      <c r="S7" s="59">
        <f ca="1">AVERAGE(OFFSET($R$3,0,0,'Données projet'!$E$9+1,1))-AVERAGE(OFFSET($H$3,0,0,'Données projet'!$E$9+1,1))</f>
        <v>399.91876225849921</v>
      </c>
      <c r="T7" s="59">
        <f t="shared" si="34"/>
        <v>368.64132082233505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54.848600426528336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6.2</v>
      </c>
      <c r="AI7" s="13">
        <f>IF('Données projet'!$A$62&gt;35,AI6+AH7-AQ6,IF(A7&lt;'Données projet'!$A$62,$AF$205^A7,IF(A7='Données projet'!$A$62,'Données projet'!$B$62,AI6+AH7-AQ6)))</f>
        <v>2.2410578720808942</v>
      </c>
      <c r="AJ7" s="13">
        <f>AI7*VLOOKUP('Données projet'!$B$10,Paramètres!$A$1:$I$89,3,0)*VLOOKUP('Données projet'!$B$10,Paramètres!$A$1:$I$89,5,0)</f>
        <v>1.0488150841338586</v>
      </c>
      <c r="AK7" s="13">
        <f t="shared" si="35"/>
        <v>0.48066404266601759</v>
      </c>
      <c r="AL7" s="20">
        <f t="shared" si="4"/>
        <v>2.6638428125097842</v>
      </c>
      <c r="AM7" s="59">
        <f t="shared" si="5"/>
        <v>208.66426659866923</v>
      </c>
      <c r="AN7" s="59">
        <f ca="1">AVERAGE(OFFSET($AM$3,0,0,'Données projet'!$E$10+1,1))-AVERAGE(OFFSET($H$3,0,0,'Données projet'!$E$10+1,1))</f>
        <v>280.35802808205239</v>
      </c>
      <c r="AO7" s="59">
        <f t="shared" si="36"/>
        <v>249.32129349927175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54.848600426528336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6.7</v>
      </c>
      <c r="BD7" s="12">
        <f>IF('Données projet'!$A$88&gt;35,BD6+BC7-BL6,IF(A7&lt;'Données projet'!$A$88,$BA$205^A7,IF(A7='Données projet'!$A$88,'Données projet'!$B$88,BD6+BC7-BL6)))</f>
        <v>2.6633053388644834</v>
      </c>
      <c r="BE7" s="13">
        <f>BD7*VLOOKUP('Données projet'!$B$11,Paramètres!$A$1:$I$89,3,0)*VLOOKUP('Données projet'!$B$11,Paramètres!$A$1:$I$89,5,0)</f>
        <v>1.1771809597781018</v>
      </c>
      <c r="BF7" s="13">
        <f t="shared" si="37"/>
        <v>0.53229102312682486</v>
      </c>
      <c r="BG7" s="20">
        <f t="shared" si="7"/>
        <v>2.9773303702260798</v>
      </c>
      <c r="BH7" s="59">
        <f t="shared" si="8"/>
        <v>208.97775415638552</v>
      </c>
      <c r="BI7" s="59">
        <f ca="1">AVERAGE(OFFSET($BH$3,0,0,'Données projet'!$E$11+1,1))-AVERAGE(OFFSET($H$3,0,0,'Données projet'!$E$11+1,1))</f>
        <v>409.91320873873292</v>
      </c>
      <c r="BJ7" s="59">
        <f t="shared" si="38"/>
        <v>347.86310581860698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54.848600426528336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54.848600426528336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54.848600426528336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54.848600426528336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54.848600426528336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54.848600426528336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54.848600426528336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3.25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11.916666666666666</v>
      </c>
      <c r="H8" s="67">
        <f t="shared" si="1"/>
        <v>209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55.111443335673243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9.300476190476191</v>
      </c>
      <c r="N8" s="13">
        <f>IF('Données projet'!$A$36&gt;35,N7+M8-V7,IF(A8&lt;'Données projet'!$A$36,$K$205^A8,IF(A8='Données projet'!$A$36,'Données projet'!$B$36,N7+M8-V7)))</f>
        <v>3.5108363842459145</v>
      </c>
      <c r="O8" s="13">
        <f>N8*VLOOKUP('Données projet'!$B$9,Paramètres!$A$1:$I$89,3,0)*VLOOKUP('Données projet'!$B$9,Paramètres!$A$1:$I$89,5,0)</f>
        <v>1.9625575387934662</v>
      </c>
      <c r="P8" s="13">
        <f t="shared" si="33"/>
        <v>0.83616105511893679</v>
      </c>
      <c r="Q8" s="20">
        <f t="shared" si="2"/>
        <v>4.8744348843974343</v>
      </c>
      <c r="R8" s="59">
        <f t="shared" si="0"/>
        <v>213.06083822631041</v>
      </c>
      <c r="S8" s="59">
        <f ca="1">AVERAGE(OFFSET($R$3,0,0,'Données projet'!$E$9+1,1))-AVERAGE(OFFSET($H$3,0,0,'Données projet'!$E$9+1,1))</f>
        <v>399.91876225849921</v>
      </c>
      <c r="T8" s="59">
        <f t="shared" si="34"/>
        <v>368.64132082233505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55.111443335673243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6.2</v>
      </c>
      <c r="AI8" s="13">
        <f>IF('Données projet'!$A$62&gt;35,AI7+AH8-AQ7,IF(A8&lt;'Données projet'!$A$62,$AF$205^A8,IF(A8='Données projet'!$A$62,'Données projet'!$B$62,AI7+AH8-AQ7)))</f>
        <v>2.7419929866412671</v>
      </c>
      <c r="AJ8" s="13">
        <f>AI8*VLOOKUP('Données projet'!$B$10,Paramètres!$A$1:$I$89,3,0)*VLOOKUP('Données projet'!$B$10,Paramètres!$A$1:$I$89,5,0)</f>
        <v>1.283252717748113</v>
      </c>
      <c r="AK8" s="13">
        <f t="shared" si="35"/>
        <v>0.57445593186391197</v>
      </c>
      <c r="AL8" s="20">
        <f t="shared" si="4"/>
        <v>3.2355092314076099</v>
      </c>
      <c r="AM8" s="59">
        <f t="shared" si="5"/>
        <v>211.42191257332058</v>
      </c>
      <c r="AN8" s="59">
        <f ca="1">AVERAGE(OFFSET($AM$3,0,0,'Données projet'!$E$10+1,1))-AVERAGE(OFFSET($H$3,0,0,'Données projet'!$E$10+1,1))</f>
        <v>280.35802808205239</v>
      </c>
      <c r="AO8" s="59">
        <f t="shared" si="36"/>
        <v>249.32129349927175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55.111443335673243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6.7</v>
      </c>
      <c r="BD8" s="12">
        <f>IF('Données projet'!$A$88&gt;35,BD7+BC8-BL7,IF(A8&lt;'Données projet'!$A$88,$BA$205^A8,IF(A8='Données projet'!$A$88,'Données projet'!$B$88,BD7+BC8-BL7)))</f>
        <v>3.4023281591860344</v>
      </c>
      <c r="BE8" s="13">
        <f>BD8*VLOOKUP('Données projet'!$B$11,Paramètres!$A$1:$I$89,3,0)*VLOOKUP('Données projet'!$B$11,Paramètres!$A$1:$I$89,5,0)</f>
        <v>1.5038290463602273</v>
      </c>
      <c r="BF8" s="13">
        <f t="shared" si="37"/>
        <v>0.66088307827536719</v>
      </c>
      <c r="BG8" s="20">
        <f t="shared" si="7"/>
        <v>3.7702069504069935</v>
      </c>
      <c r="BH8" s="59">
        <f t="shared" si="8"/>
        <v>211.95661029231997</v>
      </c>
      <c r="BI8" s="59">
        <f ca="1">AVERAGE(OFFSET($BH$3,0,0,'Données projet'!$E$11+1,1))-AVERAGE(OFFSET($H$3,0,0,'Données projet'!$E$11+1,1))</f>
        <v>409.91320873873292</v>
      </c>
      <c r="BJ8" s="59">
        <f t="shared" si="38"/>
        <v>347.86310581860698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55.111443335673243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55.111443335673243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55.111443335673243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55.111443335673243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55.111443335673243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55.111443335673243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55.111443335673243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3.25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11.916666666666666</v>
      </c>
      <c r="H9" s="67">
        <f t="shared" si="1"/>
        <v>209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55.369726507973184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9.300476190476191</v>
      </c>
      <c r="N9" s="13">
        <f>IF('Données projet'!$A$36&gt;35,N8+M9-V8,IF(A9&lt;'Données projet'!$A$36,$K$205^A9,IF(A9='Données projet'!$A$36,'Données projet'!$B$36,N8+M9-V8)))</f>
        <v>4.5132844786893322</v>
      </c>
      <c r="O9" s="13">
        <f>N9*VLOOKUP('Données projet'!$B$9,Paramètres!$A$1:$I$89,3,0)*VLOOKUP('Données projet'!$B$9,Paramètres!$A$1:$I$89,5,0)</f>
        <v>2.5229260235873365</v>
      </c>
      <c r="P9" s="13">
        <f t="shared" si="33"/>
        <v>1.0439384546728099</v>
      </c>
      <c r="Q9" s="20">
        <f t="shared" si="2"/>
        <v>6.2122889663030882</v>
      </c>
      <c r="R9" s="59">
        <f t="shared" si="0"/>
        <v>216.56795282887143</v>
      </c>
      <c r="S9" s="59">
        <f ca="1">AVERAGE(OFFSET($R$3,0,0,'Données projet'!$E$9+1,1))-AVERAGE(OFFSET($H$3,0,0,'Données projet'!$E$9+1,1))</f>
        <v>399.91876225849921</v>
      </c>
      <c r="T9" s="59">
        <f t="shared" si="34"/>
        <v>368.64132082233505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55.369726507973184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6.2</v>
      </c>
      <c r="AI9" s="13">
        <f>IF('Données projet'!$A$62&gt;35,AI8+AH9-AQ8,IF(A9&lt;'Données projet'!$A$62,$AF$205^A9,IF(A9='Données projet'!$A$62,'Données projet'!$B$62,AI8+AH9-AQ8)))</f>
        <v>3.3549002158559627</v>
      </c>
      <c r="AJ9" s="13">
        <f>AI9*VLOOKUP('Données projet'!$B$10,Paramètres!$A$1:$I$89,3,0)*VLOOKUP('Données projet'!$B$10,Paramètres!$A$1:$I$89,5,0)</f>
        <v>1.5700933010205904</v>
      </c>
      <c r="AK9" s="13">
        <f t="shared" si="35"/>
        <v>0.68654941572763117</v>
      </c>
      <c r="AL9" s="20">
        <f t="shared" si="4"/>
        <v>3.9303193983364859</v>
      </c>
      <c r="AM9" s="59">
        <f t="shared" si="5"/>
        <v>214.28598326090483</v>
      </c>
      <c r="AN9" s="59">
        <f ca="1">AVERAGE(OFFSET($AM$3,0,0,'Données projet'!$E$10+1,1))-AVERAGE(OFFSET($H$3,0,0,'Données projet'!$E$10+1,1))</f>
        <v>280.35802808205239</v>
      </c>
      <c r="AO9" s="59">
        <f t="shared" si="36"/>
        <v>249.32129349927175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55.369726507973184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6.7</v>
      </c>
      <c r="BD9" s="12">
        <f>IF('Données projet'!$A$88&gt;35,BD8+BC9-BL8,IF(A9&lt;'Données projet'!$A$88,$BA$205^A9,IF(A9='Données projet'!$A$88,'Données projet'!$B$88,BD8+BC9-BL8)))</f>
        <v>4.3464174887756801</v>
      </c>
      <c r="BE9" s="13">
        <f>BD9*VLOOKUP('Données projet'!$B$11,Paramètres!$A$1:$I$89,3,0)*VLOOKUP('Données projet'!$B$11,Paramètres!$A$1:$I$89,5,0)</f>
        <v>1.9211165300388509</v>
      </c>
      <c r="BF9" s="13">
        <f t="shared" si="37"/>
        <v>0.82054068953678427</v>
      </c>
      <c r="BG9" s="20">
        <f t="shared" si="7"/>
        <v>4.775052990760897</v>
      </c>
      <c r="BH9" s="59">
        <f t="shared" si="8"/>
        <v>215.13071685332923</v>
      </c>
      <c r="BI9" s="59">
        <f ca="1">AVERAGE(OFFSET($BH$3,0,0,'Données projet'!$E$11+1,1))-AVERAGE(OFFSET($H$3,0,0,'Données projet'!$E$11+1,1))</f>
        <v>409.91320873873292</v>
      </c>
      <c r="BJ9" s="59">
        <f t="shared" si="38"/>
        <v>347.86310581860698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55.369726507973184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55.369726507973184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55.369726507973184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55.369726507973184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55.369726507973184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55.369726507973184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55.369726507973184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3.25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11.916666666666666</v>
      </c>
      <c r="H10" s="67">
        <f t="shared" si="1"/>
        <v>209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55.623529044668388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9.300476190476191</v>
      </c>
      <c r="N10" s="13">
        <f>IF('Données projet'!$A$36&gt;35,N9+M10-V9,IF(A10&lt;'Données projet'!$A$36,$K$205^A10,IF(A10='Données projet'!$A$36,'Données projet'!$B$36,N9+M10-V9)))</f>
        <v>5.8019612867699086</v>
      </c>
      <c r="O10" s="13">
        <f>N10*VLOOKUP('Données projet'!$B$9,Paramètres!$A$1:$I$89,3,0)*VLOOKUP('Données projet'!$B$9,Paramètres!$A$1:$I$89,5,0)</f>
        <v>3.2432963593043791</v>
      </c>
      <c r="P10" s="13">
        <f t="shared" si="33"/>
        <v>1.3033463953779079</v>
      </c>
      <c r="Q10" s="20">
        <f t="shared" si="2"/>
        <v>7.9187361310716495</v>
      </c>
      <c r="R10" s="59">
        <f t="shared" si="0"/>
        <v>220.42723151707796</v>
      </c>
      <c r="S10" s="59">
        <f ca="1">AVERAGE(OFFSET($R$3,0,0,'Données projet'!$E$9+1,1))-AVERAGE(OFFSET($H$3,0,0,'Données projet'!$E$9+1,1))</f>
        <v>399.91876225849921</v>
      </c>
      <c r="T10" s="59">
        <f t="shared" si="34"/>
        <v>368.64132082233505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55.623529044668388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6.2</v>
      </c>
      <c r="AI10" s="13">
        <f>IF('Données projet'!$A$62&gt;35,AI9+AH10-AQ9,IF(A10&lt;'Données projet'!$A$62,$AF$205^A10,IF(A10='Données projet'!$A$62,'Données projet'!$B$62,AI9+AH10-AQ9)))</f>
        <v>4.1048082592426089</v>
      </c>
      <c r="AJ10" s="13">
        <f>AI10*VLOOKUP('Données projet'!$B$10,Paramètres!$A$1:$I$89,3,0)*VLOOKUP('Données projet'!$B$10,Paramètres!$A$1:$I$89,5,0)</f>
        <v>1.921050265325541</v>
      </c>
      <c r="AK10" s="13">
        <f t="shared" si="35"/>
        <v>0.8205156811708475</v>
      </c>
      <c r="AL10" s="20">
        <f t="shared" si="4"/>
        <v>4.7748940234812096</v>
      </c>
      <c r="AM10" s="59">
        <f t="shared" si="5"/>
        <v>217.28338940948751</v>
      </c>
      <c r="AN10" s="59">
        <f ca="1">AVERAGE(OFFSET($AM$3,0,0,'Données projet'!$E$10+1,1))-AVERAGE(OFFSET($H$3,0,0,'Données projet'!$E$10+1,1))</f>
        <v>280.35802808205239</v>
      </c>
      <c r="AO10" s="59">
        <f t="shared" si="36"/>
        <v>249.32129349927175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55.623529044668388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6.7</v>
      </c>
      <c r="BD10" s="12">
        <f>IF('Données projet'!$A$88&gt;35,BD9+BC10-BL9,IF(A10&lt;'Données projet'!$A$88,$BA$205^A10,IF(A10='Données projet'!$A$88,'Données projet'!$B$88,BD9+BC10-BL9)))</f>
        <v>5.5524758644253227</v>
      </c>
      <c r="BE10" s="13">
        <f>BD10*VLOOKUP('Données projet'!$B$11,Paramètres!$A$1:$I$89,3,0)*VLOOKUP('Données projet'!$B$11,Paramètres!$A$1:$I$89,5,0)</f>
        <v>2.4541943320759931</v>
      </c>
      <c r="BF10" s="13">
        <f t="shared" si="37"/>
        <v>1.0187687433948276</v>
      </c>
      <c r="BG10" s="20">
        <f t="shared" si="7"/>
        <v>6.0487440231116798</v>
      </c>
      <c r="BH10" s="59">
        <f t="shared" si="8"/>
        <v>218.55723940911798</v>
      </c>
      <c r="BI10" s="59">
        <f ca="1">AVERAGE(OFFSET($BH$3,0,0,'Données projet'!$E$11+1,1))-AVERAGE(OFFSET($H$3,0,0,'Données projet'!$E$11+1,1))</f>
        <v>409.91320873873292</v>
      </c>
      <c r="BJ10" s="59">
        <f t="shared" si="38"/>
        <v>347.86310581860698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55.623529044668388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55.623529044668388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55.623529044668388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55.623529044668388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55.623529044668388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55.623529044668388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55.623529044668388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3.25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11.916666666666666</v>
      </c>
      <c r="H11" s="67">
        <f t="shared" si="1"/>
        <v>209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55.872928674769412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9.300476190476191</v>
      </c>
      <c r="N11" s="13">
        <f>IF('Données projet'!$A$36&gt;35,N10+M11-V10,IF(A11&lt;'Données projet'!$A$36,$K$205^A11,IF(A11='Données projet'!$A$36,'Données projet'!$B$36,N10+M11-V10)))</f>
        <v>7.4585936100691947</v>
      </c>
      <c r="O11" s="13">
        <f>N11*VLOOKUP('Données projet'!$B$9,Paramètres!$A$1:$I$89,3,0)*VLOOKUP('Données projet'!$B$9,Paramètres!$A$1:$I$89,5,0)</f>
        <v>4.1693538280286795</v>
      </c>
      <c r="P11" s="13">
        <f t="shared" si="33"/>
        <v>1.6272145342868833</v>
      </c>
      <c r="Q11" s="20">
        <f t="shared" si="2"/>
        <v>10.095689897699605</v>
      </c>
      <c r="R11" s="59">
        <f t="shared" si="0"/>
        <v>224.74087281629855</v>
      </c>
      <c r="S11" s="59">
        <f ca="1">AVERAGE(OFFSET($R$3,0,0,'Données projet'!$E$9+1,1))-AVERAGE(OFFSET($H$3,0,0,'Données projet'!$E$9+1,1))</f>
        <v>399.91876225849921</v>
      </c>
      <c r="T11" s="59">
        <f t="shared" si="34"/>
        <v>368.64132082233505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55.872928674769412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6.2</v>
      </c>
      <c r="AI11" s="13">
        <f>IF('Données projet'!$A$62&gt;35,AI10+AH11-AQ10,IF(A11&lt;'Données projet'!$A$62,$AF$205^A11,IF(A11='Données projet'!$A$62,'Données projet'!$B$62,AI10+AH11-AQ10)))</f>
        <v>5.0223403860157454</v>
      </c>
      <c r="AJ11" s="13">
        <f>AI11*VLOOKUP('Données projet'!$B$10,Paramètres!$A$1:$I$89,3,0)*VLOOKUP('Données projet'!$B$10,Paramètres!$A$1:$I$89,5,0)</f>
        <v>2.3504553006553688</v>
      </c>
      <c r="AK11" s="13">
        <f t="shared" si="35"/>
        <v>0.98062276017484962</v>
      </c>
      <c r="AL11" s="20">
        <f t="shared" si="4"/>
        <v>5.8016276226126307</v>
      </c>
      <c r="AM11" s="59">
        <f t="shared" si="5"/>
        <v>220.44681054121159</v>
      </c>
      <c r="AN11" s="59">
        <f ca="1">AVERAGE(OFFSET($AM$3,0,0,'Données projet'!$E$10+1,1))-AVERAGE(OFFSET($H$3,0,0,'Données projet'!$E$10+1,1))</f>
        <v>280.35802808205239</v>
      </c>
      <c r="AO11" s="59">
        <f t="shared" si="36"/>
        <v>249.32129349927175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55.872928674769412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6.7</v>
      </c>
      <c r="BD11" s="12">
        <f>IF('Données projet'!$A$88&gt;35,BD10+BC11-BL10,IF(A11&lt;'Données projet'!$A$88,$BA$205^A11,IF(A11='Données projet'!$A$88,'Données projet'!$B$88,BD10+BC11-BL10)))</f>
        <v>7.0931953280240609</v>
      </c>
      <c r="BE11" s="13">
        <f>BD11*VLOOKUP('Données projet'!$B$11,Paramètres!$A$1:$I$89,3,0)*VLOOKUP('Données projet'!$B$11,Paramètres!$A$1:$I$89,5,0)</f>
        <v>3.1351923349866353</v>
      </c>
      <c r="BF11" s="13">
        <f t="shared" si="37"/>
        <v>1.2648851735849818</v>
      </c>
      <c r="BG11" s="20">
        <f t="shared" si="7"/>
        <v>7.6634683274288991</v>
      </c>
      <c r="BH11" s="59">
        <f t="shared" si="8"/>
        <v>222.30865124602784</v>
      </c>
      <c r="BI11" s="59">
        <f ca="1">AVERAGE(OFFSET($BH$3,0,0,'Données projet'!$E$11+1,1))-AVERAGE(OFFSET($H$3,0,0,'Données projet'!$E$11+1,1))</f>
        <v>409.91320873873292</v>
      </c>
      <c r="BJ11" s="59">
        <f t="shared" si="38"/>
        <v>347.86310581860698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55.872928674769412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55.872928674769412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55.872928674769412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55.872928674769412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55.872928674769412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55.872928674769412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55.872928674769412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3.25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11.916666666666666</v>
      </c>
      <c r="H12" s="67">
        <f t="shared" si="1"/>
        <v>209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56.118001778862208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9.300476190476191</v>
      </c>
      <c r="N12" s="13">
        <f>IF('Données projet'!$A$36&gt;35,N11+M12-V11,IF(A12&lt;'Données projet'!$A$36,$K$205^A12,IF(A12='Données projet'!$A$36,'Données projet'!$B$36,N11+M12-V11)))</f>
        <v>9.5882436801187154</v>
      </c>
      <c r="O12" s="13">
        <f>N12*VLOOKUP('Données projet'!$B$9,Paramètres!$A$1:$I$89,3,0)*VLOOKUP('Données projet'!$B$9,Paramètres!$A$1:$I$89,5,0)</f>
        <v>5.3598282171863616</v>
      </c>
      <c r="P12" s="13">
        <f t="shared" si="33"/>
        <v>2.0315605659282445</v>
      </c>
      <c r="Q12" s="20">
        <f t="shared" si="2"/>
        <v>12.873335463924604</v>
      </c>
      <c r="R12" s="59">
        <f t="shared" si="0"/>
        <v>229.63934198641937</v>
      </c>
      <c r="S12" s="59">
        <f ca="1">AVERAGE(OFFSET($R$3,0,0,'Données projet'!$E$9+1,1))-AVERAGE(OFFSET($H$3,0,0,'Données projet'!$E$9+1,1))</f>
        <v>399.91876225849921</v>
      </c>
      <c r="T12" s="59">
        <f t="shared" si="34"/>
        <v>368.64132082233505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56.118001778862208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6.2</v>
      </c>
      <c r="AI12" s="13">
        <f>IF('Données projet'!$A$62&gt;35,AI11+AH12-AQ11,IF(A12&lt;'Données projet'!$A$62,$AF$205^A12,IF(A12='Données projet'!$A$62,'Données projet'!$B$62,AI11+AH12-AQ11)))</f>
        <v>6.1449649679030136</v>
      </c>
      <c r="AJ12" s="13">
        <f>AI12*VLOOKUP('Données projet'!$B$10,Paramètres!$A$1:$I$89,3,0)*VLOOKUP('Données projet'!$B$10,Paramètres!$A$1:$I$89,5,0)</f>
        <v>2.87584360497861</v>
      </c>
      <c r="AK12" s="13">
        <f t="shared" si="35"/>
        <v>1.1719715050427075</v>
      </c>
      <c r="AL12" s="20">
        <f t="shared" si="4"/>
        <v>7.0499446499537939</v>
      </c>
      <c r="AM12" s="59">
        <f t="shared" si="5"/>
        <v>223.81595117244856</v>
      </c>
      <c r="AN12" s="59">
        <f ca="1">AVERAGE(OFFSET($AM$3,0,0,'Données projet'!$E$10+1,1))-AVERAGE(OFFSET($H$3,0,0,'Données projet'!$E$10+1,1))</f>
        <v>280.35802808205239</v>
      </c>
      <c r="AO12" s="59">
        <f t="shared" si="36"/>
        <v>249.32129349927175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56.118001778862208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6.7</v>
      </c>
      <c r="BD12" s="12">
        <f>IF('Données projet'!$A$88&gt;35,BD11+BC12-BL11,IF(A12&lt;'Données projet'!$A$88,$BA$205^A12,IF(A12='Données projet'!$A$88,'Données projet'!$B$88,BD11+BC12-BL11)))</f>
        <v>9.0614387509291365</v>
      </c>
      <c r="BE12" s="13">
        <f>BD12*VLOOKUP('Données projet'!$B$11,Paramètres!$A$1:$I$89,3,0)*VLOOKUP('Données projet'!$B$11,Paramètres!$A$1:$I$89,5,0)</f>
        <v>4.0051559279106792</v>
      </c>
      <c r="BF12" s="13">
        <f t="shared" si="37"/>
        <v>1.5704589611020769</v>
      </c>
      <c r="BG12" s="20">
        <f t="shared" si="7"/>
        <v>9.7108625983638834</v>
      </c>
      <c r="BH12" s="59">
        <f t="shared" si="8"/>
        <v>226.47686912085865</v>
      </c>
      <c r="BI12" s="59">
        <f ca="1">AVERAGE(OFFSET($BH$3,0,0,'Données projet'!$E$11+1,1))-AVERAGE(OFFSET($H$3,0,0,'Données projet'!$E$11+1,1))</f>
        <v>409.91320873873292</v>
      </c>
      <c r="BJ12" s="59">
        <f t="shared" si="38"/>
        <v>347.86310581860698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56.118001778862208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56.118001778862208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56.118001778862208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56.118001778862208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56.118001778862208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56.118001778862208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56.118001778862208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3.25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11.916666666666666</v>
      </c>
      <c r="H13" s="67">
        <f t="shared" si="1"/>
        <v>209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56.358823412500385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9.300476190476191</v>
      </c>
      <c r="N13" s="13">
        <f>IF('Données projet'!$A$36&gt;35,N12+M13-V12,IF(A13&lt;'Données projet'!$A$36,$K$205^A13,IF(A13='Données projet'!$A$36,'Données projet'!$B$36,N12+M13-V12)))</f>
        <v>12.325972116944925</v>
      </c>
      <c r="O13" s="13">
        <f>N13*VLOOKUP('Données projet'!$B$9,Paramètres!$A$1:$I$89,3,0)*VLOOKUP('Données projet'!$B$9,Paramètres!$A$1:$I$89,5,0)</f>
        <v>6.8902184133722137</v>
      </c>
      <c r="P13" s="13">
        <f t="shared" si="33"/>
        <v>2.5363824167434852</v>
      </c>
      <c r="Q13" s="20">
        <f t="shared" si="2"/>
        <v>16.417996445784841</v>
      </c>
      <c r="R13" s="59">
        <f t="shared" si="0"/>
        <v>235.28923784717514</v>
      </c>
      <c r="S13" s="59">
        <f ca="1">AVERAGE(OFFSET($R$3,0,0,'Données projet'!$E$9+1,1))-AVERAGE(OFFSET($H$3,0,0,'Données projet'!$E$9+1,1))</f>
        <v>399.91876225849921</v>
      </c>
      <c r="T13" s="59">
        <f t="shared" si="34"/>
        <v>368.64132082233505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56.358823412500385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6.2</v>
      </c>
      <c r="AI13" s="13">
        <f>IF('Données projet'!$A$62&gt;35,AI12+AH13-AQ12,IF(A13&lt;'Données projet'!$A$62,$AF$205^A13,IF(A13='Données projet'!$A$62,'Données projet'!$B$62,AI12+AH13-AQ12)))</f>
        <v>7.5185255387898957</v>
      </c>
      <c r="AJ13" s="13">
        <f>AI13*VLOOKUP('Données projet'!$B$10,Paramètres!$A$1:$I$89,3,0)*VLOOKUP('Données projet'!$B$10,Paramètres!$A$1:$I$89,5,0)</f>
        <v>3.5186699521536715</v>
      </c>
      <c r="AK13" s="13">
        <f t="shared" si="35"/>
        <v>1.4006580964806126</v>
      </c>
      <c r="AL13" s="20">
        <f t="shared" si="4"/>
        <v>8.5678296847047104</v>
      </c>
      <c r="AM13" s="59">
        <f t="shared" si="5"/>
        <v>227.43907108609503</v>
      </c>
      <c r="AN13" s="59">
        <f ca="1">AVERAGE(OFFSET($AM$3,0,0,'Données projet'!$E$10+1,1))-AVERAGE(OFFSET($H$3,0,0,'Données projet'!$E$10+1,1))</f>
        <v>280.35802808205239</v>
      </c>
      <c r="AO13" s="59">
        <f t="shared" si="36"/>
        <v>249.32129349927175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56.358823412500385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6.7</v>
      </c>
      <c r="BD13" s="12">
        <f>IF('Données projet'!$A$88&gt;35,BD12+BC13-BL12,IF(A13&lt;'Données projet'!$A$88,$BA$205^A13,IF(A13='Données projet'!$A$88,'Données projet'!$B$88,BD12+BC13-BL12)))</f>
        <v>11.575836902790231</v>
      </c>
      <c r="BE13" s="13">
        <f>BD13*VLOOKUP('Données projet'!$B$11,Paramètres!$A$1:$I$89,3,0)*VLOOKUP('Données projet'!$B$11,Paramètres!$A$1:$I$89,5,0)</f>
        <v>5.1165199110332829</v>
      </c>
      <c r="BF13" s="13">
        <f t="shared" si="37"/>
        <v>1.9498539472287628</v>
      </c>
      <c r="BG13" s="20">
        <f t="shared" si="7"/>
        <v>12.30726780313973</v>
      </c>
      <c r="BH13" s="59">
        <f t="shared" si="8"/>
        <v>231.17850920453003</v>
      </c>
      <c r="BI13" s="59">
        <f ca="1">AVERAGE(OFFSET($BH$3,0,0,'Données projet'!$E$11+1,1))-AVERAGE(OFFSET($H$3,0,0,'Données projet'!$E$11+1,1))</f>
        <v>409.91320873873292</v>
      </c>
      <c r="BJ13" s="59">
        <f t="shared" si="38"/>
        <v>347.86310581860698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56.358823412500385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56.358823412500385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56.358823412500385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56.358823412500385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56.358823412500385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56.358823412500385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56.358823412500385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3.25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11.916666666666666</v>
      </c>
      <c r="H14" s="67">
        <f t="shared" si="1"/>
        <v>209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56.59546732919145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9.300476190476191</v>
      </c>
      <c r="N14" s="13">
        <f>IF('Données projet'!$A$36&gt;35,N13+M14-V13,IF(A14&lt;'Données projet'!$A$36,$K$205^A14,IF(A14='Données projet'!$A$36,'Données projet'!$B$36,N13+M14-V13)))</f>
        <v>15.845403360234862</v>
      </c>
      <c r="O14" s="13">
        <f>N14*VLOOKUP('Données projet'!$B$9,Paramètres!$A$1:$I$89,3,0)*VLOOKUP('Données projet'!$B$9,Paramètres!$A$1:$I$89,5,0)</f>
        <v>8.8575804783712879</v>
      </c>
      <c r="P14" s="13">
        <f t="shared" si="33"/>
        <v>3.1666472916725947</v>
      </c>
      <c r="Q14" s="20">
        <f t="shared" si="2"/>
        <v>20.942196699493092</v>
      </c>
      <c r="R14" s="59">
        <f t="shared" si="0"/>
        <v>241.90335468430618</v>
      </c>
      <c r="S14" s="59">
        <f ca="1">AVERAGE(OFFSET($R$3,0,0,'Données projet'!$E$9+1,1))-AVERAGE(OFFSET($H$3,0,0,'Données projet'!$E$9+1,1))</f>
        <v>399.91876225849921</v>
      </c>
      <c r="T14" s="59">
        <f t="shared" si="34"/>
        <v>368.64132082233505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56.59546732919145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6.2</v>
      </c>
      <c r="AI14" s="13">
        <f>IF('Données projet'!$A$62&gt;35,AI13+AH14-AQ13,IF(A14&lt;'Données projet'!$A$62,$AF$205^A14,IF(A14='Données projet'!$A$62,'Données projet'!$B$62,AI13+AH14-AQ13)))</f>
        <v>9.1991128627583212</v>
      </c>
      <c r="AJ14" s="13">
        <f>AI14*VLOOKUP('Données projet'!$B$10,Paramètres!$A$1:$I$89,3,0)*VLOOKUP('Données projet'!$B$10,Paramètres!$A$1:$I$89,5,0)</f>
        <v>4.3051848197708944</v>
      </c>
      <c r="AK14" s="13">
        <f t="shared" si="35"/>
        <v>1.673968261852238</v>
      </c>
      <c r="AL14" s="20">
        <f t="shared" si="4"/>
        <v>10.413691617160287</v>
      </c>
      <c r="AM14" s="59">
        <f t="shared" si="5"/>
        <v>231.37484960197338</v>
      </c>
      <c r="AN14" s="59">
        <f ca="1">AVERAGE(OFFSET($AM$3,0,0,'Données projet'!$E$10+1,1))-AVERAGE(OFFSET($H$3,0,0,'Données projet'!$E$10+1,1))</f>
        <v>280.35802808205239</v>
      </c>
      <c r="AO14" s="59">
        <f t="shared" si="36"/>
        <v>249.32129349927175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56.59546732919145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6.7</v>
      </c>
      <c r="BD14" s="12">
        <f>IF('Données projet'!$A$88&gt;35,BD13+BC14-BL13,IF(A14&lt;'Données projet'!$A$88,$BA$205^A14,IF(A14='Données projet'!$A$88,'Données projet'!$B$88,BD13+BC14-BL13)))</f>
        <v>14.787938613640149</v>
      </c>
      <c r="BE14" s="13">
        <f>BD14*VLOOKUP('Données projet'!$B$11,Paramètres!$A$1:$I$89,3,0)*VLOOKUP('Données projet'!$B$11,Paramètres!$A$1:$I$89,5,0)</f>
        <v>6.5362688672289471</v>
      </c>
      <c r="BF14" s="13">
        <f t="shared" si="37"/>
        <v>2.4209040221309337</v>
      </c>
      <c r="BG14" s="20">
        <f t="shared" si="7"/>
        <v>15.600409448968461</v>
      </c>
      <c r="BH14" s="59">
        <f t="shared" si="8"/>
        <v>236.56156743378156</v>
      </c>
      <c r="BI14" s="59">
        <f ca="1">AVERAGE(OFFSET($BH$3,0,0,'Données projet'!$E$11+1,1))-AVERAGE(OFFSET($H$3,0,0,'Données projet'!$E$11+1,1))</f>
        <v>409.91320873873292</v>
      </c>
      <c r="BJ14" s="59">
        <f t="shared" si="38"/>
        <v>347.86310581860698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56.59546732919145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56.59546732919145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56.59546732919145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56.59546732919145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56.59546732919145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56.59546732919145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56.59546732919145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3.25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11.916666666666666</v>
      </c>
      <c r="H15" s="67">
        <f t="shared" si="1"/>
        <v>209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56.828006002984459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9.300476190476191</v>
      </c>
      <c r="N15" s="13">
        <f>IF('Données projet'!$A$36&gt;35,N14+M15-V14,IF(A15&lt;'Données projet'!$A$36,$K$205^A15,IF(A15='Données projet'!$A$36,'Données projet'!$B$36,N14+M15-V14)))</f>
        <v>20.369736785578038</v>
      </c>
      <c r="O15" s="13">
        <f>N15*VLOOKUP('Données projet'!$B$9,Paramètres!$A$1:$I$89,3,0)*VLOOKUP('Données projet'!$B$9,Paramètres!$A$1:$I$89,5,0)</f>
        <v>11.386682863138123</v>
      </c>
      <c r="P15" s="13">
        <f t="shared" si="33"/>
        <v>3.9535264886168462</v>
      </c>
      <c r="Q15" s="20">
        <f t="shared" si="2"/>
        <v>26.717531287639904</v>
      </c>
      <c r="R15" s="59">
        <f t="shared" si="0"/>
        <v>249.75355329858291</v>
      </c>
      <c r="S15" s="59">
        <f ca="1">AVERAGE(OFFSET($R$3,0,0,'Données projet'!$E$9+1,1))-AVERAGE(OFFSET($H$3,0,0,'Données projet'!$E$9+1,1))</f>
        <v>399.91876225849921</v>
      </c>
      <c r="T15" s="59">
        <f t="shared" si="34"/>
        <v>368.64132082233505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56.828006002984459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6.2</v>
      </c>
      <c r="AI15" s="13">
        <f>IF('Données projet'!$A$62&gt;35,AI14+AH15-AQ14,IF(A15&lt;'Données projet'!$A$62,$AF$205^A15,IF(A15='Données projet'!$A$62,'Données projet'!$B$62,AI14+AH15-AQ14)))</f>
        <v>11.255355458350383</v>
      </c>
      <c r="AJ15" s="13">
        <f>AI15*VLOOKUP('Données projet'!$B$10,Paramètres!$A$1:$I$89,3,0)*VLOOKUP('Données projet'!$B$10,Paramètres!$A$1:$I$89,5,0)</f>
        <v>5.2675063545079794</v>
      </c>
      <c r="AK15" s="13">
        <f t="shared" si="35"/>
        <v>2.0006093912065501</v>
      </c>
      <c r="AL15" s="20">
        <f t="shared" si="4"/>
        <v>12.658634923786138</v>
      </c>
      <c r="AM15" s="59">
        <f t="shared" si="5"/>
        <v>235.69465693472915</v>
      </c>
      <c r="AN15" s="59">
        <f ca="1">AVERAGE(OFFSET($AM$3,0,0,'Données projet'!$E$10+1,1))-AVERAGE(OFFSET($H$3,0,0,'Données projet'!$E$10+1,1))</f>
        <v>280.35802808205239</v>
      </c>
      <c r="AO15" s="59">
        <f t="shared" si="36"/>
        <v>249.32129349927175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56.828006002984459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6.7</v>
      </c>
      <c r="BD15" s="12">
        <f>IF('Données projet'!$A$88&gt;35,BD14+BC15-BL14,IF(A15&lt;'Données projet'!$A$88,$BA$205^A15,IF(A15='Données projet'!$A$88,'Données projet'!$B$88,BD14+BC15-BL14)))</f>
        <v>18.891344986735092</v>
      </c>
      <c r="BE15" s="13">
        <f>BD15*VLOOKUP('Données projet'!$B$11,Paramètres!$A$1:$I$89,3,0)*VLOOKUP('Données projet'!$B$11,Paramètres!$A$1:$I$89,5,0)</f>
        <v>8.3499744841369115</v>
      </c>
      <c r="BF15" s="13">
        <f t="shared" si="37"/>
        <v>3.0057514270232302</v>
      </c>
      <c r="BG15" s="20">
        <f t="shared" si="7"/>
        <v>19.77788929527058</v>
      </c>
      <c r="BH15" s="59">
        <f t="shared" si="8"/>
        <v>242.81391130621358</v>
      </c>
      <c r="BI15" s="59">
        <f ca="1">AVERAGE(OFFSET($BH$3,0,0,'Données projet'!$E$11+1,1))-AVERAGE(OFFSET($H$3,0,0,'Données projet'!$E$11+1,1))</f>
        <v>409.91320873873292</v>
      </c>
      <c r="BJ15" s="59">
        <f t="shared" si="38"/>
        <v>347.86310581860698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56.828006002984459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56.828006002984459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56.828006002984459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56.828006002984459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56.828006002984459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56.828006002984459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56.828006002984459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3.25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11.916666666666666</v>
      </c>
      <c r="H16" s="67">
        <f t="shared" si="1"/>
        <v>209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57.056510650665757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9.300476190476191</v>
      </c>
      <c r="N16" s="13">
        <f>IF('Données projet'!$A$36&gt;35,N15+M16-V15,IF(A16&lt;'Données projet'!$A$36,$K$205^A16,IF(A16='Données projet'!$A$36,'Données projet'!$B$36,N15+M16-V15)))</f>
        <v>26.185901821535015</v>
      </c>
      <c r="O16" s="13">
        <f>N16*VLOOKUP('Données projet'!$B$9,Paramètres!$A$1:$I$89,3,0)*VLOOKUP('Données projet'!$B$9,Paramètres!$A$1:$I$89,5,0)</f>
        <v>14.637919118238074</v>
      </c>
      <c r="P16" s="13">
        <f t="shared" si="33"/>
        <v>4.935937051561945</v>
      </c>
      <c r="Q16" s="20">
        <f t="shared" si="2"/>
        <v>34.091132829068357</v>
      </c>
      <c r="R16" s="59">
        <f t="shared" si="0"/>
        <v>259.18722743706502</v>
      </c>
      <c r="S16" s="59">
        <f ca="1">AVERAGE(OFFSET($R$3,0,0,'Données projet'!$E$9+1,1))-AVERAGE(OFFSET($H$3,0,0,'Données projet'!$E$9+1,1))</f>
        <v>399.91876225849921</v>
      </c>
      <c r="T16" s="59">
        <f t="shared" si="34"/>
        <v>368.64132082233505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57.056510650665757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6.2</v>
      </c>
      <c r="AI16" s="13">
        <f>IF('Données projet'!$A$62&gt;35,AI15+AH16-AQ15,IF(A16&lt;'Données projet'!$A$62,$AF$205^A16,IF(A16='Données projet'!$A$62,'Données projet'!$B$62,AI15+AH16-AQ15)))</f>
        <v>13.771222114980368</v>
      </c>
      <c r="AJ16" s="13">
        <f>AI16*VLOOKUP('Données projet'!$B$10,Paramètres!$A$1:$I$89,3,0)*VLOOKUP('Données projet'!$B$10,Paramètres!$A$1:$I$89,5,0)</f>
        <v>6.4449319498108126</v>
      </c>
      <c r="AK16" s="13">
        <f t="shared" si="35"/>
        <v>2.390987946064858</v>
      </c>
      <c r="AL16" s="20">
        <f t="shared" si="4"/>
        <v>15.38922715198346</v>
      </c>
      <c r="AM16" s="59">
        <f t="shared" si="5"/>
        <v>240.48532175998011</v>
      </c>
      <c r="AN16" s="59">
        <f ca="1">AVERAGE(OFFSET($AM$3,0,0,'Données projet'!$E$10+1,1))-AVERAGE(OFFSET($H$3,0,0,'Données projet'!$E$10+1,1))</f>
        <v>280.35802808205239</v>
      </c>
      <c r="AO16" s="59">
        <f t="shared" si="36"/>
        <v>249.32129349927175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57.056510650665757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6.7</v>
      </c>
      <c r="BD16" s="12">
        <f>IF('Données projet'!$A$88&gt;35,BD15+BC16-BL15,IF(A16&lt;'Données projet'!$A$88,$BA$205^A16,IF(A16='Données projet'!$A$88,'Données projet'!$B$88,BD15+BC16-BL15)))</f>
        <v>24.133378203143081</v>
      </c>
      <c r="BE16" s="13">
        <f>BD16*VLOOKUP('Données projet'!$B$11,Paramètres!$A$1:$I$89,3,0)*VLOOKUP('Données projet'!$B$11,Paramètres!$A$1:$I$89,5,0)</f>
        <v>10.666953165789243</v>
      </c>
      <c r="BF16" s="13">
        <f t="shared" si="37"/>
        <v>3.7318875752454574</v>
      </c>
      <c r="BG16" s="20">
        <f t="shared" si="7"/>
        <v>25.077980957302103</v>
      </c>
      <c r="BH16" s="59">
        <f t="shared" si="8"/>
        <v>250.17407556529878</v>
      </c>
      <c r="BI16" s="59">
        <f ca="1">AVERAGE(OFFSET($BH$3,0,0,'Données projet'!$E$11+1,1))-AVERAGE(OFFSET($H$3,0,0,'Données projet'!$E$11+1,1))</f>
        <v>409.91320873873292</v>
      </c>
      <c r="BJ16" s="59">
        <f t="shared" si="38"/>
        <v>347.86310581860698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57.056510650665757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57.056510650665757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57.056510650665757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57.056510650665757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57.056510650665757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57.056510650665757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57.056510650665757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3.25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11.916666666666666</v>
      </c>
      <c r="H17" s="67">
        <f t="shared" si="1"/>
        <v>209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57.281051253569643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9.300476190476191</v>
      </c>
      <c r="N17" s="13">
        <f>IF('Données projet'!$A$36&gt;35,N16+M17-V16,IF(A17&lt;'Données projet'!$A$36,$K$205^A17,IF(A17='Données projet'!$A$36,'Données projet'!$B$36,N16+M17-V16)))</f>
        <v>33.662754773176729</v>
      </c>
      <c r="O17" s="13">
        <f>N17*VLOOKUP('Données projet'!$B$9,Paramètres!$A$1:$I$89,3,0)*VLOOKUP('Données projet'!$B$9,Paramètres!$A$1:$I$89,5,0)</f>
        <v>18.817479918205791</v>
      </c>
      <c r="P17" s="13">
        <f t="shared" si="33"/>
        <v>6.1624665086044912</v>
      </c>
      <c r="Q17" s="20">
        <f t="shared" si="2"/>
        <v>43.50674002669458</v>
      </c>
      <c r="R17" s="59">
        <f t="shared" si="0"/>
        <v>270.6483724008944</v>
      </c>
      <c r="S17" s="59">
        <f ca="1">AVERAGE(OFFSET($R$3,0,0,'Données projet'!$E$9+1,1))-AVERAGE(OFFSET($H$3,0,0,'Données projet'!$E$9+1,1))</f>
        <v>399.91876225849921</v>
      </c>
      <c r="T17" s="59">
        <f t="shared" si="34"/>
        <v>368.64132082233505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57.281051253569643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6.2</v>
      </c>
      <c r="AI17" s="13">
        <f>IF('Données projet'!$A$62&gt;35,AI16+AH17-AQ16,IF(A17&lt;'Données projet'!$A$62,$AF$205^A17,IF(A17='Données projet'!$A$62,'Données projet'!$B$62,AI16+AH17-AQ16)))</f>
        <v>16.849450845146343</v>
      </c>
      <c r="AJ17" s="13">
        <f>AI17*VLOOKUP('Données projet'!$B$10,Paramètres!$A$1:$I$89,3,0)*VLOOKUP('Données projet'!$B$10,Paramètres!$A$1:$I$89,5,0)</f>
        <v>7.8855429955284881</v>
      </c>
      <c r="AK17" s="13">
        <f t="shared" si="35"/>
        <v>2.8575409989351699</v>
      </c>
      <c r="AL17" s="20">
        <f t="shared" si="4"/>
        <v>18.710871290357538</v>
      </c>
      <c r="AM17" s="59">
        <f t="shared" si="5"/>
        <v>245.85250366455736</v>
      </c>
      <c r="AN17" s="59">
        <f ca="1">AVERAGE(OFFSET($AM$3,0,0,'Données projet'!$E$10+1,1))-AVERAGE(OFFSET($H$3,0,0,'Données projet'!$E$10+1,1))</f>
        <v>280.35802808205239</v>
      </c>
      <c r="AO17" s="59">
        <f t="shared" si="36"/>
        <v>249.32129349927175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57.281051253569643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6.7</v>
      </c>
      <c r="BD17" s="12">
        <f>IF('Données projet'!$A$88&gt;35,BD16+BC17-BL16,IF(A17&lt;'Données projet'!$A$88,$BA$205^A17,IF(A17='Données projet'!$A$88,'Données projet'!$B$88,BD16+BC17-BL16)))</f>
        <v>30.829988225025726</v>
      </c>
      <c r="BE17" s="13">
        <f>BD17*VLOOKUP('Données projet'!$B$11,Paramètres!$A$1:$I$89,3,0)*VLOOKUP('Données projet'!$B$11,Paramètres!$A$1:$I$89,5,0)</f>
        <v>13.626854795461373</v>
      </c>
      <c r="BF17" s="13">
        <f t="shared" si="37"/>
        <v>4.6334453172210992</v>
      </c>
      <c r="BG17" s="20">
        <f t="shared" si="7"/>
        <v>31.803356029588638</v>
      </c>
      <c r="BH17" s="59">
        <f t="shared" si="8"/>
        <v>258.94498840378844</v>
      </c>
      <c r="BI17" s="59">
        <f ca="1">AVERAGE(OFFSET($BH$3,0,0,'Données projet'!$E$11+1,1))-AVERAGE(OFFSET($H$3,0,0,'Données projet'!$E$11+1,1))</f>
        <v>409.91320873873292</v>
      </c>
      <c r="BJ17" s="59">
        <f t="shared" si="38"/>
        <v>347.86310581860698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57.281051253569643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57.281051253569643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57.281051253569643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57.281051253569643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57.281051253569643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57.281051253569643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57.281051253569643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3.25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11.916666666666666</v>
      </c>
      <c r="H18" s="67">
        <f t="shared" si="1"/>
        <v>209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57.501696579010734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9.300476190476191</v>
      </c>
      <c r="N18" s="13">
        <f>IF('Données projet'!$A$36&gt;35,N17+M18-V17,IF(A18&lt;'Données projet'!$A$36,$K$205^A18,IF(A18='Données projet'!$A$36,'Données projet'!$B$36,N17+M18-V17)))</f>
        <v>43.274471379370887</v>
      </c>
      <c r="O18" s="13">
        <f>N18*VLOOKUP('Données projet'!$B$9,Paramètres!$A$1:$I$89,3,0)*VLOOKUP('Données projet'!$B$9,Paramètres!$A$1:$I$89,5,0)</f>
        <v>24.190429501068326</v>
      </c>
      <c r="P18" s="13">
        <f t="shared" si="33"/>
        <v>7.6937758875297604</v>
      </c>
      <c r="Q18" s="20">
        <f t="shared" si="2"/>
        <v>55.531657718475003</v>
      </c>
      <c r="R18" s="59">
        <f t="shared" si="0"/>
        <v>284.70454517484768</v>
      </c>
      <c r="S18" s="59">
        <f ca="1">AVERAGE(OFFSET($R$3,0,0,'Données projet'!$E$9+1,1))-AVERAGE(OFFSET($H$3,0,0,'Données projet'!$E$9+1,1))</f>
        <v>399.91876225849921</v>
      </c>
      <c r="T18" s="59">
        <f t="shared" si="34"/>
        <v>368.64132082233505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57.501696579010734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6.2</v>
      </c>
      <c r="AI18" s="13">
        <f>IF('Données projet'!$A$62&gt;35,AI17+AH18-AQ17,IF(A18&lt;'Données projet'!$A$62,$AF$205^A18,IF(A18='Données projet'!$A$62,'Données projet'!$B$62,AI17+AH18-AQ17)))</f>
        <v>20.615744297245143</v>
      </c>
      <c r="AJ18" s="13">
        <f>AI18*VLOOKUP('Données projet'!$B$10,Paramètres!$A$1:$I$89,3,0)*VLOOKUP('Données projet'!$B$10,Paramètres!$A$1:$I$89,5,0)</f>
        <v>9.6481683311107282</v>
      </c>
      <c r="AK18" s="13">
        <f t="shared" si="35"/>
        <v>3.4151324660730467</v>
      </c>
      <c r="AL18" s="20">
        <f t="shared" si="4"/>
        <v>22.751915555095071</v>
      </c>
      <c r="AM18" s="59">
        <f t="shared" si="5"/>
        <v>251.92480301146776</v>
      </c>
      <c r="AN18" s="59">
        <f ca="1">AVERAGE(OFFSET($AM$3,0,0,'Données projet'!$E$10+1,1))-AVERAGE(OFFSET($H$3,0,0,'Données projet'!$E$10+1,1))</f>
        <v>280.35802808205239</v>
      </c>
      <c r="AO18" s="59">
        <f t="shared" si="36"/>
        <v>249.32129349927175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57.501696579010734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6.7</v>
      </c>
      <c r="BD18" s="12">
        <f>IF('Données projet'!$A$88&gt;35,BD17+BC18-BL17,IF(A18&lt;'Données projet'!$A$88,$BA$205^A18,IF(A18='Données projet'!$A$88,'Données projet'!$B$88,BD17+BC18-BL17)))</f>
        <v>39.384795860508056</v>
      </c>
      <c r="BE18" s="13">
        <f>BD18*VLOOKUP('Données projet'!$B$11,Paramètres!$A$1:$I$89,3,0)*VLOOKUP('Données projet'!$B$11,Paramètres!$A$1:$I$89,5,0)</f>
        <v>17.408079770344564</v>
      </c>
      <c r="BF18" s="13">
        <f t="shared" si="37"/>
        <v>5.7528033936729912</v>
      </c>
      <c r="BG18" s="20">
        <f t="shared" si="7"/>
        <v>40.33853817733057</v>
      </c>
      <c r="BH18" s="59">
        <f t="shared" si="8"/>
        <v>269.51142563370325</v>
      </c>
      <c r="BI18" s="59">
        <f ca="1">AVERAGE(OFFSET($BH$3,0,0,'Données projet'!$E$11+1,1))-AVERAGE(OFFSET($H$3,0,0,'Données projet'!$E$11+1,1))</f>
        <v>409.91320873873292</v>
      </c>
      <c r="BJ18" s="59">
        <f t="shared" si="38"/>
        <v>347.86310581860698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57.501696579010734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57.501696579010734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57.501696579010734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57.501696579010734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57.501696579010734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57.501696579010734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57.501696579010734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3.25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11.916666666666666</v>
      </c>
      <c r="H19" s="67">
        <f t="shared" si="1"/>
        <v>209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57.718514201344462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9.300476190476191</v>
      </c>
      <c r="N19" s="13">
        <f>IF('Données projet'!$A$36&gt;35,N18+M19-V18,IF(A19&lt;'Données projet'!$A$36,$K$205^A19,IF(A19='Données projet'!$A$36,'Données projet'!$B$36,N18+M19-V18)))</f>
        <v>55.630618640165025</v>
      </c>
      <c r="O19" s="13">
        <f>N19*VLOOKUP('Données projet'!$B$9,Paramètres!$A$1:$I$89,3,0)*VLOOKUP('Données projet'!$B$9,Paramètres!$A$1:$I$89,5,0)</f>
        <v>31.097515819852248</v>
      </c>
      <c r="P19" s="13">
        <f t="shared" si="33"/>
        <v>9.6055998559802376</v>
      </c>
      <c r="Q19" s="20">
        <f t="shared" si="2"/>
        <v>70.891259802074913</v>
      </c>
      <c r="R19" s="59">
        <f t="shared" si="0"/>
        <v>302.08136742922687</v>
      </c>
      <c r="S19" s="59">
        <f ca="1">AVERAGE(OFFSET($R$3,0,0,'Données projet'!$E$9+1,1))-AVERAGE(OFFSET($H$3,0,0,'Données projet'!$E$9+1,1))</f>
        <v>399.91876225849921</v>
      </c>
      <c r="T19" s="59">
        <f t="shared" si="34"/>
        <v>368.64132082233505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57.718514201344462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6.2</v>
      </c>
      <c r="AI19" s="13">
        <f>IF('Données projet'!$A$62&gt;35,AI18+AH19-AQ18,IF(A19&lt;'Données projet'!$A$62,$AF$205^A19,IF(A19='Données projet'!$A$62,'Données projet'!$B$62,AI18+AH19-AQ18)))</f>
        <v>25.223902953004785</v>
      </c>
      <c r="AJ19" s="13">
        <f>AI19*VLOOKUP('Données projet'!$B$10,Paramètres!$A$1:$I$89,3,0)*VLOOKUP('Données projet'!$B$10,Paramètres!$A$1:$I$89,5,0)</f>
        <v>11.804786582006239</v>
      </c>
      <c r="AK19" s="13">
        <f t="shared" si="35"/>
        <v>4.0815266570706452</v>
      </c>
      <c r="AL19" s="20">
        <f t="shared" si="4"/>
        <v>27.668662224725569</v>
      </c>
      <c r="AM19" s="59">
        <f t="shared" si="5"/>
        <v>258.85876985187753</v>
      </c>
      <c r="AN19" s="59">
        <f ca="1">AVERAGE(OFFSET($AM$3,0,0,'Données projet'!$E$10+1,1))-AVERAGE(OFFSET($H$3,0,0,'Données projet'!$E$10+1,1))</f>
        <v>280.35802808205239</v>
      </c>
      <c r="AO19" s="59">
        <f t="shared" si="36"/>
        <v>249.32129349927175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57.718514201344462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6.7</v>
      </c>
      <c r="BD19" s="12">
        <f>IF('Données projet'!$A$88&gt;35,BD18+BC19-BL18,IF(A19&lt;'Données projet'!$A$88,$BA$205^A19,IF(A19='Données projet'!$A$88,'Données projet'!$B$88,BD18+BC19-BL18)))</f>
        <v>50.313419961502369</v>
      </c>
      <c r="BE19" s="13">
        <f>BD19*VLOOKUP('Données projet'!$B$11,Paramètres!$A$1:$I$89,3,0)*VLOOKUP('Données projet'!$B$11,Paramètres!$A$1:$I$89,5,0)</f>
        <v>22.238531622984048</v>
      </c>
      <c r="BF19" s="13">
        <f t="shared" si="37"/>
        <v>7.1425784962331207</v>
      </c>
      <c r="BG19" s="20">
        <f t="shared" si="7"/>
        <v>51.172100124303235</v>
      </c>
      <c r="BH19" s="59">
        <f t="shared" si="8"/>
        <v>282.36220775145517</v>
      </c>
      <c r="BI19" s="59">
        <f ca="1">AVERAGE(OFFSET($BH$3,0,0,'Données projet'!$E$11+1,1))-AVERAGE(OFFSET($H$3,0,0,'Données projet'!$E$11+1,1))</f>
        <v>409.91320873873292</v>
      </c>
      <c r="BJ19" s="59">
        <f t="shared" si="38"/>
        <v>347.86310581860698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57.718514201344462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57.718514201344462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57.718514201344462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57.718514201344462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57.718514201344462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57.718514201344462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57.718514201344462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3.25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11.916666666666666</v>
      </c>
      <c r="H20" s="67">
        <f t="shared" si="1"/>
        <v>209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57.931570522662291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9.300476190476191</v>
      </c>
      <c r="N20" s="13">
        <f>IF('Données projet'!$A$36&gt;35,N19+M20-V19,IF(A20&lt;'Données projet'!$A$36,$K$205^A20,IF(A20='Données projet'!$A$36,'Données projet'!$B$36,N19+M20-V19)))</f>
        <v>71.514813044319794</v>
      </c>
      <c r="O20" s="13">
        <f>N20*VLOOKUP('Données projet'!$B$9,Paramètres!$A$1:$I$89,3,0)*VLOOKUP('Données projet'!$B$9,Paramètres!$A$1:$I$89,5,0)</f>
        <v>39.976780491774768</v>
      </c>
      <c r="P20" s="13">
        <f t="shared" si="33"/>
        <v>11.992492365518064</v>
      </c>
      <c r="Q20" s="20">
        <f t="shared" si="2"/>
        <v>90.513150226451685</v>
      </c>
      <c r="R20" s="59">
        <f t="shared" si="0"/>
        <v>323.7066865873245</v>
      </c>
      <c r="S20" s="59">
        <f ca="1">AVERAGE(OFFSET($R$3,0,0,'Données projet'!$E$9+1,1))-AVERAGE(OFFSET($H$3,0,0,'Données projet'!$E$9+1,1))</f>
        <v>399.91876225849921</v>
      </c>
      <c r="T20" s="59">
        <f t="shared" si="34"/>
        <v>368.64132082233505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57.931570522662291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6.2</v>
      </c>
      <c r="AI20" s="13">
        <f>IF('Données projet'!$A$62&gt;35,AI19+AH20-AQ19,IF(A20&lt;'Données projet'!$A$62,$AF$205^A20,IF(A20='Données projet'!$A$62,'Données projet'!$B$62,AI19+AH20-AQ19)))</f>
        <v>30.862105728951249</v>
      </c>
      <c r="AJ20" s="13">
        <f>AI20*VLOOKUP('Données projet'!$B$10,Paramètres!$A$1:$I$89,3,0)*VLOOKUP('Données projet'!$B$10,Paramètres!$A$1:$I$89,5,0)</f>
        <v>14.443465481149184</v>
      </c>
      <c r="AK20" s="13">
        <f t="shared" si="35"/>
        <v>4.877954228092876</v>
      </c>
      <c r="AL20" s="20">
        <f t="shared" si="4"/>
        <v>33.651472660263259</v>
      </c>
      <c r="AM20" s="59">
        <f t="shared" si="5"/>
        <v>266.84500902113609</v>
      </c>
      <c r="AN20" s="59">
        <f ca="1">AVERAGE(OFFSET($AM$3,0,0,'Données projet'!$E$10+1,1))-AVERAGE(OFFSET($H$3,0,0,'Données projet'!$E$10+1,1))</f>
        <v>280.35802808205239</v>
      </c>
      <c r="AO20" s="59">
        <f t="shared" si="36"/>
        <v>249.32129349927175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57.931570522662291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6.7</v>
      </c>
      <c r="BD20" s="12">
        <f>IF('Données projet'!$A$88&gt;35,BD19+BC20-BL19,IF(A20&lt;'Données projet'!$A$88,$BA$205^A20,IF(A20='Données projet'!$A$88,'Données projet'!$B$88,BD19+BC20-BL19)))</f>
        <v>64.274555013266735</v>
      </c>
      <c r="BE20" s="13">
        <f>BD20*VLOOKUP('Données projet'!$B$11,Paramètres!$A$1:$I$89,3,0)*VLOOKUP('Données projet'!$B$11,Paramètres!$A$1:$I$89,5,0)</f>
        <v>28.4093533158639</v>
      </c>
      <c r="BF20" s="13">
        <f t="shared" si="37"/>
        <v>8.8680985745072238</v>
      </c>
      <c r="BG20" s="20">
        <f t="shared" si="7"/>
        <v>64.924895375729704</v>
      </c>
      <c r="BH20" s="59">
        <f t="shared" si="8"/>
        <v>298.11843173660253</v>
      </c>
      <c r="BI20" s="59">
        <f ca="1">AVERAGE(OFFSET($BH$3,0,0,'Données projet'!$E$11+1,1))-AVERAGE(OFFSET($H$3,0,0,'Données projet'!$E$11+1,1))</f>
        <v>409.91320873873292</v>
      </c>
      <c r="BJ20" s="59">
        <f t="shared" si="38"/>
        <v>347.86310581860698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57.931570522662291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57.931570522662291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57.931570522662291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57.931570522662291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57.931570522662291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57.931570522662291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57.931570522662291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3.25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11.916666666666666</v>
      </c>
      <c r="H21" s="67">
        <f t="shared" si="1"/>
        <v>209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58.140930793127829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9.300476190476191</v>
      </c>
      <c r="N21" s="13">
        <f>IF('Données projet'!$A$36&gt;35,N20+M21-V20,IF(A21&lt;'Données projet'!$A$36,$K$205^A21,IF(A21='Données projet'!$A$36,'Données projet'!$B$36,N20+M21-V20)))</f>
        <v>91.934416869336488</v>
      </c>
      <c r="O21" s="13">
        <f>N21*VLOOKUP('Données projet'!$B$9,Paramètres!$A$1:$I$89,3,0)*VLOOKUP('Données projet'!$B$9,Paramètres!$A$1:$I$89,5,0)</f>
        <v>51.391339029959099</v>
      </c>
      <c r="P21" s="13">
        <f t="shared" si="33"/>
        <v>14.972503049611195</v>
      </c>
      <c r="Q21" s="20">
        <f t="shared" si="2"/>
        <v>115.58369162191825</v>
      </c>
      <c r="R21" s="59">
        <f t="shared" si="0"/>
        <v>350.76710453005364</v>
      </c>
      <c r="S21" s="59">
        <f ca="1">AVERAGE(OFFSET($R$3,0,0,'Données projet'!$E$9+1,1))-AVERAGE(OFFSET($H$3,0,0,'Données projet'!$E$9+1,1))</f>
        <v>399.91876225849921</v>
      </c>
      <c r="T21" s="59">
        <f t="shared" si="34"/>
        <v>368.64132082233505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58.140930793127829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6.2</v>
      </c>
      <c r="AI21" s="13">
        <f>IF('Données projet'!$A$62&gt;35,AI20+AH21-AQ20,IF(A21&lt;'Données projet'!$A$62,$AF$205^A21,IF(A21='Données projet'!$A$62,'Données projet'!$B$62,AI20+AH21-AQ20)))</f>
        <v>37.760594456755285</v>
      </c>
      <c r="AJ21" s="13">
        <f>AI21*VLOOKUP('Données projet'!$B$10,Paramètres!$A$1:$I$89,3,0)*VLOOKUP('Données projet'!$B$10,Paramètres!$A$1:$I$89,5,0)</f>
        <v>17.671958205761474</v>
      </c>
      <c r="AK21" s="13">
        <f t="shared" si="35"/>
        <v>5.8297885694679463</v>
      </c>
      <c r="AL21" s="20">
        <f t="shared" si="4"/>
        <v>40.932208966857907</v>
      </c>
      <c r="AM21" s="59">
        <f t="shared" si="5"/>
        <v>276.11562187499334</v>
      </c>
      <c r="AN21" s="59">
        <f ca="1">AVERAGE(OFFSET($AM$3,0,0,'Données projet'!$E$10+1,1))-AVERAGE(OFFSET($H$3,0,0,'Données projet'!$E$10+1,1))</f>
        <v>280.35802808205239</v>
      </c>
      <c r="AO21" s="59">
        <f t="shared" si="36"/>
        <v>249.32129349927175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58.140930793127829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6.7</v>
      </c>
      <c r="BD21" s="12">
        <f>IF('Données projet'!$A$88&gt;35,BD20+BC21-BL20,IF(A21&lt;'Données projet'!$A$88,$BA$205^A21,IF(A21='Données projet'!$A$88,'Données projet'!$B$88,BD20+BC21-BL20)))</f>
        <v>82.109672236840183</v>
      </c>
      <c r="BE21" s="13">
        <f>BD21*VLOOKUP('Données projet'!$B$11,Paramètres!$A$1:$I$89,3,0)*VLOOKUP('Données projet'!$B$11,Paramètres!$A$1:$I$89,5,0)</f>
        <v>36.292475128683364</v>
      </c>
      <c r="BF21" s="13">
        <f t="shared" si="37"/>
        <v>11.010473650188397</v>
      </c>
      <c r="BG21" s="20">
        <f t="shared" si="7"/>
        <v>82.385969123201647</v>
      </c>
      <c r="BH21" s="59">
        <f t="shared" si="8"/>
        <v>317.56938203133706</v>
      </c>
      <c r="BI21" s="59">
        <f ca="1">AVERAGE(OFFSET($BH$3,0,0,'Données projet'!$E$11+1,1))-AVERAGE(OFFSET($H$3,0,0,'Données projet'!$E$11+1,1))</f>
        <v>409.91320873873292</v>
      </c>
      <c r="BJ21" s="59">
        <f t="shared" si="38"/>
        <v>347.86310581860698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58.140930793127829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58.140930793127829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58.140930793127829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58.140930793127829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58.140930793127829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58.140930793127829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58.140930793127829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3.25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11.916666666666666</v>
      </c>
      <c r="H22" s="67">
        <f t="shared" si="1"/>
        <v>209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58.346659130960234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9.300476190476191</v>
      </c>
      <c r="N22" s="13">
        <f>IF('Données projet'!$A$36&gt;35,N21+M22-V21,IF(A22&lt;'Données projet'!$A$36,$K$205^A22,IF(A22='Données projet'!$A$36,'Données projet'!$B$36,N21+M22-V21)))</f>
        <v>118.18442425161669</v>
      </c>
      <c r="O22" s="13">
        <f>N22*VLOOKUP('Données projet'!$B$9,Paramètres!$A$1:$I$89,3,0)*VLOOKUP('Données projet'!$B$9,Paramètres!$A$1:$I$89,5,0)</f>
        <v>66.065093156653731</v>
      </c>
      <c r="P22" s="13">
        <f t="shared" si="33"/>
        <v>18.693015658295351</v>
      </c>
      <c r="Q22" s="20">
        <f t="shared" si="2"/>
        <v>147.62037285270299</v>
      </c>
      <c r="R22" s="59">
        <f t="shared" si="0"/>
        <v>384.78034522177938</v>
      </c>
      <c r="S22" s="59">
        <f ca="1">AVERAGE(OFFSET($R$3,0,0,'Données projet'!$E$9+1,1))-AVERAGE(OFFSET($H$3,0,0,'Données projet'!$E$9+1,1))</f>
        <v>399.91876225849921</v>
      </c>
      <c r="T22" s="59">
        <f t="shared" si="34"/>
        <v>368.64132082233505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58.346659130960234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6.2</v>
      </c>
      <c r="AI22" s="13">
        <f>IF('Données projet'!$A$62&gt;35,AI21+AH22-AQ21,IF(A22&lt;'Données projet'!$A$62,$AF$205^A22,IF(A22='Données projet'!$A$62,'Données projet'!$B$62,AI21+AH22-AQ21)))</f>
        <v>46.201076046148032</v>
      </c>
      <c r="AJ22" s="13">
        <f>AI22*VLOOKUP('Données projet'!$B$10,Paramètres!$A$1:$I$89,3,0)*VLOOKUP('Données projet'!$B$10,Paramètres!$A$1:$I$89,5,0)</f>
        <v>21.62210358959728</v>
      </c>
      <c r="AK22" s="13">
        <f t="shared" si="35"/>
        <v>6.967354176668187</v>
      </c>
      <c r="AL22" s="20">
        <f t="shared" si="4"/>
        <v>49.793305609579022</v>
      </c>
      <c r="AM22" s="59">
        <f t="shared" si="5"/>
        <v>286.95327797865542</v>
      </c>
      <c r="AN22" s="59">
        <f ca="1">AVERAGE(OFFSET($AM$3,0,0,'Données projet'!$E$10+1,1))-AVERAGE(OFFSET($H$3,0,0,'Données projet'!$E$10+1,1))</f>
        <v>280.35802808205239</v>
      </c>
      <c r="AO22" s="59">
        <f t="shared" si="36"/>
        <v>249.32129349927175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58.346659130960234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6.7</v>
      </c>
      <c r="BD22" s="12">
        <f>IF('Données projet'!$A$88&gt;35,BD21+BC22-BL21,IF(A22&lt;'Données projet'!$A$88,$BA$205^A22,IF(A22='Données projet'!$A$88,'Données projet'!$B$88,BD21+BC22-BL21)))</f>
        <v>104.89373708537892</v>
      </c>
      <c r="BE22" s="13">
        <f>BD22*VLOOKUP('Données projet'!$B$11,Paramètres!$A$1:$I$89,3,0)*VLOOKUP('Données projet'!$B$11,Paramètres!$A$1:$I$89,5,0)</f>
        <v>46.363031791737484</v>
      </c>
      <c r="BF22" s="13">
        <f t="shared" si="37"/>
        <v>13.670408485308201</v>
      </c>
      <c r="BG22" s="20">
        <f t="shared" si="7"/>
        <v>104.55824181585456</v>
      </c>
      <c r="BH22" s="59">
        <f t="shared" si="8"/>
        <v>341.71821418493096</v>
      </c>
      <c r="BI22" s="59">
        <f ca="1">AVERAGE(OFFSET($BH$3,0,0,'Données projet'!$E$11+1,1))-AVERAGE(OFFSET($H$3,0,0,'Données projet'!$E$11+1,1))</f>
        <v>409.91320873873292</v>
      </c>
      <c r="BJ22" s="59">
        <f t="shared" si="38"/>
        <v>347.86310581860698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58.346659130960234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58.346659130960234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58.346659130960234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58.346659130960234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58.346659130960234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58.346659130960234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58.346659130960234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3.25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11.916666666666666</v>
      </c>
      <c r="H23" s="67">
        <f t="shared" si="1"/>
        <v>209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58.548818542070912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9.300476190476191</v>
      </c>
      <c r="N23" s="13">
        <f>IF('Données projet'!$A$36&gt;35,N22+M23-V22,IF(A23&lt;'Données projet'!$A$36,$K$205^A23,IF(A23='Données projet'!$A$36,'Données projet'!$B$36,N22+M23-V22)))</f>
        <v>151.92958862770377</v>
      </c>
      <c r="O23" s="13">
        <f>N23*VLOOKUP('Données projet'!$B$9,Paramètres!$A$1:$I$89,3,0)*VLOOKUP('Données projet'!$B$9,Paramètres!$A$1:$I$89,5,0)</f>
        <v>84.928640042886414</v>
      </c>
      <c r="P23" s="13">
        <f t="shared" si="33"/>
        <v>23.338037283642365</v>
      </c>
      <c r="Q23" s="20">
        <f t="shared" si="2"/>
        <v>188.56446301037093</v>
      </c>
      <c r="R23" s="59">
        <f t="shared" si="0"/>
        <v>427.68790877574202</v>
      </c>
      <c r="S23" s="59">
        <f ca="1">AVERAGE(OFFSET($R$3,0,0,'Données projet'!$E$9+1,1))-AVERAGE(OFFSET($H$3,0,0,'Données projet'!$E$9+1,1))</f>
        <v>399.91876225849921</v>
      </c>
      <c r="T23" s="59">
        <f t="shared" si="34"/>
        <v>368.64132082233505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58.548818542070912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6.2</v>
      </c>
      <c r="AI23" s="13">
        <f>IF('Données projet'!$A$62&gt;35,AI22+AH23-AQ22,IF(A23&lt;'Données projet'!$A$62,$AF$205^A23,IF(A23='Données projet'!$A$62,'Données projet'!$B$62,AI22+AH23-AQ22)))</f>
        <v>56.528226277435891</v>
      </c>
      <c r="AJ23" s="13">
        <f>AI23*VLOOKUP('Données projet'!$B$10,Paramètres!$A$1:$I$89,3,0)*VLOOKUP('Données projet'!$B$10,Paramètres!$A$1:$I$89,5,0)</f>
        <v>26.455209897839996</v>
      </c>
      <c r="AK23" s="13">
        <f t="shared" si="35"/>
        <v>8.3268927585766548</v>
      </c>
      <c r="AL23" s="20">
        <f t="shared" si="4"/>
        <v>60.578828793259014</v>
      </c>
      <c r="AM23" s="59">
        <f t="shared" si="5"/>
        <v>299.70227455863011</v>
      </c>
      <c r="AN23" s="59">
        <f ca="1">AVERAGE(OFFSET($AM$3,0,0,'Données projet'!$E$10+1,1))-AVERAGE(OFFSET($H$3,0,0,'Données projet'!$E$10+1,1))</f>
        <v>280.35802808205239</v>
      </c>
      <c r="AO23" s="59">
        <f t="shared" si="36"/>
        <v>249.32129349927175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58.548818542070912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134</v>
      </c>
      <c r="BB23" s="12">
        <f>VLOOKUP(A23,'Données projet'!$A$87:$I$107,9,0)</f>
        <v>6.7</v>
      </c>
      <c r="BC23" s="12">
        <f t="array" ref="BC23">INDEX(BB:BB,MIN(IF(ISNUMBER(BB23:BB219),ROW(BB23:BB219),"")))</f>
        <v>6.7</v>
      </c>
      <c r="BD23" s="12">
        <f>IF('Données projet'!$A$88&gt;35,BD22+BC23-BL22,IF(A23&lt;'Données projet'!$A$88,$BA$205^A23,IF(A23='Données projet'!$A$88,'Données projet'!$B$88,BD22+BC23-BL22)))</f>
        <v>134</v>
      </c>
      <c r="BE23" s="13">
        <f>BD23*VLOOKUP('Données projet'!$B$11,Paramètres!$A$1:$I$89,3,0)*VLOOKUP('Données projet'!$B$11,Paramètres!$A$1:$I$89,5,0)</f>
        <v>59.228000000000002</v>
      </c>
      <c r="BF23" s="13">
        <f t="shared" si="37"/>
        <v>16.972936323405893</v>
      </c>
      <c r="BG23" s="20">
        <f t="shared" si="7"/>
        <v>132.71663076326527</v>
      </c>
      <c r="BH23" s="59">
        <f t="shared" si="8"/>
        <v>371.84007652863636</v>
      </c>
      <c r="BI23" s="59">
        <f ca="1">AVERAGE(OFFSET($BH$3,0,0,'Données projet'!$E$11+1,1))-AVERAGE(OFFSET($H$3,0,0,'Données projet'!$E$11+1,1))</f>
        <v>409.91320873873292</v>
      </c>
      <c r="BJ23" s="59">
        <f t="shared" si="38"/>
        <v>347.86310581860698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5</v>
      </c>
      <c r="BM23" s="16">
        <f>IF(ISNA(VLOOKUP(A23,'Données projet'!$A$87:$I$107,5,0)),0%,VLOOKUP(A23,'Données projet'!$A$87:$I$107,5,0)*VLOOKUP('Données projet'!$B$11,Paramètres!$A$1:$I$89,7,0))</f>
        <v>0.13750000000000001</v>
      </c>
      <c r="BN23" s="16">
        <f>IF(ISNA(VLOOKUP(A23,'Données projet'!$A$87:$I$107,6,0)),0%,VLOOKUP(A23,'Données projet'!$A$87:$I$107,6,0)*VLOOKUP('Données projet'!$B$11,Paramètres!$A$1:$I$89,7,0))</f>
        <v>0.20350000000000001</v>
      </c>
      <c r="BO23" s="16">
        <f>IF(ISNA(VLOOKUP(A23,'Données projet'!$A$87:$I$107,7,0)),0%,VLOOKUP(A23,'Données projet'!$A$87:$I$107,7,0))</f>
        <v>0.38</v>
      </c>
      <c r="BP23" s="21">
        <f>EXP(-LN(2)/35)*BP22+(1-EXP(-LN(2)/35))/(LN(2)/35)*BL23*BM23*VLOOKUP('Données projet'!$B$11,Paramètres!$A$1:$I$89,3,0)*0.475*44/12</f>
        <v>0.40310977389669028</v>
      </c>
      <c r="BQ23" s="21">
        <f>EXP(-LN(2)/25)*BQ22+(1-EXP(-LN(2)/25))/(LN(2)/25)*Calculateur!BL23*Calculateur!BN23*VLOOKUP('Données projet'!$B$11,Paramètres!$A$1:$I$89,3,0)*0.475*44/12</f>
        <v>0.59425341413759025</v>
      </c>
      <c r="BR23" s="21">
        <f>EXP(-LN(2)/2)*BR22+(1-EXP(-LN(2)/2))/(LN(2)/2)*BL23*BO23*VLOOKUP('Données projet'!$B$11,Paramètres!$A$1:$I$89,3,0)*0.475*44/12</f>
        <v>0.95084868346272611</v>
      </c>
      <c r="BS23" s="22">
        <f t="shared" si="9"/>
        <v>1.9482118714970067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58.548818542070912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58.548818542070912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58.548818542070912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58.548818542070912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58.548818542070912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58.548818542070912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58.548818542070912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3.25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11.916666666666666</v>
      </c>
      <c r="H24" s="67">
        <f t="shared" si="1"/>
        <v>209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58.747470939359545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>
        <f>VLOOKUP(A24,'Données projet'!$A$35:$I$55,2,0)</f>
        <v>195.31</v>
      </c>
      <c r="L24" s="12">
        <f>VLOOKUP(A24,'Données projet'!$A$35:$I$55,9,0)</f>
        <v>9.300476190476191</v>
      </c>
      <c r="M24" s="12">
        <f t="array" ref="M24">INDEX(L:L,MIN(IF(ISNUMBER(L24:L220),ROW(L24:L220),"")))</f>
        <v>9.300476190476191</v>
      </c>
      <c r="N24" s="13">
        <f>IF('Données projet'!$A$36&gt;35,N23+M24-V23,IF(A24&lt;'Données projet'!$A$36,$K$205^A24,IF(A24='Données projet'!$A$36,'Données projet'!$B$36,N23+M24-V23)))</f>
        <v>195.31</v>
      </c>
      <c r="O24" s="13">
        <f>N24*VLOOKUP('Données projet'!$B$9,Paramètres!$A$1:$I$89,3,0)*VLOOKUP('Données projet'!$B$9,Paramètres!$A$1:$I$89,5,0)</f>
        <v>109.17829</v>
      </c>
      <c r="P24" s="13">
        <f t="shared" si="33"/>
        <v>29.137298882589644</v>
      </c>
      <c r="Q24" s="20">
        <f t="shared" si="2"/>
        <v>240.89965063717693</v>
      </c>
      <c r="R24" s="59">
        <f t="shared" si="0"/>
        <v>481.97371074816192</v>
      </c>
      <c r="S24" s="59">
        <f ca="1">AVERAGE(OFFSET($R$3,0,0,'Données projet'!$E$9+1,1))-AVERAGE(OFFSET($H$3,0,0,'Données projet'!$E$9+1,1))</f>
        <v>399.91876225849921</v>
      </c>
      <c r="T24" s="59">
        <f t="shared" si="34"/>
        <v>368.64132082233505</v>
      </c>
      <c r="U24" s="15">
        <f>IF(ISNA(VLOOKUP(A24,'Données projet'!$A$35:$I$55,3,0)),0,VLOOKUP(A24,'Données projet'!$A$35:$I$55,3,0))</f>
        <v>1</v>
      </c>
      <c r="V24" s="15">
        <f>IF(ISNA(VLOOKUP(A24,'Données projet'!$A$35:$I$55,4,0)),0,VLOOKUP(A24,'Données projet'!$A$35:$I$55,4,0))</f>
        <v>64.599999999999994</v>
      </c>
      <c r="W24" s="16">
        <f>IF(ISNA(VLOOKUP(A24,'Données projet'!$A$35:$I$55,5,0)),0%,VLOOKUP(A24,'Données projet'!$A$35:$I$55,5,0)*VLOOKUP('Données projet'!$B$9,Paramètres!$A$1:$I$89,7,0))</f>
        <v>0.13750000000000001</v>
      </c>
      <c r="X24" s="16">
        <f>IF(ISNA(VLOOKUP(A24,'Données projet'!$A$35:$I$55,6,0)),0%,VLOOKUP(A24,'Données projet'!$A$35:$I$55,6,0)*VLOOKUP('Données projet'!$B$9,Paramètres!$A$1:$I$89,7,0))</f>
        <v>0.20350000000000001</v>
      </c>
      <c r="Y24" s="16">
        <f>IF(ISNA(VLOOKUP(A24,'Données projet'!$A$35:$I$55,7,0)),0%,VLOOKUP(A24,'Données projet'!$A$35:$I$55,7,0))</f>
        <v>0.38</v>
      </c>
      <c r="Z24" s="21">
        <f>EXP(-LN(2)/35)*Z23+(1-EXP(-LN(2)/35))/(LN(2)/35)*V24*W24*VLOOKUP('Données projet'!$B$9,Paramètres!$A$1:$I$89,3,0)*0.475*44/12</f>
        <v>6.5868137054719185</v>
      </c>
      <c r="AA24" s="21">
        <f>EXP(-LN(2)/25)*AA23+(1-EXP(-LN(2)/25))/(LN(2)/25)*Calculateur!V24*Calculateur!X24*VLOOKUP('Données projet'!$B$9,Paramètres!$A$1:$I$89,3,0)*0.475*44/12</f>
        <v>9.7101007870082245</v>
      </c>
      <c r="AB24" s="21">
        <f>EXP(-LN(2)/2)*AB23+(1-EXP(-LN(2)/2))/(LN(2)/2)*V24*Y24*VLOOKUP('Données projet'!$B$9,Paramètres!$A$1:$I$89,3,0)*0.475*44/12</f>
        <v>15.536867487780944</v>
      </c>
      <c r="AC24" s="22">
        <f t="shared" si="3"/>
        <v>31.833781980261087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58.747470939359545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6.2</v>
      </c>
      <c r="AI24" s="13">
        <f>IF('Données projet'!$A$62&gt;35,AI23+AH24-AQ23,IF(A24&lt;'Données projet'!$A$62,$AF$205^A24,IF(A24='Données projet'!$A$62,'Données projet'!$B$62,AI23+AH24-AQ23)))</f>
        <v>69.163764992859072</v>
      </c>
      <c r="AJ24" s="13">
        <f>AI24*VLOOKUP('Données projet'!$B$10,Paramètres!$A$1:$I$89,3,0)*VLOOKUP('Données projet'!$B$10,Paramètres!$A$1:$I$89,5,0)</f>
        <v>32.368642016658043</v>
      </c>
      <c r="AK24" s="13">
        <f t="shared" si="35"/>
        <v>9.9517178622880955</v>
      </c>
      <c r="AL24" s="20">
        <f t="shared" si="4"/>
        <v>73.707960122497852</v>
      </c>
      <c r="AM24" s="59">
        <f t="shared" si="5"/>
        <v>314.78202023348285</v>
      </c>
      <c r="AN24" s="59">
        <f ca="1">AVERAGE(OFFSET($AM$3,0,0,'Données projet'!$E$10+1,1))-AVERAGE(OFFSET($H$3,0,0,'Données projet'!$E$10+1,1))</f>
        <v>280.35802808205239</v>
      </c>
      <c r="AO24" s="59">
        <f t="shared" si="36"/>
        <v>249.32129349927175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58.747470939359545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22.8</v>
      </c>
      <c r="BD24" s="12">
        <f>IF('Données projet'!$A$88&gt;35,BD23+BC24-BL23,IF(A24&lt;'Données projet'!$A$88,$BA$205^A24,IF(A24='Données projet'!$A$88,'Données projet'!$B$88,BD23+BC24-BL23)))</f>
        <v>151.80000000000001</v>
      </c>
      <c r="BE24" s="13">
        <f>BD24*VLOOKUP('Données projet'!$B$11,Paramètres!$A$1:$I$89,3,0)*VLOOKUP('Données projet'!$B$11,Paramètres!$A$1:$I$89,5,0)</f>
        <v>67.095600000000019</v>
      </c>
      <c r="BF24" s="13">
        <f t="shared" si="37"/>
        <v>18.950423477478726</v>
      </c>
      <c r="BG24" s="20">
        <f t="shared" si="7"/>
        <v>149.86349088994214</v>
      </c>
      <c r="BH24" s="59">
        <f t="shared" si="8"/>
        <v>390.9375510009271</v>
      </c>
      <c r="BI24" s="59">
        <f ca="1">AVERAGE(OFFSET($BH$3,0,0,'Données projet'!$E$11+1,1))-AVERAGE(OFFSET($H$3,0,0,'Données projet'!$E$11+1,1))</f>
        <v>409.91320873873292</v>
      </c>
      <c r="BJ24" s="59">
        <f t="shared" si="38"/>
        <v>347.86310581860698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0.39520503710326033</v>
      </c>
      <c r="BQ24" s="21">
        <f>EXP(-LN(2)/25)*BQ23+(1-EXP(-LN(2)/25))/(LN(2)/25)*Calculateur!BL24*Calculateur!BN24*VLOOKUP('Données projet'!$B$11,Paramètres!$A$1:$I$89,3,0)*0.475*44/12</f>
        <v>0.57800352327756899</v>
      </c>
      <c r="BR24" s="21">
        <f>EXP(-LN(2)/2)*BR23+(1-EXP(-LN(2)/2))/(LN(2)/2)*BL24*BO24*VLOOKUP('Données projet'!$B$11,Paramètres!$A$1:$I$89,3,0)*0.475*44/12</f>
        <v>0.6723515519587947</v>
      </c>
      <c r="BS24" s="22">
        <f t="shared" si="9"/>
        <v>1.645560112339624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58.747470939359545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58.747470939359545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58.747470939359545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58.747470939359545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58.747470939359545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58.747470939359545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58.747470939359545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3.25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11.916666666666666</v>
      </c>
      <c r="H25" s="67">
        <f t="shared" si="1"/>
        <v>209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58.942677161675455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21.61428571428571</v>
      </c>
      <c r="N25" s="13">
        <f>IF('Données projet'!$A$36&gt;35,N24+M25-V24,IF(A25&lt;'Données projet'!$A$36,$K$205^A25,IF(A25='Données projet'!$A$36,'Données projet'!$B$36,N24+M25-V24)))</f>
        <v>152.32428571428571</v>
      </c>
      <c r="O25" s="13">
        <f>N25*VLOOKUP('Données projet'!$B$9,Paramètres!$A$1:$I$89,3,0)*VLOOKUP('Données projet'!$B$9,Paramètres!$A$1:$I$89,5,0)</f>
        <v>85.149275714285707</v>
      </c>
      <c r="P25" s="13">
        <f t="shared" si="33"/>
        <v>23.391601652187223</v>
      </c>
      <c r="Q25" s="20">
        <f t="shared" si="2"/>
        <v>189.04202807994034</v>
      </c>
      <c r="R25" s="59">
        <f t="shared" si="0"/>
        <v>432.05406656163927</v>
      </c>
      <c r="S25" s="59">
        <f ca="1">AVERAGE(OFFSET($R$3,0,0,'Données projet'!$E$9+1,1))-AVERAGE(OFFSET($H$3,0,0,'Données projet'!$E$9+1,1))</f>
        <v>399.91876225849921</v>
      </c>
      <c r="T25" s="59">
        <f t="shared" si="34"/>
        <v>368.64132082233505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6.457650306267273</v>
      </c>
      <c r="AA25" s="21">
        <f>EXP(-LN(2)/25)*AA24+(1-EXP(-LN(2)/25))/(LN(2)/25)*Calculateur!V25*Calculateur!X25*VLOOKUP('Données projet'!$B$9,Paramètres!$A$1:$I$89,3,0)*0.475*44/12</f>
        <v>9.4445775703554773</v>
      </c>
      <c r="AB25" s="21">
        <f>EXP(-LN(2)/2)*AB24+(1-EXP(-LN(2)/2))/(LN(2)/2)*V25*Y25*VLOOKUP('Données projet'!$B$9,Paramètres!$A$1:$I$89,3,0)*0.475*44/12</f>
        <v>10.986224359006705</v>
      </c>
      <c r="AC25" s="22">
        <f t="shared" si="3"/>
        <v>26.888452235629455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58.942677161675455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6.2</v>
      </c>
      <c r="AI25" s="13">
        <f>IF('Données projet'!$A$62&gt;35,AI24+AH25-AQ24,IF(A25&lt;'Données projet'!$A$62,$AF$205^A25,IF(A25='Données projet'!$A$62,'Données projet'!$B$62,AI24+AH25-AQ24)))</f>
        <v>84.62367746176561</v>
      </c>
      <c r="AJ25" s="13">
        <f>AI25*VLOOKUP('Données projet'!$B$10,Paramètres!$A$1:$I$89,3,0)*VLOOKUP('Données projet'!$B$10,Paramètres!$A$1:$I$89,5,0)</f>
        <v>39.603881052106303</v>
      </c>
      <c r="AK25" s="13">
        <f t="shared" si="35"/>
        <v>11.893594799641999</v>
      </c>
      <c r="AL25" s="20">
        <f t="shared" si="4"/>
        <v>89.691437108461628</v>
      </c>
      <c r="AM25" s="59">
        <f t="shared" si="5"/>
        <v>332.70347559016056</v>
      </c>
      <c r="AN25" s="59">
        <f ca="1">AVERAGE(OFFSET($AM$3,0,0,'Données projet'!$E$10+1,1))-AVERAGE(OFFSET($H$3,0,0,'Données projet'!$E$10+1,1))</f>
        <v>280.35802808205239</v>
      </c>
      <c r="AO25" s="59">
        <f t="shared" si="36"/>
        <v>249.32129349927175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58.942677161675455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22.8</v>
      </c>
      <c r="BD25" s="12">
        <f>IF('Données projet'!$A$88&gt;35,BD24+BC25-BL24,IF(A25&lt;'Données projet'!$A$88,$BA$205^A25,IF(A25='Données projet'!$A$88,'Données projet'!$B$88,BD24+BC25-BL24)))</f>
        <v>174.60000000000002</v>
      </c>
      <c r="BE25" s="13">
        <f>BD25*VLOOKUP('Données projet'!$B$11,Paramètres!$A$1:$I$89,3,0)*VLOOKUP('Données projet'!$B$11,Paramètres!$A$1:$I$89,5,0)</f>
        <v>77.173200000000023</v>
      </c>
      <c r="BF25" s="13">
        <f t="shared" si="37"/>
        <v>21.444576401945664</v>
      </c>
      <c r="BG25" s="20">
        <f t="shared" si="7"/>
        <v>171.75929390005538</v>
      </c>
      <c r="BH25" s="59">
        <f t="shared" si="8"/>
        <v>414.77133238175429</v>
      </c>
      <c r="BI25" s="59">
        <f ca="1">AVERAGE(OFFSET($BH$3,0,0,'Données projet'!$E$11+1,1))-AVERAGE(OFFSET($H$3,0,0,'Données projet'!$E$11+1,1))</f>
        <v>409.91320873873292</v>
      </c>
      <c r="BJ25" s="59">
        <f t="shared" si="38"/>
        <v>347.86310581860698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0.38745530737693618</v>
      </c>
      <c r="BQ25" s="21">
        <f>EXP(-LN(2)/25)*BQ24+(1-EXP(-LN(2)/25))/(LN(2)/25)*Calculateur!BL25*Calculateur!BN25*VLOOKUP('Données projet'!$B$11,Paramètres!$A$1:$I$89,3,0)*0.475*44/12</f>
        <v>0.56219798653765962</v>
      </c>
      <c r="BR25" s="21">
        <f>EXP(-LN(2)/2)*BR24+(1-EXP(-LN(2)/2))/(LN(2)/2)*BL25*BO25*VLOOKUP('Données projet'!$B$11,Paramètres!$A$1:$I$89,3,0)*0.475*44/12</f>
        <v>0.47542434173136311</v>
      </c>
      <c r="BS25" s="22">
        <f t="shared" si="9"/>
        <v>1.4250776356459589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58.942677161675455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58.942677161675455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58.942677161675455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58.942677161675455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58.942677161675455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58.942677161675455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58.942677161675455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3.25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11.916666666666666</v>
      </c>
      <c r="H26" s="67">
        <f t="shared" si="1"/>
        <v>209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59.134496992449911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21.61428571428571</v>
      </c>
      <c r="N26" s="13">
        <f>IF('Données projet'!$A$36&gt;35,N25+M26-V25,IF(A26&lt;'Données projet'!$A$36,$K$205^A26,IF(A26='Données projet'!$A$36,'Données projet'!$B$36,N25+M26-V25)))</f>
        <v>173.93857142857141</v>
      </c>
      <c r="O26" s="13">
        <f>N26*VLOOKUP('Données projet'!$B$9,Paramètres!$A$1:$I$89,3,0)*VLOOKUP('Données projet'!$B$9,Paramètres!$A$1:$I$89,5,0)</f>
        <v>97.231661428571414</v>
      </c>
      <c r="P26" s="13">
        <f t="shared" si="33"/>
        <v>26.301405349792162</v>
      </c>
      <c r="Q26" s="20">
        <f t="shared" si="2"/>
        <v>215.15342463898321</v>
      </c>
      <c r="R26" s="59">
        <f t="shared" si="0"/>
        <v>460.09102472241068</v>
      </c>
      <c r="S26" s="59">
        <f ca="1">AVERAGE(OFFSET($R$3,0,0,'Données projet'!$E$9+1,1))-AVERAGE(OFFSET($H$3,0,0,'Données projet'!$E$9+1,1))</f>
        <v>399.91876225849921</v>
      </c>
      <c r="T26" s="59">
        <f t="shared" si="34"/>
        <v>368.64132082233505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6.3310197225391365</v>
      </c>
      <c r="AA26" s="21">
        <f>EXP(-LN(2)/25)*AA25+(1-EXP(-LN(2)/25))/(LN(2)/25)*Calculateur!V26*Calculateur!X26*VLOOKUP('Données projet'!$B$9,Paramètres!$A$1:$I$89,3,0)*0.475*44/12</f>
        <v>9.1863151000253573</v>
      </c>
      <c r="AB26" s="21">
        <f>EXP(-LN(2)/2)*AB25+(1-EXP(-LN(2)/2))/(LN(2)/2)*V26*Y26*VLOOKUP('Données projet'!$B$9,Paramètres!$A$1:$I$89,3,0)*0.475*44/12</f>
        <v>7.7684337438904736</v>
      </c>
      <c r="AC26" s="22">
        <f t="shared" si="3"/>
        <v>23.285768566454966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59.134496992449911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6.2</v>
      </c>
      <c r="AI26" s="13">
        <f>IF('Données projet'!$A$62&gt;35,AI25+AH26-AQ25,IF(A26&lt;'Données projet'!$A$62,$AF$205^A26,IF(A26='Données projet'!$A$62,'Données projet'!$B$62,AI25+AH26-AQ25)))</f>
        <v>103.53928517182807</v>
      </c>
      <c r="AJ26" s="13">
        <f>AI26*VLOOKUP('Données projet'!$B$10,Paramètres!$A$1:$I$89,3,0)*VLOOKUP('Données projet'!$B$10,Paramètres!$A$1:$I$89,5,0)</f>
        <v>48.456385460415532</v>
      </c>
      <c r="AK26" s="13">
        <f t="shared" si="35"/>
        <v>14.214389838574796</v>
      </c>
      <c r="AL26" s="20">
        <f t="shared" si="4"/>
        <v>109.15160031240815</v>
      </c>
      <c r="AM26" s="59">
        <f t="shared" si="5"/>
        <v>354.08920039583563</v>
      </c>
      <c r="AN26" s="59">
        <f ca="1">AVERAGE(OFFSET($AM$3,0,0,'Données projet'!$E$10+1,1))-AVERAGE(OFFSET($H$3,0,0,'Données projet'!$E$10+1,1))</f>
        <v>280.35802808205239</v>
      </c>
      <c r="AO26" s="59">
        <f t="shared" si="36"/>
        <v>249.32129349927175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59.134496992449911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22.8</v>
      </c>
      <c r="BD26" s="12">
        <f>IF('Données projet'!$A$88&gt;35,BD25+BC26-BL25,IF(A26&lt;'Données projet'!$A$88,$BA$205^A26,IF(A26='Données projet'!$A$88,'Données projet'!$B$88,BD25+BC26-BL25)))</f>
        <v>197.40000000000003</v>
      </c>
      <c r="BE26" s="13">
        <f>BD26*VLOOKUP('Données projet'!$B$11,Paramètres!$A$1:$I$89,3,0)*VLOOKUP('Données projet'!$B$11,Paramètres!$A$1:$I$89,5,0)</f>
        <v>87.250800000000027</v>
      </c>
      <c r="BF26" s="13">
        <f t="shared" si="37"/>
        <v>23.900991769585765</v>
      </c>
      <c r="BG26" s="20">
        <f t="shared" si="7"/>
        <v>193.58937066536194</v>
      </c>
      <c r="BH26" s="59">
        <f t="shared" si="8"/>
        <v>438.52697074878938</v>
      </c>
      <c r="BI26" s="59">
        <f ca="1">AVERAGE(OFFSET($BH$3,0,0,'Données projet'!$E$11+1,1))-AVERAGE(OFFSET($H$3,0,0,'Données projet'!$E$11+1,1))</f>
        <v>409.91320873873292</v>
      </c>
      <c r="BJ26" s="59">
        <f t="shared" si="38"/>
        <v>347.86310581860698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0.37985754512367687</v>
      </c>
      <c r="BQ26" s="21">
        <f>EXP(-LN(2)/25)*BQ25+(1-EXP(-LN(2)/25))/(LN(2)/25)*Calculateur!BL26*Calculateur!BN26*VLOOKUP('Données projet'!$B$11,Paramètres!$A$1:$I$89,3,0)*0.475*44/12</f>
        <v>0.54682465303108008</v>
      </c>
      <c r="BR26" s="21">
        <f>EXP(-LN(2)/2)*BR25+(1-EXP(-LN(2)/2))/(LN(2)/2)*BL26*BO26*VLOOKUP('Données projet'!$B$11,Paramètres!$A$1:$I$89,3,0)*0.475*44/12</f>
        <v>0.33617577597939741</v>
      </c>
      <c r="BS26" s="22">
        <f t="shared" si="9"/>
        <v>1.2628579741341543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59.134496992449911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59.134496992449911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59.134496992449911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59.134496992449911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59.134496992449911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59.134496992449911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59.134496992449911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3.25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11.916666666666666</v>
      </c>
      <c r="H27" s="67">
        <f t="shared" si="1"/>
        <v>209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59.322989178005329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21.61428571428571</v>
      </c>
      <c r="N27" s="13">
        <f>IF('Données projet'!$A$36&gt;35,N26+M27-V26,IF(A27&lt;'Données projet'!$A$36,$K$205^A27,IF(A27='Données projet'!$A$36,'Données projet'!$B$36,N26+M27-V26)))</f>
        <v>195.55285714285711</v>
      </c>
      <c r="O27" s="13">
        <f>N27*VLOOKUP('Données projet'!$B$9,Paramètres!$A$1:$I$89,3,0)*VLOOKUP('Données projet'!$B$9,Paramètres!$A$1:$I$89,5,0)</f>
        <v>109.31404714285712</v>
      </c>
      <c r="P27" s="13">
        <f t="shared" si="33"/>
        <v>29.169309937147133</v>
      </c>
      <c r="Q27" s="20">
        <f t="shared" si="2"/>
        <v>241.19184691434074</v>
      </c>
      <c r="R27" s="59">
        <f t="shared" si="0"/>
        <v>488.04280723369362</v>
      </c>
      <c r="S27" s="59">
        <f ca="1">AVERAGE(OFFSET($R$3,0,0,'Données projet'!$E$9+1,1))-AVERAGE(OFFSET($H$3,0,0,'Données projet'!$E$9+1,1))</f>
        <v>399.91876225849921</v>
      </c>
      <c r="T27" s="59">
        <f t="shared" si="34"/>
        <v>368.64132082233505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6.2068722873208797</v>
      </c>
      <c r="AA27" s="21">
        <f>EXP(-LN(2)/25)*AA26+(1-EXP(-LN(2)/25))/(LN(2)/25)*Calculateur!V27*Calculateur!X27*VLOOKUP('Données projet'!$B$9,Paramètres!$A$1:$I$89,3,0)*0.475*44/12</f>
        <v>8.9351148305278478</v>
      </c>
      <c r="AB27" s="21">
        <f>EXP(-LN(2)/2)*AB26+(1-EXP(-LN(2)/2))/(LN(2)/2)*V27*Y27*VLOOKUP('Données projet'!$B$9,Paramètres!$A$1:$I$89,3,0)*0.475*44/12</f>
        <v>5.4931121795033535</v>
      </c>
      <c r="AC27" s="22">
        <f t="shared" si="3"/>
        <v>20.635099297352081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59.322989178005329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6.2</v>
      </c>
      <c r="AI27" s="13">
        <f>IF('Données projet'!$A$62&gt;35,AI26+AH27-AQ26,IF(A27&lt;'Données projet'!$A$62,$AF$205^A27,IF(A27='Données projet'!$A$62,'Données projet'!$B$62,AI26+AH27-AQ26)))</f>
        <v>126.68302649381775</v>
      </c>
      <c r="AJ27" s="13">
        <f>AI27*VLOOKUP('Données projet'!$B$10,Paramètres!$A$1:$I$89,3,0)*VLOOKUP('Données projet'!$B$10,Paramètres!$A$1:$I$89,5,0)</f>
        <v>59.287656399106709</v>
      </c>
      <c r="AK27" s="13">
        <f t="shared" si="35"/>
        <v>16.988041200887402</v>
      </c>
      <c r="AL27" s="20">
        <f t="shared" si="4"/>
        <v>132.84683998665642</v>
      </c>
      <c r="AM27" s="59">
        <f t="shared" si="5"/>
        <v>379.6978003060093</v>
      </c>
      <c r="AN27" s="59">
        <f ca="1">AVERAGE(OFFSET($AM$3,0,0,'Données projet'!$E$10+1,1))-AVERAGE(OFFSET($H$3,0,0,'Données projet'!$E$10+1,1))</f>
        <v>280.35802808205239</v>
      </c>
      <c r="AO27" s="59">
        <f t="shared" si="36"/>
        <v>249.32129349927175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59.322989178005329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22.8</v>
      </c>
      <c r="BD27" s="12">
        <f>IF('Données projet'!$A$88&gt;35,BD26+BC27-BL26,IF(A27&lt;'Données projet'!$A$88,$BA$205^A27,IF(A27='Données projet'!$A$88,'Données projet'!$B$88,BD26+BC27-BL26)))</f>
        <v>220.20000000000005</v>
      </c>
      <c r="BE27" s="13">
        <f>BD27*VLOOKUP('Données projet'!$B$11,Paramètres!$A$1:$I$89,3,0)*VLOOKUP('Données projet'!$B$11,Paramètres!$A$1:$I$89,5,0)</f>
        <v>97.32840000000003</v>
      </c>
      <c r="BF27" s="13">
        <f t="shared" si="37"/>
        <v>26.324526076780696</v>
      </c>
      <c r="BG27" s="20">
        <f t="shared" si="7"/>
        <v>215.36217958372643</v>
      </c>
      <c r="BH27" s="59">
        <f t="shared" si="8"/>
        <v>462.21313990307931</v>
      </c>
      <c r="BI27" s="59">
        <f ca="1">AVERAGE(OFFSET($BH$3,0,0,'Données projet'!$E$11+1,1))-AVERAGE(OFFSET($H$3,0,0,'Données projet'!$E$11+1,1))</f>
        <v>409.91320873873292</v>
      </c>
      <c r="BJ27" s="59">
        <f t="shared" si="38"/>
        <v>347.86310581860698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0.37240877035402659</v>
      </c>
      <c r="BQ27" s="21">
        <f>EXP(-LN(2)/25)*BQ26+(1-EXP(-LN(2)/25))/(LN(2)/25)*Calculateur!BL27*Calculateur!BN27*VLOOKUP('Données projet'!$B$11,Paramètres!$A$1:$I$89,3,0)*0.475*44/12</f>
        <v>0.53187170413768647</v>
      </c>
      <c r="BR27" s="21">
        <f>EXP(-LN(2)/2)*BR26+(1-EXP(-LN(2)/2))/(LN(2)/2)*BL27*BO27*VLOOKUP('Données projet'!$B$11,Paramètres!$A$1:$I$89,3,0)*0.475*44/12</f>
        <v>0.23771217086568161</v>
      </c>
      <c r="BS27" s="22">
        <f t="shared" si="9"/>
        <v>1.1419926453573945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59.322989178005329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59.322989178005329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59.322989178005329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59.322989178005329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59.322989178005329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59.322989178005329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59.322989178005329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3.25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11.916666666666666</v>
      </c>
      <c r="H28" s="67">
        <f t="shared" si="1"/>
        <v>209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59.508211445546756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21.61428571428571</v>
      </c>
      <c r="N28" s="13">
        <f>IF('Données projet'!$A$36&gt;35,N27+M28-V27,IF(A28&lt;'Données projet'!$A$36,$K$205^A28,IF(A28='Données projet'!$A$36,'Données projet'!$B$36,N27+M28-V27)))</f>
        <v>217.16714285714281</v>
      </c>
      <c r="O28" s="13">
        <f>N28*VLOOKUP('Données projet'!$B$9,Paramètres!$A$1:$I$89,3,0)*VLOOKUP('Données projet'!$B$9,Paramètres!$A$1:$I$89,5,0)</f>
        <v>121.39643285714283</v>
      </c>
      <c r="P28" s="13">
        <f t="shared" si="33"/>
        <v>32.00047469196349</v>
      </c>
      <c r="Q28" s="20">
        <f t="shared" si="2"/>
        <v>267.16628064802683</v>
      </c>
      <c r="R28" s="59">
        <f t="shared" si="0"/>
        <v>515.91861150392049</v>
      </c>
      <c r="S28" s="59">
        <f ca="1">AVERAGE(OFFSET($R$3,0,0,'Données projet'!$E$9+1,1))-AVERAGE(OFFSET($H$3,0,0,'Données projet'!$E$9+1,1))</f>
        <v>399.91876225849921</v>
      </c>
      <c r="T28" s="59">
        <f t="shared" si="34"/>
        <v>368.64132082233505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6.0851593075847941</v>
      </c>
      <c r="AA28" s="21">
        <f>EXP(-LN(2)/25)*AA27+(1-EXP(-LN(2)/25))/(LN(2)/25)*Calculateur!V28*Calculateur!X28*VLOOKUP('Données projet'!$B$9,Paramètres!$A$1:$I$89,3,0)*0.475*44/12</f>
        <v>8.6907836456097964</v>
      </c>
      <c r="AB28" s="21">
        <f>EXP(-LN(2)/2)*AB27+(1-EXP(-LN(2)/2))/(LN(2)/2)*V28*Y28*VLOOKUP('Données projet'!$B$9,Paramètres!$A$1:$I$89,3,0)*0.475*44/12</f>
        <v>3.8842168719452372</v>
      </c>
      <c r="AC28" s="22">
        <f t="shared" si="3"/>
        <v>18.660159825139829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59.508211445546756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155</v>
      </c>
      <c r="AG28" s="12">
        <f>VLOOKUP(A28,'Données projet'!$A$61:$I$81,9,0)</f>
        <v>6.2</v>
      </c>
      <c r="AH28" s="12">
        <f t="array" ref="AH28">INDEX(AG:AG,MIN(IF(ISNUMBER(AG28:AG224),ROW(AG28:AG224),"")))</f>
        <v>6.2</v>
      </c>
      <c r="AI28" s="13">
        <f>IF('Données projet'!$A$62&gt;35,AI27+AH28-AQ27,IF(A28&lt;'Données projet'!$A$62,$AF$205^A28,IF(A28='Données projet'!$A$62,'Données projet'!$B$62,AI27+AH28-AQ27)))</f>
        <v>155</v>
      </c>
      <c r="AJ28" s="13">
        <f>AI28*VLOOKUP('Données projet'!$B$10,Paramètres!$A$1:$I$89,3,0)*VLOOKUP('Données projet'!$B$10,Paramètres!$A$1:$I$89,5,0)</f>
        <v>72.539999999999992</v>
      </c>
      <c r="AK28" s="13">
        <f t="shared" si="35"/>
        <v>20.302914660456786</v>
      </c>
      <c r="AL28" s="20">
        <f t="shared" si="4"/>
        <v>161.70140970029556</v>
      </c>
      <c r="AM28" s="59">
        <f t="shared" si="5"/>
        <v>410.45374055618925</v>
      </c>
      <c r="AN28" s="59">
        <f ca="1">AVERAGE(OFFSET($AM$3,0,0,'Données projet'!$E$10+1,1))-AVERAGE(OFFSET($H$3,0,0,'Données projet'!$E$10+1,1))</f>
        <v>280.35802808205239</v>
      </c>
      <c r="AO28" s="59">
        <f t="shared" si="36"/>
        <v>249.32129349927175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52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0.27500000000000002</v>
      </c>
      <c r="AT28" s="16">
        <f>IF(ISNA(VLOOKUP(A28,'Données projet'!$A$61:$I$81,7,0)),0%,VLOOKUP(A28,'Données projet'!$A$61:$I$81,7,0))</f>
        <v>0.5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8.8429442866897361</v>
      </c>
      <c r="AW28" s="21">
        <f>EXP(-LN(2)/2)*AW27+(1-EXP(-LN(2)/2))/(LN(2)/2)*AQ28*AT28*VLOOKUP('Données projet'!$B$10,Paramètres!$A$1:$I$89,3,0)*0.475*44/12</f>
        <v>13.777002596302035</v>
      </c>
      <c r="AX28" s="21">
        <f t="shared" si="6"/>
        <v>22.619946882991769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59.508211445546756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243</v>
      </c>
      <c r="BB28" s="12">
        <f>VLOOKUP(A28,'Données projet'!$A$87:$I$107,9,0)</f>
        <v>22.8</v>
      </c>
      <c r="BC28" s="12">
        <f t="array" ref="BC28">INDEX(BB:BB,MIN(IF(ISNUMBER(BB28:BB224),ROW(BB28:BB224),"")))</f>
        <v>22.8</v>
      </c>
      <c r="BD28" s="12">
        <f>IF('Données projet'!$A$88&gt;35,BD27+BC28-BL27,IF(A28&lt;'Données projet'!$A$88,$BA$205^A28,IF(A28='Données projet'!$A$88,'Données projet'!$B$88,BD27+BC28-BL27)))</f>
        <v>243.00000000000006</v>
      </c>
      <c r="BE28" s="13">
        <f>BD28*VLOOKUP('Données projet'!$B$11,Paramètres!$A$1:$I$89,3,0)*VLOOKUP('Données projet'!$B$11,Paramètres!$A$1:$I$89,5,0)</f>
        <v>107.40600000000003</v>
      </c>
      <c r="BF28" s="13">
        <f t="shared" si="37"/>
        <v>28.718971683040365</v>
      </c>
      <c r="BG28" s="20">
        <f t="shared" si="7"/>
        <v>237.08432568129535</v>
      </c>
      <c r="BH28" s="59">
        <f t="shared" si="8"/>
        <v>485.83665653718901</v>
      </c>
      <c r="BI28" s="59">
        <f ca="1">AVERAGE(OFFSET($BH$3,0,0,'Données projet'!$E$11+1,1))-AVERAGE(OFFSET($H$3,0,0,'Données projet'!$E$11+1,1))</f>
        <v>409.91320873873292</v>
      </c>
      <c r="BJ28" s="59">
        <f t="shared" si="38"/>
        <v>347.86310581860698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63</v>
      </c>
      <c r="BM28" s="16">
        <f>IF(ISNA(VLOOKUP(A28,'Données projet'!$A$87:$I$107,5,0)),0%,VLOOKUP(A28,'Données projet'!$A$87:$I$107,5,0)*VLOOKUP('Données projet'!$B$11,Paramètres!$A$1:$I$89,7,0))</f>
        <v>0.13750000000000001</v>
      </c>
      <c r="BN28" s="16">
        <f>IF(ISNA(VLOOKUP(A28,'Données projet'!$A$87:$I$107,6,0)),0%,VLOOKUP(A28,'Données projet'!$A$87:$I$107,6,0)*VLOOKUP('Données projet'!$B$11,Paramètres!$A$1:$I$89,7,0))</f>
        <v>0.20350000000000001</v>
      </c>
      <c r="BO28" s="16">
        <f>IF(ISNA(VLOOKUP(A28,'Données projet'!$A$87:$I$107,7,0)),0%,VLOOKUP(A28,'Données projet'!$A$87:$I$107,7,0))</f>
        <v>0.38</v>
      </c>
      <c r="BP28" s="21">
        <f>EXP(-LN(2)/35)*BP27+(1-EXP(-LN(2)/35))/(LN(2)/35)*BL28*BM28*VLOOKUP('Données projet'!$B$11,Paramètres!$A$1:$I$89,3,0)*0.475*44/12</f>
        <v>5.4442892126126026</v>
      </c>
      <c r="BQ28" s="21">
        <f>EXP(-LN(2)/25)*BQ27+(1-EXP(-LN(2)/25))/(LN(2)/25)*Calculateur!BL28*Calculateur!BN28*VLOOKUP('Données projet'!$B$11,Paramètres!$A$1:$I$89,3,0)*0.475*44/12</f>
        <v>8.0049206625517613</v>
      </c>
      <c r="BR28" s="21">
        <f>EXP(-LN(2)/2)*BR27+(1-EXP(-LN(2)/2))/(LN(2)/2)*BL28*BO28*VLOOKUP('Données projet'!$B$11,Paramètres!$A$1:$I$89,3,0)*0.475*44/12</f>
        <v>12.148781299620049</v>
      </c>
      <c r="BS28" s="22">
        <f t="shared" si="9"/>
        <v>25.597991174784411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59.508211445546756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59.508211445546756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59.508211445546756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59.508211445546756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59.508211445546756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59.508211445546756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59.508211445546756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3.25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11.916666666666666</v>
      </c>
      <c r="H29" s="67">
        <f t="shared" si="1"/>
        <v>209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59.690220520841294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21.61428571428571</v>
      </c>
      <c r="N29" s="13">
        <f>IF('Données projet'!$A$36&gt;35,N28+M29-V28,IF(A29&lt;'Données projet'!$A$36,$K$205^A29,IF(A29='Données projet'!$A$36,'Données projet'!$B$36,N28+M29-V28)))</f>
        <v>238.78142857142851</v>
      </c>
      <c r="O29" s="13">
        <f>N29*VLOOKUP('Données projet'!$B$9,Paramètres!$A$1:$I$89,3,0)*VLOOKUP('Données projet'!$B$9,Paramètres!$A$1:$I$89,5,0)</f>
        <v>133.47881857142855</v>
      </c>
      <c r="P29" s="13">
        <f t="shared" si="33"/>
        <v>34.798972504515248</v>
      </c>
      <c r="Q29" s="20">
        <f t="shared" si="2"/>
        <v>293.08381945726882</v>
      </c>
      <c r="R29" s="59">
        <f t="shared" si="0"/>
        <v>543.72573914479801</v>
      </c>
      <c r="S29" s="59">
        <f ca="1">AVERAGE(OFFSET($R$3,0,0,'Données projet'!$E$9+1,1))-AVERAGE(OFFSET($H$3,0,0,'Données projet'!$E$9+1,1))</f>
        <v>399.91876225849921</v>
      </c>
      <c r="T29" s="59">
        <f t="shared" si="34"/>
        <v>368.64132082233505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5.9658330451437456</v>
      </c>
      <c r="AA29" s="21">
        <f>EXP(-LN(2)/25)*AA28+(1-EXP(-LN(2)/25))/(LN(2)/25)*Calculateur!V29*Calculateur!X29*VLOOKUP('Données projet'!$B$9,Paramètres!$A$1:$I$89,3,0)*0.475*44/12</f>
        <v>8.453133709792148</v>
      </c>
      <c r="AB29" s="21">
        <f>EXP(-LN(2)/2)*AB28+(1-EXP(-LN(2)/2))/(LN(2)/2)*V29*Y29*VLOOKUP('Données projet'!$B$9,Paramètres!$A$1:$I$89,3,0)*0.475*44/12</f>
        <v>2.7465560897516772</v>
      </c>
      <c r="AC29" s="22">
        <f t="shared" si="3"/>
        <v>17.165522844687573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59.690220520841294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27.5</v>
      </c>
      <c r="AI29" s="13">
        <f>IF('Données projet'!$A$62&gt;35,AI28+AH29-AQ28,IF(A29&lt;'Données projet'!$A$62,$AF$205^A29,IF(A29='Données projet'!$A$62,'Données projet'!$B$62,AI28+AH29-AQ28)))</f>
        <v>130.5</v>
      </c>
      <c r="AJ29" s="13">
        <f>AI29*VLOOKUP('Données projet'!$B$10,Paramètres!$A$1:$I$89,3,0)*VLOOKUP('Données projet'!$B$10,Paramètres!$A$1:$I$89,5,0)</f>
        <v>61.073999999999998</v>
      </c>
      <c r="AK29" s="13">
        <f t="shared" si="35"/>
        <v>17.439528890067717</v>
      </c>
      <c r="AL29" s="20">
        <f t="shared" si="4"/>
        <v>136.74439615020125</v>
      </c>
      <c r="AM29" s="59">
        <f t="shared" si="5"/>
        <v>387.38631583773048</v>
      </c>
      <c r="AN29" s="59">
        <f ca="1">AVERAGE(OFFSET($AM$3,0,0,'Données projet'!$E$10+1,1))-AVERAGE(OFFSET($H$3,0,0,'Données projet'!$E$10+1,1))</f>
        <v>280.35802808205239</v>
      </c>
      <c r="AO29" s="59">
        <f t="shared" si="36"/>
        <v>249.32129349927175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8.6011335101399755</v>
      </c>
      <c r="AW29" s="21">
        <f>EXP(-LN(2)/2)*AW28+(1-EXP(-LN(2)/2))/(LN(2)/2)*AQ29*AT29*VLOOKUP('Données projet'!$B$10,Paramètres!$A$1:$I$89,3,0)*0.475*44/12</f>
        <v>9.7418119602698408</v>
      </c>
      <c r="AX29" s="21">
        <f t="shared" si="6"/>
        <v>18.342945470409816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59.690220520841294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25.6</v>
      </c>
      <c r="BD29" s="12">
        <f>IF('Données projet'!$A$88&gt;35,BD28+BC29-BL28,IF(A29&lt;'Données projet'!$A$88,$BA$205^A29,IF(A29='Données projet'!$A$88,'Données projet'!$B$88,BD28+BC29-BL28)))</f>
        <v>205.60000000000008</v>
      </c>
      <c r="BE29" s="13">
        <f>BD29*VLOOKUP('Données projet'!$B$11,Paramètres!$A$1:$I$89,3,0)*VLOOKUP('Données projet'!$B$11,Paramètres!$A$1:$I$89,5,0)</f>
        <v>90.875200000000049</v>
      </c>
      <c r="BF29" s="13">
        <f t="shared" si="37"/>
        <v>24.776183127439278</v>
      </c>
      <c r="BG29" s="20">
        <f t="shared" si="7"/>
        <v>201.4261589469568</v>
      </c>
      <c r="BH29" s="59">
        <f t="shared" si="8"/>
        <v>452.06807863448603</v>
      </c>
      <c r="BI29" s="59">
        <f ca="1">AVERAGE(OFFSET($BH$3,0,0,'Données projet'!$E$11+1,1))-AVERAGE(OFFSET($H$3,0,0,'Données projet'!$E$11+1,1))</f>
        <v>409.91320873873292</v>
      </c>
      <c r="BJ29" s="59">
        <f t="shared" si="38"/>
        <v>347.86310581860698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5.3375300218417987</v>
      </c>
      <c r="BQ29" s="21">
        <f>EXP(-LN(2)/25)*BQ28+(1-EXP(-LN(2)/25))/(LN(2)/25)*Calculateur!BL29*Calculateur!BN29*VLOOKUP('Données projet'!$B$11,Paramètres!$A$1:$I$89,3,0)*0.475*44/12</f>
        <v>7.7860256860738009</v>
      </c>
      <c r="BR29" s="21">
        <f>EXP(-LN(2)/2)*BR28+(1-EXP(-LN(2)/2))/(LN(2)/2)*BL29*BO29*VLOOKUP('Données projet'!$B$11,Paramètres!$A$1:$I$89,3,0)*0.475*44/12</f>
        <v>8.5904856401136556</v>
      </c>
      <c r="BS29" s="22">
        <f t="shared" si="9"/>
        <v>21.714041348029255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59.690220520841294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59.690220520841294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59.690220520841294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59.690220520841294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59.690220520841294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59.690220520841294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59.690220520841294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3.25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11.916666666666666</v>
      </c>
      <c r="H30" s="67">
        <f t="shared" si="1"/>
        <v>209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59.869072145590806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21.61428571428571</v>
      </c>
      <c r="N30" s="13">
        <f>IF('Données projet'!$A$36&gt;35,N29+M30-V29,IF(A30&lt;'Données projet'!$A$36,$K$205^A30,IF(A30='Données projet'!$A$36,'Données projet'!$B$36,N29+M30-V29)))</f>
        <v>260.39571428571423</v>
      </c>
      <c r="O30" s="13">
        <f>N30*VLOOKUP('Données projet'!$B$9,Paramètres!$A$1:$I$89,3,0)*VLOOKUP('Données projet'!$B$9,Paramètres!$A$1:$I$89,5,0)</f>
        <v>145.56120428571427</v>
      </c>
      <c r="P30" s="13">
        <f t="shared" si="33"/>
        <v>37.568096638366988</v>
      </c>
      <c r="Q30" s="20">
        <f t="shared" si="2"/>
        <v>318.95019910944154</v>
      </c>
      <c r="R30" s="59">
        <f t="shared" si="0"/>
        <v>571.47013030994117</v>
      </c>
      <c r="S30" s="59">
        <f ca="1">AVERAGE(OFFSET($R$3,0,0,'Données projet'!$E$9+1,1))-AVERAGE(OFFSET($H$3,0,0,'Données projet'!$E$9+1,1))</f>
        <v>399.91876225849921</v>
      </c>
      <c r="T30" s="59">
        <f t="shared" si="34"/>
        <v>368.64132082233505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5.8488466979273328</v>
      </c>
      <c r="AA30" s="21">
        <f>EXP(-LN(2)/25)*AA29+(1-EXP(-LN(2)/25))/(LN(2)/25)*Calculateur!V30*Calculateur!X30*VLOOKUP('Données projet'!$B$9,Paramètres!$A$1:$I$89,3,0)*0.475*44/12</f>
        <v>8.2219823239669001</v>
      </c>
      <c r="AB30" s="21">
        <f>EXP(-LN(2)/2)*AB29+(1-EXP(-LN(2)/2))/(LN(2)/2)*V30*Y30*VLOOKUP('Données projet'!$B$9,Paramètres!$A$1:$I$89,3,0)*0.475*44/12</f>
        <v>1.9421084359726188</v>
      </c>
      <c r="AC30" s="22">
        <f t="shared" si="3"/>
        <v>16.012937457866851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59.869072145590806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27.5</v>
      </c>
      <c r="AI30" s="13">
        <f>IF('Données projet'!$A$62&gt;35,AI29+AH30-AQ29,IF(A30&lt;'Données projet'!$A$62,$AF$205^A30,IF(A30='Données projet'!$A$62,'Données projet'!$B$62,AI29+AH30-AQ29)))</f>
        <v>158</v>
      </c>
      <c r="AJ30" s="13">
        <f>AI30*VLOOKUP('Données projet'!$B$10,Paramètres!$A$1:$I$89,3,0)*VLOOKUP('Données projet'!$B$10,Paramètres!$A$1:$I$89,5,0)</f>
        <v>73.944000000000003</v>
      </c>
      <c r="AK30" s="13">
        <f t="shared" si="35"/>
        <v>20.649745460165708</v>
      </c>
      <c r="AL30" s="20">
        <f t="shared" si="4"/>
        <v>164.75077334312192</v>
      </c>
      <c r="AM30" s="59">
        <f t="shared" si="5"/>
        <v>417.27070454362155</v>
      </c>
      <c r="AN30" s="59">
        <f ca="1">AVERAGE(OFFSET($AM$3,0,0,'Données projet'!$E$10+1,1))-AVERAGE(OFFSET($H$3,0,0,'Données projet'!$E$10+1,1))</f>
        <v>280.35802808205239</v>
      </c>
      <c r="AO30" s="59">
        <f t="shared" si="36"/>
        <v>249.32129349927175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8.3659350619912445</v>
      </c>
      <c r="AW30" s="21">
        <f>EXP(-LN(2)/2)*AW29+(1-EXP(-LN(2)/2))/(LN(2)/2)*AQ30*AT30*VLOOKUP('Données projet'!$B$10,Paramètres!$A$1:$I$89,3,0)*0.475*44/12</f>
        <v>6.8885012981510183</v>
      </c>
      <c r="AX30" s="21">
        <f t="shared" si="6"/>
        <v>15.254436360142263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59.869072145590806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25.6</v>
      </c>
      <c r="BD30" s="12">
        <f>IF('Données projet'!$A$88&gt;35,BD29+BC30-BL29,IF(A30&lt;'Données projet'!$A$88,$BA$205^A30,IF(A30='Données projet'!$A$88,'Données projet'!$B$88,BD29+BC30-BL29)))</f>
        <v>231.20000000000007</v>
      </c>
      <c r="BE30" s="13">
        <f>BD30*VLOOKUP('Données projet'!$B$11,Paramètres!$A$1:$I$89,3,0)*VLOOKUP('Données projet'!$B$11,Paramètres!$A$1:$I$89,5,0)</f>
        <v>102.19040000000004</v>
      </c>
      <c r="BF30" s="13">
        <f t="shared" si="37"/>
        <v>27.483170265104413</v>
      </c>
      <c r="BG30" s="20">
        <f t="shared" si="7"/>
        <v>225.84813487839025</v>
      </c>
      <c r="BH30" s="59">
        <f t="shared" si="8"/>
        <v>478.36806607888991</v>
      </c>
      <c r="BI30" s="59">
        <f ca="1">AVERAGE(OFFSET($BH$3,0,0,'Données projet'!$E$11+1,1))-AVERAGE(OFFSET($H$3,0,0,'Données projet'!$E$11+1,1))</f>
        <v>409.91320873873292</v>
      </c>
      <c r="BJ30" s="59">
        <f t="shared" si="38"/>
        <v>347.86310581860698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5.232864313685333</v>
      </c>
      <c r="BQ30" s="21">
        <f>EXP(-LN(2)/25)*BQ29+(1-EXP(-LN(2)/25))/(LN(2)/25)*Calculateur!BL30*Calculateur!BN30*VLOOKUP('Données projet'!$B$11,Paramètres!$A$1:$I$89,3,0)*0.475*44/12</f>
        <v>7.5731164042388173</v>
      </c>
      <c r="BR30" s="21">
        <f>EXP(-LN(2)/2)*BR29+(1-EXP(-LN(2)/2))/(LN(2)/2)*BL30*BO30*VLOOKUP('Données projet'!$B$11,Paramètres!$A$1:$I$89,3,0)*0.475*44/12</f>
        <v>6.0743906498100255</v>
      </c>
      <c r="BS30" s="22">
        <f t="shared" si="9"/>
        <v>18.880371367734178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59.869072145590806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59.869072145590806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59.869072145590806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59.869072145590806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59.869072145590806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59.869072145590806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59.869072145590806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3.25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11.916666666666666</v>
      </c>
      <c r="H31" s="67">
        <f t="shared" si="1"/>
        <v>209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60.044821094503241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282.01</v>
      </c>
      <c r="L31" s="12">
        <f>VLOOKUP(A31,'Données projet'!$A$35:$I$55,9,0)</f>
        <v>21.61428571428571</v>
      </c>
      <c r="M31" s="12">
        <f t="array" ref="M31">INDEX(L:L,MIN(IF(ISNUMBER(L31:L227),ROW(L31:L227),"")))</f>
        <v>21.61428571428571</v>
      </c>
      <c r="N31" s="13">
        <f>IF('Données projet'!$A$36&gt;35,N30+M31-V30,IF(A31&lt;'Données projet'!$A$36,$K$205^A31,IF(A31='Données projet'!$A$36,'Données projet'!$B$36,N30+M31-V30)))</f>
        <v>282.00999999999993</v>
      </c>
      <c r="O31" s="13">
        <f>N31*VLOOKUP('Données projet'!$B$9,Paramètres!$A$1:$I$89,3,0)*VLOOKUP('Données projet'!$B$9,Paramètres!$A$1:$I$89,5,0)</f>
        <v>157.64358999999996</v>
      </c>
      <c r="P31" s="13">
        <f t="shared" si="33"/>
        <v>40.310562469543989</v>
      </c>
      <c r="Q31" s="20">
        <f t="shared" si="2"/>
        <v>344.77014888445569</v>
      </c>
      <c r="R31" s="59">
        <f t="shared" si="0"/>
        <v>599.15671511985647</v>
      </c>
      <c r="S31" s="59">
        <f ca="1">AVERAGE(OFFSET($R$3,0,0,'Données projet'!$E$9+1,1))-AVERAGE(OFFSET($H$3,0,0,'Données projet'!$E$9+1,1))</f>
        <v>399.91876225849921</v>
      </c>
      <c r="T31" s="59">
        <f t="shared" si="34"/>
        <v>368.64132082233505</v>
      </c>
      <c r="U31" s="15">
        <f>IF(ISNA(VLOOKUP(A31,'Données projet'!$A$35:$I$55,3,0)),0,VLOOKUP(A31,'Données projet'!$A$35:$I$55,3,0))</f>
        <v>2</v>
      </c>
      <c r="V31" s="15">
        <f>IF(ISNA(VLOOKUP(A31,'Données projet'!$A$35:$I$55,4,0)),0,VLOOKUP(A31,'Données projet'!$A$35:$I$55,4,0))</f>
        <v>67.639999999999986</v>
      </c>
      <c r="W31" s="16">
        <f>IF(ISNA(VLOOKUP(A31,'Données projet'!$A$35:$I$55,5,0)),0%,VLOOKUP(A31,'Données projet'!$A$35:$I$55,5,0)*VLOOKUP('Données projet'!$B$9,Paramètres!$A$1:$I$89,7,0))</f>
        <v>0.13750000000000001</v>
      </c>
      <c r="X31" s="16">
        <f>IF(ISNA(VLOOKUP(A31,'Données projet'!$A$35:$I$55,6,0)),0%,VLOOKUP(A31,'Données projet'!$A$35:$I$55,6,0)*VLOOKUP('Données projet'!$B$9,Paramètres!$A$1:$I$89,7,0))</f>
        <v>0.20350000000000001</v>
      </c>
      <c r="Y31" s="16">
        <f>IF(ISNA(VLOOKUP(A31,'Données projet'!$A$35:$I$55,7,0)),0%,VLOOKUP(A31,'Données projet'!$A$35:$I$55,7,0))</f>
        <v>0.38</v>
      </c>
      <c r="Z31" s="21">
        <f>EXP(-LN(2)/35)*Z30+(1-EXP(-LN(2)/35))/(LN(2)/35)*V31*W31*VLOOKUP('Données projet'!$B$9,Paramètres!$A$1:$I$89,3,0)*0.475*44/12</f>
        <v>12.630935790884042</v>
      </c>
      <c r="AA31" s="21">
        <f>EXP(-LN(2)/25)*AA30+(1-EXP(-LN(2)/25))/(LN(2)/25)*Calculateur!V31*Calculateur!X31*VLOOKUP('Données projet'!$B$9,Paramètres!$A$1:$I$89,3,0)*0.475*44/12</f>
        <v>18.164198491339612</v>
      </c>
      <c r="AB31" s="21">
        <f>EXP(-LN(2)/2)*AB30+(1-EXP(-LN(2)/2))/(LN(2)/2)*V31*Y31*VLOOKUP('Données projet'!$B$9,Paramètres!$A$1:$I$89,3,0)*0.475*44/12</f>
        <v>17.641292237964119</v>
      </c>
      <c r="AC31" s="22">
        <f t="shared" si="3"/>
        <v>48.436426520187773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60.044821094503241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27.5</v>
      </c>
      <c r="AI31" s="13">
        <f>IF('Données projet'!$A$62&gt;35,AI30+AH31-AQ30,IF(A31&lt;'Données projet'!$A$62,$AF$205^A31,IF(A31='Données projet'!$A$62,'Données projet'!$B$62,AI30+AH31-AQ30)))</f>
        <v>185.5</v>
      </c>
      <c r="AJ31" s="13">
        <f>AI31*VLOOKUP('Données projet'!$B$10,Paramètres!$A$1:$I$89,3,0)*VLOOKUP('Données projet'!$B$10,Paramètres!$A$1:$I$89,5,0)</f>
        <v>86.814000000000007</v>
      </c>
      <c r="AK31" s="13">
        <f t="shared" si="35"/>
        <v>23.79523416699303</v>
      </c>
      <c r="AL31" s="20">
        <f t="shared" si="4"/>
        <v>192.6444161741795</v>
      </c>
      <c r="AM31" s="59">
        <f t="shared" si="5"/>
        <v>447.03098240958025</v>
      </c>
      <c r="AN31" s="59">
        <f ca="1">AVERAGE(OFFSET($AM$3,0,0,'Données projet'!$E$10+1,1))-AVERAGE(OFFSET($H$3,0,0,'Données projet'!$E$10+1,1))</f>
        <v>280.35802808205239</v>
      </c>
      <c r="AO31" s="59">
        <f t="shared" si="36"/>
        <v>249.32129349927175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8.1371681277756895</v>
      </c>
      <c r="AW31" s="21">
        <f>EXP(-LN(2)/2)*AW30+(1-EXP(-LN(2)/2))/(LN(2)/2)*AQ31*AT31*VLOOKUP('Données projet'!$B$10,Paramètres!$A$1:$I$89,3,0)*0.475*44/12</f>
        <v>4.8709059801349213</v>
      </c>
      <c r="AX31" s="21">
        <f t="shared" si="6"/>
        <v>13.008074107910611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60.044821094503241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25.6</v>
      </c>
      <c r="BD31" s="12">
        <f>IF('Données projet'!$A$88&gt;35,BD30+BC31-BL30,IF(A31&lt;'Données projet'!$A$88,$BA$205^A31,IF(A31='Données projet'!$A$88,'Données projet'!$B$88,BD30+BC31-BL30)))</f>
        <v>256.80000000000007</v>
      </c>
      <c r="BE31" s="13">
        <f>BD31*VLOOKUP('Données projet'!$B$11,Paramètres!$A$1:$I$89,3,0)*VLOOKUP('Données projet'!$B$11,Paramètres!$A$1:$I$89,5,0)</f>
        <v>113.50560000000004</v>
      </c>
      <c r="BF31" s="13">
        <f t="shared" si="37"/>
        <v>30.155417192749493</v>
      </c>
      <c r="BG31" s="20">
        <f t="shared" si="7"/>
        <v>250.20960494403877</v>
      </c>
      <c r="BH31" s="59">
        <f t="shared" si="8"/>
        <v>504.59617117943958</v>
      </c>
      <c r="BI31" s="59">
        <f ca="1">AVERAGE(OFFSET($BH$3,0,0,'Données projet'!$E$11+1,1))-AVERAGE(OFFSET($H$3,0,0,'Données projet'!$E$11+1,1))</f>
        <v>409.91320873873292</v>
      </c>
      <c r="BJ31" s="59">
        <f t="shared" si="38"/>
        <v>347.86310581860698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5.1302510362260376</v>
      </c>
      <c r="BQ31" s="21">
        <f>EXP(-LN(2)/25)*BQ30+(1-EXP(-LN(2)/25))/(LN(2)/25)*Calculateur!BL31*Calculateur!BN31*VLOOKUP('Données projet'!$B$11,Paramètres!$A$1:$I$89,3,0)*0.475*44/12</f>
        <v>7.3660291379120233</v>
      </c>
      <c r="BR31" s="21">
        <f>EXP(-LN(2)/2)*BR30+(1-EXP(-LN(2)/2))/(LN(2)/2)*BL31*BO31*VLOOKUP('Données projet'!$B$11,Paramètres!$A$1:$I$89,3,0)*0.475*44/12</f>
        <v>4.2952428200568287</v>
      </c>
      <c r="BS31" s="22">
        <f t="shared" si="9"/>
        <v>16.791522994194889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60.044821094503241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60.044821094503241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60.044821094503241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60.044821094503241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60.044821094503241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60.044821094503241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60.044821094503241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3.25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11.916666666666666</v>
      </c>
      <c r="H32" s="67">
        <f t="shared" si="1"/>
        <v>209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60.217521192067835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23.265714285714289</v>
      </c>
      <c r="N32" s="13">
        <f>IF('Données projet'!$A$36&gt;35,N31+M32-V31,IF(A32&lt;'Données projet'!$A$36,$K$205^A32,IF(A32='Données projet'!$A$36,'Données projet'!$B$36,N31+M32-V31)))</f>
        <v>237.63571428571424</v>
      </c>
      <c r="O32" s="13">
        <f>N32*VLOOKUP('Données projet'!$B$9,Paramètres!$A$1:$I$89,3,0)*VLOOKUP('Données projet'!$B$9,Paramètres!$A$1:$I$89,5,0)</f>
        <v>132.83836428571425</v>
      </c>
      <c r="P32" s="13">
        <f t="shared" si="33"/>
        <v>34.651395262904387</v>
      </c>
      <c r="Q32" s="20">
        <f t="shared" si="2"/>
        <v>291.71133121384406</v>
      </c>
      <c r="R32" s="59">
        <f t="shared" si="0"/>
        <v>547.9533533625372</v>
      </c>
      <c r="S32" s="59">
        <f ca="1">AVERAGE(OFFSET($R$3,0,0,'Données projet'!$E$9+1,1))-AVERAGE(OFFSET($H$3,0,0,'Données projet'!$E$9+1,1))</f>
        <v>399.91876225849921</v>
      </c>
      <c r="T32" s="59">
        <f t="shared" si="34"/>
        <v>368.64132082233505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12.38325084413492</v>
      </c>
      <c r="AA32" s="21">
        <f>EXP(-LN(2)/25)*AA31+(1-EXP(-LN(2)/25))/(LN(2)/25)*Calculateur!V32*Calculateur!X32*VLOOKUP('Données projet'!$B$9,Paramètres!$A$1:$I$89,3,0)*0.475*44/12</f>
        <v>17.667497528380245</v>
      </c>
      <c r="AB32" s="21">
        <f>EXP(-LN(2)/2)*AB31+(1-EXP(-LN(2)/2))/(LN(2)/2)*V32*Y32*VLOOKUP('Données projet'!$B$9,Paramètres!$A$1:$I$89,3,0)*0.475*44/12</f>
        <v>12.474277370358035</v>
      </c>
      <c r="AC32" s="22">
        <f t="shared" si="3"/>
        <v>42.525025742873197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60.217521192067835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>
        <f>VLOOKUP(A32,'Données projet'!$A$61:$I$81,2,0)</f>
        <v>213</v>
      </c>
      <c r="AG32" s="12">
        <f>VLOOKUP(A32,'Données projet'!$A$61:$I$81,9,0)</f>
        <v>27.5</v>
      </c>
      <c r="AH32" s="12">
        <f t="array" ref="AH32">INDEX(AG:AG,MIN(IF(ISNUMBER(AG32:AG228),ROW(AG32:AG228),"")))</f>
        <v>27.5</v>
      </c>
      <c r="AI32" s="13">
        <f>IF('Données projet'!$A$62&gt;35,AI31+AH32-AQ31,IF(A32&lt;'Données projet'!$A$62,$AF$205^A32,IF(A32='Données projet'!$A$62,'Données projet'!$B$62,AI31+AH32-AQ31)))</f>
        <v>213</v>
      </c>
      <c r="AJ32" s="13">
        <f>AI32*VLOOKUP('Données projet'!$B$10,Paramètres!$A$1:$I$89,3,0)*VLOOKUP('Données projet'!$B$10,Paramètres!$A$1:$I$89,5,0)</f>
        <v>99.683999999999997</v>
      </c>
      <c r="AK32" s="13">
        <f t="shared" si="35"/>
        <v>26.886701044194457</v>
      </c>
      <c r="AL32" s="20">
        <f t="shared" si="4"/>
        <v>220.44397098530533</v>
      </c>
      <c r="AM32" s="59">
        <f t="shared" si="5"/>
        <v>476.68599313399852</v>
      </c>
      <c r="AN32" s="59">
        <f ca="1">AVERAGE(OFFSET($AM$3,0,0,'Données projet'!$E$10+1,1))-AVERAGE(OFFSET($H$3,0,0,'Données projet'!$E$10+1,1))</f>
        <v>280.35802808205239</v>
      </c>
      <c r="AO32" s="59">
        <f t="shared" si="36"/>
        <v>249.32129349927175</v>
      </c>
      <c r="AP32" s="15">
        <f>IF(ISNA(VLOOKUP(A32,'Données projet'!$A$61:$I$81,3,0)),0,VLOOKUP(A32,'Données projet'!$A$61:$I$81,3,0))</f>
        <v>2</v>
      </c>
      <c r="AQ32" s="15">
        <f>IF(ISNA(VLOOKUP(A32,'Données projet'!$A$61:$I$81,4,0)),0,VLOOKUP(A32,'Données projet'!$A$61:$I$81,4,0))</f>
        <v>52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0.27500000000000002</v>
      </c>
      <c r="AT32" s="16">
        <f>IF(ISNA(VLOOKUP(A32,'Données projet'!$A$61:$I$81,7,0)),0%,VLOOKUP(A32,'Données projet'!$A$61:$I$81,7,0))</f>
        <v>0.5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16.757601124096325</v>
      </c>
      <c r="AW32" s="21">
        <f>EXP(-LN(2)/2)*AW31+(1-EXP(-LN(2)/2))/(LN(2)/2)*AQ32*AT32*VLOOKUP('Données projet'!$B$10,Paramètres!$A$1:$I$89,3,0)*0.475*44/12</f>
        <v>17.221253245377543</v>
      </c>
      <c r="AX32" s="21">
        <f t="shared" si="6"/>
        <v>33.978854369473865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60.217521192067835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25.6</v>
      </c>
      <c r="BD32" s="12">
        <f>IF('Données projet'!$A$88&gt;35,BD31+BC32-BL31,IF(A32&lt;'Données projet'!$A$88,$BA$205^A32,IF(A32='Données projet'!$A$88,'Données projet'!$B$88,BD31+BC32-BL31)))</f>
        <v>282.40000000000009</v>
      </c>
      <c r="BE32" s="13">
        <f>BD32*VLOOKUP('Données projet'!$B$11,Paramètres!$A$1:$I$89,3,0)*VLOOKUP('Données projet'!$B$11,Paramètres!$A$1:$I$89,5,0)</f>
        <v>124.82080000000005</v>
      </c>
      <c r="BF32" s="13">
        <f t="shared" si="37"/>
        <v>32.796781332235874</v>
      </c>
      <c r="BG32" s="20">
        <f t="shared" si="7"/>
        <v>274.51728748697752</v>
      </c>
      <c r="BH32" s="59">
        <f t="shared" si="8"/>
        <v>530.75930963567066</v>
      </c>
      <c r="BI32" s="59">
        <f ca="1">AVERAGE(OFFSET($BH$3,0,0,'Données projet'!$E$11+1,1))-AVERAGE(OFFSET($H$3,0,0,'Données projet'!$E$11+1,1))</f>
        <v>409.91320873873292</v>
      </c>
      <c r="BJ32" s="59">
        <f t="shared" si="38"/>
        <v>347.86310581860698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5.0296499425498</v>
      </c>
      <c r="BQ32" s="21">
        <f>EXP(-LN(2)/25)*BQ31+(1-EXP(-LN(2)/25))/(LN(2)/25)*Calculateur!BL32*Calculateur!BN32*VLOOKUP('Données projet'!$B$11,Paramètres!$A$1:$I$89,3,0)*0.475*44/12</f>
        <v>7.1646046837731818</v>
      </c>
      <c r="BR32" s="21">
        <f>EXP(-LN(2)/2)*BR31+(1-EXP(-LN(2)/2))/(LN(2)/2)*BL32*BO32*VLOOKUP('Données projet'!$B$11,Paramètres!$A$1:$I$89,3,0)*0.475*44/12</f>
        <v>3.0371953249050136</v>
      </c>
      <c r="BS32" s="22">
        <f t="shared" si="9"/>
        <v>15.231449951227995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60.217521192067835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60.217521192067835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60.217521192067835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60.217521192067835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60.217521192067835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60.217521192067835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60.217521192067835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3.25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11.916666666666666</v>
      </c>
      <c r="H33" s="67">
        <f t="shared" si="1"/>
        <v>209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60.387225329039261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23.265714285714289</v>
      </c>
      <c r="N33" s="13">
        <f>IF('Données projet'!$A$36&gt;35,N32+M33-V32,IF(A33&lt;'Données projet'!$A$36,$K$205^A33,IF(A33='Données projet'!$A$36,'Données projet'!$B$36,N32+M33-V32)))</f>
        <v>260.90142857142854</v>
      </c>
      <c r="O33" s="13">
        <f>N33*VLOOKUP('Données projet'!$B$9,Paramètres!$A$1:$I$89,3,0)*VLOOKUP('Données projet'!$B$9,Paramètres!$A$1:$I$89,5,0)</f>
        <v>145.84389857142855</v>
      </c>
      <c r="P33" s="13">
        <f t="shared" si="33"/>
        <v>37.632557667341459</v>
      </c>
      <c r="Q33" s="20">
        <f t="shared" si="2"/>
        <v>319.55482794919106</v>
      </c>
      <c r="R33" s="59">
        <f t="shared" si="0"/>
        <v>577.64132082233505</v>
      </c>
      <c r="S33" s="59">
        <f ca="1">AVERAGE(OFFSET($R$3,0,0,'Données projet'!$E$9+1,1))-AVERAGE(OFFSET($H$3,0,0,'Données projet'!$E$9+1,1))</f>
        <v>399.91876225849921</v>
      </c>
      <c r="T33" s="59">
        <f t="shared" si="34"/>
        <v>368.64132082233505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12.14042284811865</v>
      </c>
      <c r="AA33" s="21">
        <f>EXP(-LN(2)/25)*AA32+(1-EXP(-LN(2)/25))/(LN(2)/25)*Calculateur!V33*Calculateur!X33*VLOOKUP('Données projet'!$B$9,Paramètres!$A$1:$I$89,3,0)*0.475*44/12</f>
        <v>17.184378879373373</v>
      </c>
      <c r="AB33" s="21">
        <f>EXP(-LN(2)/2)*AB32+(1-EXP(-LN(2)/2))/(LN(2)/2)*V33*Y33*VLOOKUP('Données projet'!$B$9,Paramètres!$A$1:$I$89,3,0)*0.475*44/12</f>
        <v>8.8206461189820615</v>
      </c>
      <c r="AC33" s="22">
        <f t="shared" si="3"/>
        <v>38.145447846474084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60.387225329039261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32</v>
      </c>
      <c r="AI33" s="13">
        <f>IF('Données projet'!$A$62&gt;35,AI32+AH33-AQ32,IF(A33&lt;'Données projet'!$A$62,$AF$205^A33,IF(A33='Données projet'!$A$62,'Données projet'!$B$62,AI32+AH33-AQ32)))</f>
        <v>193</v>
      </c>
      <c r="AJ33" s="13">
        <f>AI33*VLOOKUP('Données projet'!$B$10,Paramètres!$A$1:$I$89,3,0)*VLOOKUP('Données projet'!$B$10,Paramètres!$A$1:$I$89,5,0)</f>
        <v>90.324000000000012</v>
      </c>
      <c r="AK33" s="13">
        <f t="shared" si="35"/>
        <v>24.643349641795833</v>
      </c>
      <c r="AL33" s="20">
        <f t="shared" si="4"/>
        <v>200.23480062612774</v>
      </c>
      <c r="AM33" s="59">
        <f t="shared" si="5"/>
        <v>458.32129349927175</v>
      </c>
      <c r="AN33" s="59">
        <f ca="1">AVERAGE(OFFSET($AM$3,0,0,'Données projet'!$E$10+1,1))-AVERAGE(OFFSET($H$3,0,0,'Données projet'!$E$10+1,1))</f>
        <v>280.35802808205239</v>
      </c>
      <c r="AO33" s="59">
        <f t="shared" si="36"/>
        <v>249.32129349927175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16.299363640113967</v>
      </c>
      <c r="AW33" s="21">
        <f>EXP(-LN(2)/2)*AW32+(1-EXP(-LN(2)/2))/(LN(2)/2)*AQ33*AT33*VLOOKUP('Données projet'!$B$10,Paramètres!$A$1:$I$89,3,0)*0.475*44/12</f>
        <v>12.177264950337301</v>
      </c>
      <c r="AX33" s="21">
        <f t="shared" si="6"/>
        <v>28.47662859045127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60.387225329039261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308</v>
      </c>
      <c r="BB33" s="12">
        <f>VLOOKUP(A33,'Données projet'!$A$87:$I$107,9,0)</f>
        <v>25.6</v>
      </c>
      <c r="BC33" s="12">
        <f t="array" ref="BC33">INDEX(BB:BB,MIN(IF(ISNUMBER(BB33:BB229),ROW(BB33:BB229),"")))</f>
        <v>25.6</v>
      </c>
      <c r="BD33" s="12">
        <f>IF('Données projet'!$A$88&gt;35,BD32+BC33-BL32,IF(A33&lt;'Données projet'!$A$88,$BA$205^A33,IF(A33='Données projet'!$A$88,'Données projet'!$B$88,BD32+BC33-BL32)))</f>
        <v>308.00000000000011</v>
      </c>
      <c r="BE33" s="13">
        <f>BD33*VLOOKUP('Données projet'!$B$11,Paramètres!$A$1:$I$89,3,0)*VLOOKUP('Données projet'!$B$11,Paramètres!$A$1:$I$89,5,0)</f>
        <v>136.13600000000005</v>
      </c>
      <c r="BF33" s="13">
        <f t="shared" si="37"/>
        <v>35.410380638543309</v>
      </c>
      <c r="BG33" s="20">
        <f t="shared" si="7"/>
        <v>298.776612945463</v>
      </c>
      <c r="BH33" s="59">
        <f t="shared" si="8"/>
        <v>556.86310581860698</v>
      </c>
      <c r="BI33" s="59">
        <f ca="1">AVERAGE(OFFSET($BH$3,0,0,'Données projet'!$E$11+1,1))-AVERAGE(OFFSET($H$3,0,0,'Données projet'!$E$11+1,1))</f>
        <v>409.91320873873292</v>
      </c>
      <c r="BJ33" s="59">
        <f t="shared" si="38"/>
        <v>347.86310581860698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63</v>
      </c>
      <c r="BM33" s="16">
        <f>IF(ISNA(VLOOKUP(A33,'Données projet'!$A$87:$I$107,5,0)),0%,VLOOKUP(A33,'Données projet'!$A$87:$I$107,5,0)*VLOOKUP('Données projet'!$B$11,Paramètres!$A$1:$I$89,7,0))</f>
        <v>0.13750000000000001</v>
      </c>
      <c r="BN33" s="16">
        <f>IF(ISNA(VLOOKUP(A33,'Données projet'!$A$87:$I$107,6,0)),0%,VLOOKUP(A33,'Données projet'!$A$87:$I$107,6,0)*VLOOKUP('Données projet'!$B$11,Paramètres!$A$1:$I$89,7,0))</f>
        <v>0.20350000000000001</v>
      </c>
      <c r="BO33" s="16">
        <f>IF(ISNA(VLOOKUP(A33,'Données projet'!$A$87:$I$107,7,0)),0%,VLOOKUP(A33,'Données projet'!$A$87:$I$107,7,0))</f>
        <v>0.38</v>
      </c>
      <c r="BP33" s="21">
        <f>EXP(-LN(2)/35)*BP32+(1-EXP(-LN(2)/35))/(LN(2)/35)*BL33*BM33*VLOOKUP('Données projet'!$B$11,Paramètres!$A$1:$I$89,3,0)*0.475*44/12</f>
        <v>10.010204726058243</v>
      </c>
      <c r="BQ33" s="21">
        <f>EXP(-LN(2)/25)*BQ32+(1-EXP(-LN(2)/25))/(LN(2)/25)*Calculateur!BL33*Calculateur!BN33*VLOOKUP('Données projet'!$B$11,Paramètres!$A$1:$I$89,3,0)*0.475*44/12</f>
        <v>14.456281210058856</v>
      </c>
      <c r="BR33" s="21">
        <f>EXP(-LN(2)/2)*BR32+(1-EXP(-LN(2)/2))/(LN(2)/2)*BL33*BO33*VLOOKUP('Données projet'!$B$11,Paramètres!$A$1:$I$89,3,0)*0.475*44/12</f>
        <v>14.128314821658766</v>
      </c>
      <c r="BS33" s="22">
        <f t="shared" si="9"/>
        <v>38.594800757775864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60.387225329039261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60.387225329039261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60.387225329039261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60.387225329039261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60.387225329039261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60.387225329039261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60.387225329039261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3.25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11.916666666666666</v>
      </c>
      <c r="H34" s="67">
        <f t="shared" si="1"/>
        <v>209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60.553985478635838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23.265714285714289</v>
      </c>
      <c r="N34" s="13">
        <f>IF('Données projet'!$A$36&gt;35,N33+M34-V33,IF(A34&lt;'Données projet'!$A$36,$K$205^A34,IF(A34='Données projet'!$A$36,'Données projet'!$B$36,N33+M34-V33)))</f>
        <v>284.16714285714284</v>
      </c>
      <c r="O34" s="13">
        <f>N34*VLOOKUP('Données projet'!$B$9,Paramètres!$A$1:$I$89,3,0)*VLOOKUP('Données projet'!$B$9,Paramètres!$A$1:$I$89,5,0)</f>
        <v>158.84943285714286</v>
      </c>
      <c r="P34" s="13">
        <f t="shared" si="33"/>
        <v>40.582892872917235</v>
      </c>
      <c r="Q34" s="20">
        <f t="shared" si="2"/>
        <v>347.34463397985468</v>
      </c>
      <c r="R34" s="59">
        <f t="shared" si="0"/>
        <v>606.04258073485278</v>
      </c>
      <c r="S34" s="59">
        <f ca="1">AVERAGE(OFFSET($R$3,0,0,'Données projet'!$E$9+1,1))-AVERAGE(OFFSET($H$3,0,0,'Données projet'!$E$9+1,1))</f>
        <v>399.91876225849921</v>
      </c>
      <c r="T34" s="59">
        <f t="shared" si="34"/>
        <v>368.64132082233505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11.902356560993805</v>
      </c>
      <c r="AA34" s="21">
        <f>EXP(-LN(2)/25)*AA33+(1-EXP(-LN(2)/25))/(LN(2)/25)*Calculateur!V34*Calculateur!X34*VLOOKUP('Données projet'!$B$9,Paramètres!$A$1:$I$89,3,0)*0.475*44/12</f>
        <v>16.714471135229697</v>
      </c>
      <c r="AB34" s="21">
        <f>EXP(-LN(2)/2)*AB33+(1-EXP(-LN(2)/2))/(LN(2)/2)*V34*Y34*VLOOKUP('Données projet'!$B$9,Paramètres!$A$1:$I$89,3,0)*0.475*44/12</f>
        <v>6.2371386851790183</v>
      </c>
      <c r="AC34" s="22">
        <f t="shared" si="3"/>
        <v>34.853966381402522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60.553985478635838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32</v>
      </c>
      <c r="AI34" s="13">
        <f>IF('Données projet'!$A$62&gt;35,AI33+AH34-AQ33,IF(A34&lt;'Données projet'!$A$62,$AF$205^A34,IF(A34='Données projet'!$A$62,'Données projet'!$B$62,AI33+AH34-AQ33)))</f>
        <v>225</v>
      </c>
      <c r="AJ34" s="13">
        <f>AI34*VLOOKUP('Données projet'!$B$10,Paramètres!$A$1:$I$89,3,0)*VLOOKUP('Données projet'!$B$10,Paramètres!$A$1:$I$89,5,0)</f>
        <v>105.3</v>
      </c>
      <c r="AK34" s="13">
        <f t="shared" si="35"/>
        <v>28.220829418515034</v>
      </c>
      <c r="AL34" s="20">
        <f t="shared" si="4"/>
        <v>232.54877790391367</v>
      </c>
      <c r="AM34" s="59">
        <f t="shared" si="5"/>
        <v>491.24672465891177</v>
      </c>
      <c r="AN34" s="59">
        <f ca="1">AVERAGE(OFFSET($AM$3,0,0,'Données projet'!$E$10+1,1))-AVERAGE(OFFSET($H$3,0,0,'Données projet'!$E$10+1,1))</f>
        <v>280.35802808205239</v>
      </c>
      <c r="AO34" s="59">
        <f t="shared" si="36"/>
        <v>249.32129349927175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15.853656684228769</v>
      </c>
      <c r="AW34" s="21">
        <f>EXP(-LN(2)/2)*AW33+(1-EXP(-LN(2)/2))/(LN(2)/2)*AQ34*AT34*VLOOKUP('Données projet'!$B$10,Paramètres!$A$1:$I$89,3,0)*0.475*44/12</f>
        <v>8.6106266226887733</v>
      </c>
      <c r="AX34" s="21">
        <f t="shared" si="6"/>
        <v>24.464283306917544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60.553985478635838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26.2</v>
      </c>
      <c r="BD34" s="12">
        <f>IF('Données projet'!$A$88&gt;35,BD33+BC34-BL33,IF(A34&lt;'Données projet'!$A$88,$BA$205^A34,IF(A34='Données projet'!$A$88,'Données projet'!$B$88,BD33+BC34-BL33)))</f>
        <v>271.2000000000001</v>
      </c>
      <c r="BE34" s="13">
        <f>BD34*VLOOKUP('Données projet'!$B$11,Paramètres!$A$1:$I$89,3,0)*VLOOKUP('Données projet'!$B$11,Paramètres!$A$1:$I$89,5,0)</f>
        <v>119.87040000000006</v>
      </c>
      <c r="BF34" s="13">
        <f t="shared" si="37"/>
        <v>31.644770321679825</v>
      </c>
      <c r="BG34" s="20">
        <f t="shared" si="7"/>
        <v>263.88892164359248</v>
      </c>
      <c r="BH34" s="59">
        <f t="shared" si="8"/>
        <v>522.58686839859058</v>
      </c>
      <c r="BI34" s="59">
        <f ca="1">AVERAGE(OFFSET($BH$3,0,0,'Données projet'!$E$11+1,1))-AVERAGE(OFFSET($H$3,0,0,'Données projet'!$E$11+1,1))</f>
        <v>409.91320873873292</v>
      </c>
      <c r="BJ34" s="59">
        <f t="shared" si="38"/>
        <v>347.86310581860698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9.8139107170022442</v>
      </c>
      <c r="BQ34" s="21">
        <f>EXP(-LN(2)/25)*BQ33+(1-EXP(-LN(2)/25))/(LN(2)/25)*Calculateur!BL34*Calculateur!BN34*VLOOKUP('Données projet'!$B$11,Paramètres!$A$1:$I$89,3,0)*0.475*44/12</f>
        <v>14.060973440147007</v>
      </c>
      <c r="BR34" s="21">
        <f>EXP(-LN(2)/2)*BR33+(1-EXP(-LN(2)/2))/(LN(2)/2)*BL34*BO34*VLOOKUP('Données projet'!$B$11,Paramètres!$A$1:$I$89,3,0)*0.475*44/12</f>
        <v>9.990227217133322</v>
      </c>
      <c r="BS34" s="22">
        <f t="shared" si="9"/>
        <v>33.865111374282577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60.553985478635838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60.553985478635838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60.553985478635838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60.553985478635838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60.553985478635838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60.553985478635838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60.553985478635838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3.25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11.916666666666666</v>
      </c>
      <c r="H35" s="67">
        <f t="shared" si="1"/>
        <v>209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60.717852712456761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23.265714285714289</v>
      </c>
      <c r="N35" s="13">
        <f>IF('Données projet'!$A$36&gt;35,N34+M35-V34,IF(A35&lt;'Données projet'!$A$36,$K$205^A35,IF(A35='Données projet'!$A$36,'Données projet'!$B$36,N34+M35-V34)))</f>
        <v>307.43285714285713</v>
      </c>
      <c r="O35" s="13">
        <f>N35*VLOOKUP('Données projet'!$B$9,Paramètres!$A$1:$I$89,3,0)*VLOOKUP('Données projet'!$B$9,Paramètres!$A$1:$I$89,5,0)</f>
        <v>171.85496714285716</v>
      </c>
      <c r="P35" s="13">
        <f t="shared" si="33"/>
        <v>43.505211750246715</v>
      </c>
      <c r="Q35" s="20">
        <f t="shared" ref="Q35:Q66" si="53">(O35+P35)*0.475*44/12</f>
        <v>375.08564490548923</v>
      </c>
      <c r="R35" s="59">
        <f t="shared" si="0"/>
        <v>634.38443818449741</v>
      </c>
      <c r="S35" s="59">
        <f ca="1">AVERAGE(OFFSET($R$3,0,0,'Données projet'!$E$9+1,1))-AVERAGE(OFFSET($H$3,0,0,'Données projet'!$E$9+1,1))</f>
        <v>399.91876225849921</v>
      </c>
      <c r="T35" s="59">
        <f t="shared" si="34"/>
        <v>368.64132082233505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11.668958608553382</v>
      </c>
      <c r="AA35" s="21">
        <f>EXP(-LN(2)/25)*AA34+(1-EXP(-LN(2)/25))/(LN(2)/25)*Calculateur!V35*Calculateur!X35*VLOOKUP('Données projet'!$B$9,Paramètres!$A$1:$I$89,3,0)*0.475*44/12</f>
        <v>16.257413043061007</v>
      </c>
      <c r="AB35" s="21">
        <f>EXP(-LN(2)/2)*AB34+(1-EXP(-LN(2)/2))/(LN(2)/2)*V35*Y35*VLOOKUP('Données projet'!$B$9,Paramètres!$A$1:$I$89,3,0)*0.475*44/12</f>
        <v>4.4103230594910308</v>
      </c>
      <c r="AC35" s="22">
        <f t="shared" si="3"/>
        <v>32.336694711105423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60.717852712456761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32</v>
      </c>
      <c r="AI35" s="13">
        <f>IF('Données projet'!$A$62&gt;35,AI34+AH35-AQ34,IF(A35&lt;'Données projet'!$A$62,$AF$205^A35,IF(A35='Données projet'!$A$62,'Données projet'!$B$62,AI34+AH35-AQ34)))</f>
        <v>257</v>
      </c>
      <c r="AJ35" s="13">
        <f>AI35*VLOOKUP('Données projet'!$B$10,Paramètres!$A$1:$I$89,3,0)*VLOOKUP('Données projet'!$B$10,Paramètres!$A$1:$I$89,5,0)</f>
        <v>120.276</v>
      </c>
      <c r="AK35" s="13">
        <f t="shared" si="35"/>
        <v>31.739363152156315</v>
      </c>
      <c r="AL35" s="20">
        <f t="shared" si="4"/>
        <v>264.76009082333889</v>
      </c>
      <c r="AM35" s="59">
        <f t="shared" si="5"/>
        <v>524.05888410234706</v>
      </c>
      <c r="AN35" s="59">
        <f ca="1">AVERAGE(OFFSET($AM$3,0,0,'Données projet'!$E$10+1,1))-AVERAGE(OFFSET($H$3,0,0,'Données projet'!$E$10+1,1))</f>
        <v>280.35802808205239</v>
      </c>
      <c r="AO35" s="59">
        <f t="shared" si="36"/>
        <v>249.32129349927175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15.420137608490961</v>
      </c>
      <c r="AW35" s="21">
        <f>EXP(-LN(2)/2)*AW34+(1-EXP(-LN(2)/2))/(LN(2)/2)*AQ35*AT35*VLOOKUP('Données projet'!$B$10,Paramètres!$A$1:$I$89,3,0)*0.475*44/12</f>
        <v>6.0886324751686516</v>
      </c>
      <c r="AX35" s="21">
        <f t="shared" si="6"/>
        <v>21.508770083659613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60.717852712456761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26.2</v>
      </c>
      <c r="BD35" s="12">
        <f>IF('Données projet'!$A$88&gt;35,BD34+BC35-BL34,IF(A35&lt;'Données projet'!$A$88,$BA$205^A35,IF(A35='Données projet'!$A$88,'Données projet'!$B$88,BD34+BC35-BL34)))</f>
        <v>297.40000000000009</v>
      </c>
      <c r="BE35" s="13">
        <f>BD35*VLOOKUP('Données projet'!$B$11,Paramètres!$A$1:$I$89,3,0)*VLOOKUP('Données projet'!$B$11,Paramètres!$A$1:$I$89,5,0)</f>
        <v>131.45080000000007</v>
      </c>
      <c r="BF35" s="13">
        <f t="shared" si="37"/>
        <v>34.331379774150925</v>
      </c>
      <c r="BG35" s="20">
        <f t="shared" si="7"/>
        <v>288.73729643997962</v>
      </c>
      <c r="BH35" s="59">
        <f t="shared" si="8"/>
        <v>548.0360897189878</v>
      </c>
      <c r="BI35" s="59">
        <f ca="1">AVERAGE(OFFSET($BH$3,0,0,'Données projet'!$E$11+1,1))-AVERAGE(OFFSET($H$3,0,0,'Données projet'!$E$11+1,1))</f>
        <v>409.91320873873292</v>
      </c>
      <c r="BJ35" s="59">
        <f t="shared" si="38"/>
        <v>347.86310581860698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9.6214659137363103</v>
      </c>
      <c r="BQ35" s="21">
        <f>EXP(-LN(2)/25)*BQ34+(1-EXP(-LN(2)/25))/(LN(2)/25)*Calculateur!BL35*Calculateur!BN35*VLOOKUP('Données projet'!$B$11,Paramètres!$A$1:$I$89,3,0)*0.475*44/12</f>
        <v>13.676475381991731</v>
      </c>
      <c r="BR35" s="21">
        <f>EXP(-LN(2)/2)*BR34+(1-EXP(-LN(2)/2))/(LN(2)/2)*BL35*BO35*VLOOKUP('Données projet'!$B$11,Paramètres!$A$1:$I$89,3,0)*0.475*44/12</f>
        <v>7.0641574108293836</v>
      </c>
      <c r="BS35" s="22">
        <f t="shared" si="9"/>
        <v>30.362098706557425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60.717852712456761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60.717852712456761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60.717852712456761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60.717852712456761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60.717852712456761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60.717852712456761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60.717852712456761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3.25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11.916666666666666</v>
      </c>
      <c r="H36" s="67">
        <f t="shared" si="1"/>
        <v>209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60.878877216123136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23.265714285714289</v>
      </c>
      <c r="N36" s="13">
        <f>IF('Données projet'!$A$36&gt;35,N35+M36-V35,IF(A36&lt;'Données projet'!$A$36,$K$205^A36,IF(A36='Données projet'!$A$36,'Données projet'!$B$36,N35+M36-V35)))</f>
        <v>330.69857142857143</v>
      </c>
      <c r="O36" s="13">
        <f>N36*VLOOKUP('Données projet'!$B$9,Paramètres!$A$1:$I$89,3,0)*VLOOKUP('Données projet'!$B$9,Paramètres!$A$1:$I$89,5,0)</f>
        <v>184.86050142857144</v>
      </c>
      <c r="P36" s="13">
        <f t="shared" si="33"/>
        <v>46.401875578821517</v>
      </c>
      <c r="Q36" s="20">
        <f t="shared" si="53"/>
        <v>402.7819732878761</v>
      </c>
      <c r="R36" s="59">
        <f t="shared" si="0"/>
        <v>662.67118974699429</v>
      </c>
      <c r="S36" s="59">
        <f ca="1">AVERAGE(OFFSET($R$3,0,0,'Données projet'!$E$9+1,1))-AVERAGE(OFFSET($H$3,0,0,'Données projet'!$E$9+1,1))</f>
        <v>399.91876225849921</v>
      </c>
      <c r="T36" s="59">
        <f t="shared" si="34"/>
        <v>368.64132082233505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11.44013744760162</v>
      </c>
      <c r="AA36" s="21">
        <f>EXP(-LN(2)/25)*AA35+(1-EXP(-LN(2)/25))/(LN(2)/25)*Calculateur!V36*Calculateur!X36*VLOOKUP('Données projet'!$B$9,Paramètres!$A$1:$I$89,3,0)*0.475*44/12</f>
        <v>15.812853228458309</v>
      </c>
      <c r="AB36" s="21">
        <f>EXP(-LN(2)/2)*AB35+(1-EXP(-LN(2)/2))/(LN(2)/2)*V36*Y36*VLOOKUP('Données projet'!$B$9,Paramètres!$A$1:$I$89,3,0)*0.475*44/12</f>
        <v>3.1185693425895091</v>
      </c>
      <c r="AC36" s="22">
        <f t="shared" si="3"/>
        <v>30.37156001864944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60.878877216123136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32</v>
      </c>
      <c r="AI36" s="13">
        <f>IF('Données projet'!$A$62&gt;35,AI35+AH36-AQ35,IF(A36&lt;'Données projet'!$A$62,$AF$205^A36,IF(A36='Données projet'!$A$62,'Données projet'!$B$62,AI35+AH36-AQ35)))</f>
        <v>289</v>
      </c>
      <c r="AJ36" s="13">
        <f>AI36*VLOOKUP('Données projet'!$B$10,Paramètres!$A$1:$I$89,3,0)*VLOOKUP('Données projet'!$B$10,Paramètres!$A$1:$I$89,5,0)</f>
        <v>135.25199999999998</v>
      </c>
      <c r="AK36" s="13">
        <f t="shared" si="35"/>
        <v>35.207130861518152</v>
      </c>
      <c r="AL36" s="20">
        <f t="shared" si="4"/>
        <v>296.88298625047742</v>
      </c>
      <c r="AM36" s="59">
        <f t="shared" si="5"/>
        <v>556.7722027095956</v>
      </c>
      <c r="AN36" s="59">
        <f ca="1">AVERAGE(OFFSET($AM$3,0,0,'Données projet'!$E$10+1,1))-AVERAGE(OFFSET($H$3,0,0,'Données projet'!$E$10+1,1))</f>
        <v>280.35802808205239</v>
      </c>
      <c r="AO36" s="59">
        <f t="shared" si="36"/>
        <v>249.32129349927175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14.998473134676983</v>
      </c>
      <c r="AW36" s="21">
        <f>EXP(-LN(2)/2)*AW35+(1-EXP(-LN(2)/2))/(LN(2)/2)*AQ36*AT36*VLOOKUP('Données projet'!$B$10,Paramètres!$A$1:$I$89,3,0)*0.475*44/12</f>
        <v>4.3053133113443876</v>
      </c>
      <c r="AX36" s="21">
        <f t="shared" si="6"/>
        <v>19.30378644602137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60.878877216123136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26.2</v>
      </c>
      <c r="BD36" s="12">
        <f>IF('Données projet'!$A$88&gt;35,BD35+BC36-BL35,IF(A36&lt;'Données projet'!$A$88,$BA$205^A36,IF(A36='Données projet'!$A$88,'Données projet'!$B$88,BD35+BC36-BL35)))</f>
        <v>323.60000000000008</v>
      </c>
      <c r="BE36" s="13">
        <f>BD36*VLOOKUP('Données projet'!$B$11,Paramètres!$A$1:$I$89,3,0)*VLOOKUP('Données projet'!$B$11,Paramètres!$A$1:$I$89,5,0)</f>
        <v>143.03120000000004</v>
      </c>
      <c r="BF36" s="13">
        <f t="shared" si="37"/>
        <v>36.990542790794571</v>
      </c>
      <c r="BG36" s="20">
        <f t="shared" si="7"/>
        <v>313.53786869396725</v>
      </c>
      <c r="BH36" s="59">
        <f t="shared" si="8"/>
        <v>573.42708515308539</v>
      </c>
      <c r="BI36" s="59">
        <f ca="1">AVERAGE(OFFSET($BH$3,0,0,'Données projet'!$E$11+1,1))-AVERAGE(OFFSET($H$3,0,0,'Données projet'!$E$11+1,1))</f>
        <v>409.91320873873292</v>
      </c>
      <c r="BJ36" s="59">
        <f t="shared" si="38"/>
        <v>347.86310581860698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9.4327948356826816</v>
      </c>
      <c r="BQ36" s="21">
        <f>EXP(-LN(2)/25)*BQ35+(1-EXP(-LN(2)/25))/(LN(2)/25)*Calculateur!BL36*Calculateur!BN36*VLOOKUP('Données projet'!$B$11,Paramètres!$A$1:$I$89,3,0)*0.475*44/12</f>
        <v>13.302491443456585</v>
      </c>
      <c r="BR36" s="21">
        <f>EXP(-LN(2)/2)*BR35+(1-EXP(-LN(2)/2))/(LN(2)/2)*BL36*BO36*VLOOKUP('Données projet'!$B$11,Paramètres!$A$1:$I$89,3,0)*0.475*44/12</f>
        <v>4.9951136085666619</v>
      </c>
      <c r="BS36" s="22">
        <f t="shared" si="9"/>
        <v>27.730399887705929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60.878877216123136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60.878877216123136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60.878877216123136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60.878877216123136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60.878877216123136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60.878877216123136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60.878877216123136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3.25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11.916666666666666</v>
      </c>
      <c r="H37" s="67">
        <f t="shared" si="1"/>
        <v>209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61.037108304647766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23.265714285714289</v>
      </c>
      <c r="N37" s="13">
        <f>IF('Données projet'!$A$36&gt;35,N36+M37-V36,IF(A37&lt;'Données projet'!$A$36,$K$205^A37,IF(A37='Données projet'!$A$36,'Données projet'!$B$36,N36+M37-V36)))</f>
        <v>353.96428571428572</v>
      </c>
      <c r="O37" s="13">
        <f>N37*VLOOKUP('Données projet'!$B$9,Paramètres!$A$1:$I$89,3,0)*VLOOKUP('Données projet'!$B$9,Paramètres!$A$1:$I$89,5,0)</f>
        <v>197.86603571428572</v>
      </c>
      <c r="P37" s="13">
        <f t="shared" si="33"/>
        <v>49.274894571766396</v>
      </c>
      <c r="Q37" s="20">
        <f t="shared" si="53"/>
        <v>430.43712024820735</v>
      </c>
      <c r="R37" s="59">
        <f t="shared" si="0"/>
        <v>690.90651736524921</v>
      </c>
      <c r="S37" s="59">
        <f ca="1">AVERAGE(OFFSET($R$3,0,0,'Données projet'!$E$9+1,1))-AVERAGE(OFFSET($H$3,0,0,'Données projet'!$E$9+1,1))</f>
        <v>399.91876225849921</v>
      </c>
      <c r="T37" s="59">
        <f t="shared" si="34"/>
        <v>368.64132082233505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11.215803330048995</v>
      </c>
      <c r="AA37" s="21">
        <f>EXP(-LN(2)/25)*AA36+(1-EXP(-LN(2)/25))/(LN(2)/25)*Calculateur!V37*Calculateur!X37*VLOOKUP('Données projet'!$B$9,Paramètres!$A$1:$I$89,3,0)*0.475*44/12</f>
        <v>15.380449925364307</v>
      </c>
      <c r="AB37" s="21">
        <f>EXP(-LN(2)/2)*AB36+(1-EXP(-LN(2)/2))/(LN(2)/2)*V37*Y37*VLOOKUP('Données projet'!$B$9,Paramètres!$A$1:$I$89,3,0)*0.475*44/12</f>
        <v>2.2051615297455154</v>
      </c>
      <c r="AC37" s="22">
        <f t="shared" si="3"/>
        <v>28.801414785158819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61.037108304647766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321</v>
      </c>
      <c r="AG37" s="12">
        <f>VLOOKUP(A37,'Données projet'!$A$61:$I$81,9,0)</f>
        <v>32</v>
      </c>
      <c r="AH37" s="12">
        <f t="array" ref="AH37">INDEX(AG:AG,MIN(IF(ISNUMBER(AG37:AG233),ROW(AG37:AG233),"")))</f>
        <v>32</v>
      </c>
      <c r="AI37" s="13">
        <f>IF('Données projet'!$A$62&gt;35,AI36+AH37-AQ36,IF(A37&lt;'Données projet'!$A$62,$AF$205^A37,IF(A37='Données projet'!$A$62,'Données projet'!$B$62,AI36+AH37-AQ36)))</f>
        <v>321</v>
      </c>
      <c r="AJ37" s="13">
        <f>AI37*VLOOKUP('Données projet'!$B$10,Paramètres!$A$1:$I$89,3,0)*VLOOKUP('Données projet'!$B$10,Paramètres!$A$1:$I$89,5,0)</f>
        <v>150.22800000000001</v>
      </c>
      <c r="AK37" s="13">
        <f t="shared" si="35"/>
        <v>38.630394857933659</v>
      </c>
      <c r="AL37" s="20">
        <f t="shared" si="4"/>
        <v>328.92837104423444</v>
      </c>
      <c r="AM37" s="59">
        <f t="shared" si="5"/>
        <v>589.3977681612763</v>
      </c>
      <c r="AN37" s="59">
        <f ca="1">AVERAGE(OFFSET($AM$3,0,0,'Données projet'!$E$10+1,1))-AVERAGE(OFFSET($H$3,0,0,'Données projet'!$E$10+1,1))</f>
        <v>280.35802808205239</v>
      </c>
      <c r="AO37" s="59">
        <f t="shared" si="36"/>
        <v>249.32129349927175</v>
      </c>
      <c r="AP37" s="15">
        <f>IF(ISNA(VLOOKUP(A37,'Données projet'!$A$61:$I$81,3,0)),0,VLOOKUP(A37,'Données projet'!$A$61:$I$81,3,0))</f>
        <v>3</v>
      </c>
      <c r="AQ37" s="15">
        <f>IF(ISNA(VLOOKUP(A37,'Données projet'!$A$61:$I$81,4,0)),0,VLOOKUP(A37,'Données projet'!$A$61:$I$81,4,0))</f>
        <v>65</v>
      </c>
      <c r="AR37" s="16">
        <f>IF(ISNA(VLOOKUP(A37,'Données projet'!$A$61:$I$81,5,0)),0%,VLOOKUP(A37,'Données projet'!$A$61:$I$81,5,0)*VLOOKUP('Données projet'!$B$10,Paramètres!$A$1:$I$89,7,0))</f>
        <v>0.1925</v>
      </c>
      <c r="AS37" s="16">
        <f>IF(ISNA(VLOOKUP(A37,'Données projet'!$A$61:$I$81,6,0)),0%,VLOOKUP(A37,'Données projet'!$A$61:$I$81,6,0)*VLOOKUP('Données projet'!$B$10,Paramètres!$A$1:$I$89,7,0))</f>
        <v>8.2500000000000004E-2</v>
      </c>
      <c r="AT37" s="16">
        <f>IF(ISNA(VLOOKUP(A37,'Données projet'!$A$61:$I$81,7,0)),0%,VLOOKUP(A37,'Données projet'!$A$61:$I$81,7,0))</f>
        <v>0.15</v>
      </c>
      <c r="AU37" s="21">
        <f>EXP(-LN(2)/35)*AU36+(1-EXP(-LN(2)/35))/(LN(2)/35)*AQ37*AR37*VLOOKUP('Données projet'!$B$10,Paramètres!$A$1:$I$89,3,0)*0.475*44/12</f>
        <v>7.7681624663856317</v>
      </c>
      <c r="AV37" s="21">
        <f>EXP(-LN(2)/25)*AV36+(1-EXP(-LN(2)/25))/(LN(2)/25)*Calculateur!AQ37*Calculateur!AS37*VLOOKUP('Données projet'!$B$10,Paramètres!$A$1:$I$89,3,0)*0.475*44/12</f>
        <v>17.904443205582471</v>
      </c>
      <c r="AW37" s="21">
        <f>EXP(-LN(2)/2)*AW36+(1-EXP(-LN(2)/2))/(LN(2)/2)*AQ37*AT37*VLOOKUP('Données projet'!$B$10,Paramètres!$A$1:$I$89,3,0)*0.475*44/12</f>
        <v>8.2106922111975891</v>
      </c>
      <c r="AX37" s="21">
        <f t="shared" si="6"/>
        <v>33.883297883165696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61.037108304647766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26.2</v>
      </c>
      <c r="BD37" s="12">
        <f>IF('Données projet'!$A$88&gt;35,BD36+BC37-BL36,IF(A37&lt;'Données projet'!$A$88,$BA$205^A37,IF(A37='Données projet'!$A$88,'Données projet'!$B$88,BD36+BC37-BL36)))</f>
        <v>349.80000000000007</v>
      </c>
      <c r="BE37" s="13">
        <f>BD37*VLOOKUP('Données projet'!$B$11,Paramètres!$A$1:$I$89,3,0)*VLOOKUP('Données projet'!$B$11,Paramètres!$A$1:$I$89,5,0)</f>
        <v>154.61160000000004</v>
      </c>
      <c r="BF37" s="13">
        <f t="shared" si="37"/>
        <v>39.624734188365849</v>
      </c>
      <c r="BG37" s="20">
        <f t="shared" si="7"/>
        <v>338.29494871140395</v>
      </c>
      <c r="BH37" s="59">
        <f t="shared" si="8"/>
        <v>598.76434582844581</v>
      </c>
      <c r="BI37" s="59">
        <f ca="1">AVERAGE(OFFSET($BH$3,0,0,'Données projet'!$E$11+1,1))-AVERAGE(OFFSET($H$3,0,0,'Données projet'!$E$11+1,1))</f>
        <v>409.91320873873292</v>
      </c>
      <c r="BJ37" s="59">
        <f t="shared" si="38"/>
        <v>347.86310581860698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9.2478234823916896</v>
      </c>
      <c r="BQ37" s="21">
        <f>EXP(-LN(2)/25)*BQ36+(1-EXP(-LN(2)/25))/(LN(2)/25)*Calculateur!BL37*Calculateur!BN37*VLOOKUP('Données projet'!$B$11,Paramètres!$A$1:$I$89,3,0)*0.475*44/12</f>
        <v>12.938734115387643</v>
      </c>
      <c r="BR37" s="21">
        <f>EXP(-LN(2)/2)*BR36+(1-EXP(-LN(2)/2))/(LN(2)/2)*BL37*BO37*VLOOKUP('Données projet'!$B$11,Paramètres!$A$1:$I$89,3,0)*0.475*44/12</f>
        <v>3.5320787054146927</v>
      </c>
      <c r="BS37" s="22">
        <f t="shared" si="9"/>
        <v>25.718636303194028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61.037108304647766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61.037108304647766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61.037108304647766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61.037108304647766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61.037108304647766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61.037108304647766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61.037108304647766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3.25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11.916666666666666</v>
      </c>
      <c r="H38" s="67">
        <f t="shared" si="1"/>
        <v>209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61.192594437538204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377.23</v>
      </c>
      <c r="L38" s="12">
        <f>VLOOKUP(A38,'Données projet'!$A$35:$I$55,9,0)</f>
        <v>23.265714285714289</v>
      </c>
      <c r="M38" s="12">
        <f t="array" ref="M38">INDEX(L:L,MIN(IF(ISNUMBER(L38:L234),ROW(L38:L234),"")))</f>
        <v>23.265714285714289</v>
      </c>
      <c r="N38" s="13">
        <f>IF('Données projet'!$A$36&gt;35,N37+M38-V37,IF(A38&lt;'Données projet'!$A$36,$K$205^A38,IF(A38='Données projet'!$A$36,'Données projet'!$B$36,N37+M38-V37)))</f>
        <v>377.23</v>
      </c>
      <c r="O38" s="13">
        <f>N38*VLOOKUP('Données projet'!$B$9,Paramètres!$A$1:$I$89,3,0)*VLOOKUP('Données projet'!$B$9,Paramètres!$A$1:$I$89,5,0)</f>
        <v>210.87157000000002</v>
      </c>
      <c r="P38" s="13">
        <f t="shared" si="33"/>
        <v>52.125999737089174</v>
      </c>
      <c r="Q38" s="20">
        <f t="shared" si="53"/>
        <v>458.05410062543029</v>
      </c>
      <c r="R38" s="59">
        <f t="shared" si="0"/>
        <v>719.09361356307045</v>
      </c>
      <c r="S38" s="59">
        <f ca="1">AVERAGE(OFFSET($R$3,0,0,'Données projet'!$E$9+1,1))-AVERAGE(OFFSET($H$3,0,0,'Données projet'!$E$9+1,1))</f>
        <v>399.91876225849921</v>
      </c>
      <c r="T38" s="59">
        <f t="shared" si="34"/>
        <v>368.64132082233505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86.700000000000045</v>
      </c>
      <c r="W38" s="16">
        <f>IF(ISNA(VLOOKUP(A38,'Données projet'!$A$35:$I$55,5,0)),0%,VLOOKUP(A38,'Données projet'!$A$35:$I$55,5,0)*VLOOKUP('Données projet'!$B$9,Paramètres!$A$1:$I$89,7,0))</f>
        <v>0.33</v>
      </c>
      <c r="X38" s="16">
        <f>IF(ISNA(VLOOKUP(A38,'Données projet'!$A$35:$I$55,6,0)),0%,VLOOKUP(A38,'Données projet'!$A$35:$I$55,6,0)*VLOOKUP('Données projet'!$B$9,Paramètres!$A$1:$I$89,7,0))</f>
        <v>0.11000000000000001</v>
      </c>
      <c r="Y38" s="16">
        <f>IF(ISNA(VLOOKUP(A38,'Données projet'!$A$35:$I$55,7,0)),0%,VLOOKUP(A38,'Données projet'!$A$35:$I$55,7,0))</f>
        <v>0.2</v>
      </c>
      <c r="Z38" s="21">
        <f>EXP(-LN(2)/35)*Z37+(1-EXP(-LN(2)/35))/(LN(2)/35)*V38*W38*VLOOKUP('Données projet'!$B$9,Paramètres!$A$1:$I$89,3,0)*0.475*44/12</f>
        <v>32.212341887441895</v>
      </c>
      <c r="AA38" s="21">
        <f>EXP(-LN(2)/25)*AA37+(1-EXP(-LN(2)/25))/(LN(2)/25)*Calculateur!V38*Calculateur!X38*VLOOKUP('Données projet'!$B$9,Paramètres!$A$1:$I$89,3,0)*0.475*44/12</f>
        <v>22.004182806325677</v>
      </c>
      <c r="AB38" s="21">
        <f>EXP(-LN(2)/2)*AB37+(1-EXP(-LN(2)/2))/(LN(2)/2)*V38*Y38*VLOOKUP('Données projet'!$B$9,Paramètres!$A$1:$I$89,3,0)*0.475*44/12</f>
        <v>12.534080265156646</v>
      </c>
      <c r="AC38" s="22">
        <f t="shared" si="3"/>
        <v>66.750604958924214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61.192594437538204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32.4</v>
      </c>
      <c r="AI38" s="13">
        <f>IF('Données projet'!$A$62&gt;35,AI37+AH38-AQ37,IF(A38&lt;'Données projet'!$A$62,$AF$205^A38,IF(A38='Données projet'!$A$62,'Données projet'!$B$62,AI37+AH38-AQ37)))</f>
        <v>288.39999999999998</v>
      </c>
      <c r="AJ38" s="13">
        <f>AI38*VLOOKUP('Données projet'!$B$10,Paramètres!$A$1:$I$89,3,0)*VLOOKUP('Données projet'!$B$10,Paramètres!$A$1:$I$89,5,0)</f>
        <v>134.97119999999998</v>
      </c>
      <c r="AK38" s="13">
        <f t="shared" si="35"/>
        <v>35.142536849088657</v>
      </c>
      <c r="AL38" s="20">
        <f t="shared" si="4"/>
        <v>296.28142501216269</v>
      </c>
      <c r="AM38" s="59">
        <f t="shared" si="5"/>
        <v>557.32093794980278</v>
      </c>
      <c r="AN38" s="59">
        <f ca="1">AVERAGE(OFFSET($AM$3,0,0,'Données projet'!$E$10+1,1))-AVERAGE(OFFSET($H$3,0,0,'Données projet'!$E$10+1,1))</f>
        <v>280.35802808205239</v>
      </c>
      <c r="AO38" s="59">
        <f t="shared" si="36"/>
        <v>249.32129349927175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7.6158335385310645</v>
      </c>
      <c r="AV38" s="21">
        <f>EXP(-LN(2)/25)*AV37+(1-EXP(-LN(2)/25))/(LN(2)/25)*Calculateur!AQ38*Calculateur!AS38*VLOOKUP('Données projet'!$B$10,Paramètres!$A$1:$I$89,3,0)*0.475*44/12</f>
        <v>17.414845264572072</v>
      </c>
      <c r="AW38" s="21">
        <f>EXP(-LN(2)/2)*AW37+(1-EXP(-LN(2)/2))/(LN(2)/2)*AQ38*AT38*VLOOKUP('Données projet'!$B$10,Paramètres!$A$1:$I$89,3,0)*0.475*44/12</f>
        <v>5.8058361407733843</v>
      </c>
      <c r="AX38" s="21">
        <f t="shared" si="6"/>
        <v>30.836514943876519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61.192594437538204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376</v>
      </c>
      <c r="BB38" s="12">
        <f>VLOOKUP(A38,'Données projet'!$A$87:$I$107,9,0)</f>
        <v>26.2</v>
      </c>
      <c r="BC38" s="12">
        <f t="array" ref="BC38">INDEX(BB:BB,MIN(IF(ISNUMBER(BB38:BB234),ROW(BB38:BB234),"")))</f>
        <v>26.2</v>
      </c>
      <c r="BD38" s="12">
        <f>IF('Données projet'!$A$88&gt;35,BD37+BC38-BL37,IF(A38&lt;'Données projet'!$A$88,$BA$205^A38,IF(A38='Données projet'!$A$88,'Données projet'!$B$88,BD37+BC38-BL37)))</f>
        <v>376.00000000000006</v>
      </c>
      <c r="BE38" s="13">
        <f>BD38*VLOOKUP('Données projet'!$B$11,Paramètres!$A$1:$I$89,3,0)*VLOOKUP('Données projet'!$B$11,Paramètres!$A$1:$I$89,5,0)</f>
        <v>166.19200000000004</v>
      </c>
      <c r="BF38" s="13">
        <f t="shared" si="37"/>
        <v>42.236037017770272</v>
      </c>
      <c r="BG38" s="20">
        <f t="shared" si="7"/>
        <v>363.01216447261658</v>
      </c>
      <c r="BH38" s="59">
        <f t="shared" si="8"/>
        <v>624.05167741025662</v>
      </c>
      <c r="BI38" s="59">
        <f ca="1">AVERAGE(OFFSET($BH$3,0,0,'Données projet'!$E$11+1,1))-AVERAGE(OFFSET($H$3,0,0,'Données projet'!$E$11+1,1))</f>
        <v>409.91320873873292</v>
      </c>
      <c r="BJ38" s="59">
        <f t="shared" si="38"/>
        <v>347.86310581860698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63</v>
      </c>
      <c r="BM38" s="16">
        <f>IF(ISNA(VLOOKUP(A38,'Données projet'!$A$87:$I$107,5,0)),0%,VLOOKUP(A38,'Données projet'!$A$87:$I$107,5,0)*VLOOKUP('Données projet'!$B$11,Paramètres!$A$1:$I$89,7,0))</f>
        <v>0.13750000000000001</v>
      </c>
      <c r="BN38" s="16">
        <f>IF(ISNA(VLOOKUP(A38,'Données projet'!$A$87:$I$107,6,0)),0%,VLOOKUP(A38,'Données projet'!$A$87:$I$107,6,0)*VLOOKUP('Données projet'!$B$11,Paramètres!$A$1:$I$89,7,0))</f>
        <v>0.20350000000000001</v>
      </c>
      <c r="BO38" s="16">
        <f>IF(ISNA(VLOOKUP(A38,'Données projet'!$A$87:$I$107,7,0)),0%,VLOOKUP(A38,'Données projet'!$A$87:$I$107,7,0))</f>
        <v>0.38</v>
      </c>
      <c r="BP38" s="21">
        <f>EXP(-LN(2)/35)*BP37+(1-EXP(-LN(2)/35))/(LN(2)/35)*BL38*BM38*VLOOKUP('Données projet'!$B$11,Paramètres!$A$1:$I$89,3,0)*0.475*44/12</f>
        <v>14.145662455615646</v>
      </c>
      <c r="BQ38" s="21">
        <f>EXP(-LN(2)/25)*BQ37+(1-EXP(-LN(2)/25))/(LN(2)/25)*Calculateur!BL38*Calculateur!BN38*VLOOKUP('Données projet'!$B$11,Paramètres!$A$1:$I$89,3,0)*0.475*44/12</f>
        <v>20.072516768717549</v>
      </c>
      <c r="BR38" s="21">
        <f>EXP(-LN(2)/2)*BR37+(1-EXP(-LN(2)/2))/(LN(2)/2)*BL38*BO38*VLOOKUP('Données projet'!$B$11,Paramètres!$A$1:$I$89,3,0)*0.475*44/12</f>
        <v>14.478250215913681</v>
      </c>
      <c r="BS38" s="22">
        <f t="shared" si="9"/>
        <v>48.696429440246881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61.192594437538204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61.192594437538204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61.192594437538204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61.192594437538204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61.192594437538204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61.192594437538204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61.192594437538204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3.25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11.916666666666666</v>
      </c>
      <c r="H39" s="67">
        <f t="shared" si="1"/>
        <v>209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61.345383233637925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22.851428571428578</v>
      </c>
      <c r="N39" s="13">
        <f>IF('Données projet'!$A$36&gt;35,N38+M39-V38,IF(A39&lt;'Données projet'!$A$36,$K$205^A39,IF(A39='Données projet'!$A$36,'Données projet'!$B$36,N38+M39-V38)))</f>
        <v>313.38142857142856</v>
      </c>
      <c r="O39" s="13">
        <f>N39*VLOOKUP('Données projet'!$B$9,Paramètres!$A$1:$I$89,3,0)*VLOOKUP('Données projet'!$B$9,Paramètres!$A$1:$I$89,5,0)</f>
        <v>175.18021857142855</v>
      </c>
      <c r="P39" s="13">
        <f t="shared" si="33"/>
        <v>44.248185618905715</v>
      </c>
      <c r="Q39" s="20">
        <f t="shared" si="53"/>
        <v>382.17113729816555</v>
      </c>
      <c r="R39" s="59">
        <f t="shared" si="0"/>
        <v>643.77087582150466</v>
      </c>
      <c r="S39" s="59">
        <f ca="1">AVERAGE(OFFSET($R$3,0,0,'Données projet'!$E$9+1,1))-AVERAGE(OFFSET($H$3,0,0,'Données projet'!$E$9+1,1))</f>
        <v>399.91876225849921</v>
      </c>
      <c r="T39" s="59">
        <f t="shared" si="34"/>
        <v>368.64132082233505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31.580677510617672</v>
      </c>
      <c r="AA39" s="21">
        <f>EXP(-LN(2)/25)*AA38+(1-EXP(-LN(2)/25))/(LN(2)/25)*Calculateur!V39*Calculateur!X39*VLOOKUP('Données projet'!$B$9,Paramètres!$A$1:$I$89,3,0)*0.475*44/12</f>
        <v>21.40247727033702</v>
      </c>
      <c r="AB39" s="21">
        <f>EXP(-LN(2)/2)*AB38+(1-EXP(-LN(2)/2))/(LN(2)/2)*V39*Y39*VLOOKUP('Données projet'!$B$9,Paramètres!$A$1:$I$89,3,0)*0.475*44/12</f>
        <v>8.862933151428745</v>
      </c>
      <c r="AC39" s="22">
        <f t="shared" si="3"/>
        <v>61.84608793238344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61.345383233637925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32.4</v>
      </c>
      <c r="AI39" s="13">
        <f>IF('Données projet'!$A$62&gt;35,AI38+AH39-AQ38,IF(A39&lt;'Données projet'!$A$62,$AF$205^A39,IF(A39='Données projet'!$A$62,'Données projet'!$B$62,AI38+AH39-AQ38)))</f>
        <v>320.79999999999995</v>
      </c>
      <c r="AJ39" s="13">
        <f>AI39*VLOOKUP('Données projet'!$B$10,Paramètres!$A$1:$I$89,3,0)*VLOOKUP('Données projet'!$B$10,Paramètres!$A$1:$I$89,5,0)</f>
        <v>150.1344</v>
      </c>
      <c r="AK39" s="13">
        <f t="shared" si="35"/>
        <v>38.609126910934812</v>
      </c>
      <c r="AL39" s="20">
        <f t="shared" si="4"/>
        <v>328.7283093698781</v>
      </c>
      <c r="AM39" s="59">
        <f t="shared" si="5"/>
        <v>590.32804789321722</v>
      </c>
      <c r="AN39" s="59">
        <f ca="1">AVERAGE(OFFSET($AM$3,0,0,'Données projet'!$E$10+1,1))-AVERAGE(OFFSET($H$3,0,0,'Données projet'!$E$10+1,1))</f>
        <v>280.35802808205239</v>
      </c>
      <c r="AO39" s="59">
        <f t="shared" si="36"/>
        <v>249.32129349927175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7.4664916880402536</v>
      </c>
      <c r="AV39" s="21">
        <f>EXP(-LN(2)/25)*AV38+(1-EXP(-LN(2)/25))/(LN(2)/25)*Calculateur!AQ39*Calculateur!AS39*VLOOKUP('Données projet'!$B$10,Paramètres!$A$1:$I$89,3,0)*0.475*44/12</f>
        <v>16.938635405005439</v>
      </c>
      <c r="AW39" s="21">
        <f>EXP(-LN(2)/2)*AW38+(1-EXP(-LN(2)/2))/(LN(2)/2)*AQ39*AT39*VLOOKUP('Données projet'!$B$10,Paramètres!$A$1:$I$89,3,0)*0.475*44/12</f>
        <v>4.1053461055987954</v>
      </c>
      <c r="AX39" s="21">
        <f t="shared" si="6"/>
        <v>28.510473198644487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61.345383233637925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25.4</v>
      </c>
      <c r="BD39" s="12">
        <f>IF('Données projet'!$A$88&gt;35,BD38+BC39-BL38,IF(A39&lt;'Données projet'!$A$88,$BA$205^A39,IF(A39='Données projet'!$A$88,'Données projet'!$B$88,BD38+BC39-BL38)))</f>
        <v>338.40000000000003</v>
      </c>
      <c r="BE39" s="13">
        <f>BD39*VLOOKUP('Données projet'!$B$11,Paramètres!$A$1:$I$89,3,0)*VLOOKUP('Données projet'!$B$11,Paramètres!$A$1:$I$89,5,0)</f>
        <v>149.57280000000003</v>
      </c>
      <c r="BF39" s="13">
        <f t="shared" si="37"/>
        <v>38.481486779011725</v>
      </c>
      <c r="BG39" s="20">
        <f t="shared" si="7"/>
        <v>327.52788280677879</v>
      </c>
      <c r="BH39" s="59">
        <f t="shared" si="8"/>
        <v>589.1276213301179</v>
      </c>
      <c r="BI39" s="59">
        <f ca="1">AVERAGE(OFFSET($BH$3,0,0,'Données projet'!$E$11+1,1))-AVERAGE(OFFSET($H$3,0,0,'Données projet'!$E$11+1,1))</f>
        <v>409.91320873873292</v>
      </c>
      <c r="BJ39" s="59">
        <f t="shared" si="38"/>
        <v>347.86310581860698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13.868274642863177</v>
      </c>
      <c r="BQ39" s="21">
        <f>EXP(-LN(2)/25)*BQ38+(1-EXP(-LN(2)/25))/(LN(2)/25)*Calculateur!BL39*Calculateur!BN39*VLOOKUP('Données projet'!$B$11,Paramètres!$A$1:$I$89,3,0)*0.475*44/12</f>
        <v>19.523632742109186</v>
      </c>
      <c r="BR39" s="21">
        <f>EXP(-LN(2)/2)*BR38+(1-EXP(-LN(2)/2))/(LN(2)/2)*BL39*BO39*VLOOKUP('Données projet'!$B$11,Paramètres!$A$1:$I$89,3,0)*0.475*44/12</f>
        <v>10.23766890738816</v>
      </c>
      <c r="BS39" s="22">
        <f t="shared" si="9"/>
        <v>43.629576292360525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61.345383233637925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61.345383233637925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61.345383233637925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61.345383233637925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61.345383233637925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61.345383233637925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61.345383233637925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3.25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11.916666666666666</v>
      </c>
      <c r="H40" s="67">
        <f t="shared" si="1"/>
        <v>209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61.49552148570988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22.851428571428578</v>
      </c>
      <c r="N40" s="13">
        <f>IF('Données projet'!$A$36&gt;35,N39+M40-V39,IF(A40&lt;'Données projet'!$A$36,$K$205^A40,IF(A40='Données projet'!$A$36,'Données projet'!$B$36,N39+M40-V39)))</f>
        <v>336.23285714285714</v>
      </c>
      <c r="O40" s="13">
        <f>N40*VLOOKUP('Données projet'!$B$9,Paramètres!$A$1:$I$89,3,0)*VLOOKUP('Données projet'!$B$9,Paramètres!$A$1:$I$89,5,0)</f>
        <v>187.95416714285713</v>
      </c>
      <c r="P40" s="13">
        <f t="shared" si="33"/>
        <v>47.087363665282226</v>
      </c>
      <c r="Q40" s="20">
        <f t="shared" si="53"/>
        <v>409.36399949084267</v>
      </c>
      <c r="R40" s="59">
        <f t="shared" si="0"/>
        <v>671.51424493844547</v>
      </c>
      <c r="S40" s="59">
        <f ca="1">AVERAGE(OFFSET($R$3,0,0,'Données projet'!$E$9+1,1))-AVERAGE(OFFSET($H$3,0,0,'Données projet'!$E$9+1,1))</f>
        <v>399.91876225849921</v>
      </c>
      <c r="T40" s="59">
        <f t="shared" si="34"/>
        <v>368.64132082233505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30.961399686945747</v>
      </c>
      <c r="AA40" s="21">
        <f>EXP(-LN(2)/25)*AA39+(1-EXP(-LN(2)/25))/(LN(2)/25)*Calculateur!V40*Calculateur!X40*VLOOKUP('Données projet'!$B$9,Paramètres!$A$1:$I$89,3,0)*0.475*44/12</f>
        <v>20.817225403872289</v>
      </c>
      <c r="AB40" s="21">
        <f>EXP(-LN(2)/2)*AB39+(1-EXP(-LN(2)/2))/(LN(2)/2)*V40*Y40*VLOOKUP('Données projet'!$B$9,Paramètres!$A$1:$I$89,3,0)*0.475*44/12</f>
        <v>6.267040132578324</v>
      </c>
      <c r="AC40" s="22">
        <f t="shared" si="3"/>
        <v>58.045665223396362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61.49552148570988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32.4</v>
      </c>
      <c r="AI40" s="13">
        <f>IF('Données projet'!$A$62&gt;35,AI39+AH40-AQ39,IF(A40&lt;'Données projet'!$A$62,$AF$205^A40,IF(A40='Données projet'!$A$62,'Données projet'!$B$62,AI39+AH40-AQ39)))</f>
        <v>353.19999999999993</v>
      </c>
      <c r="AJ40" s="13">
        <f>AI40*VLOOKUP('Données projet'!$B$10,Paramètres!$A$1:$I$89,3,0)*VLOOKUP('Données projet'!$B$10,Paramètres!$A$1:$I$89,5,0)</f>
        <v>165.29759999999996</v>
      </c>
      <c r="AK40" s="13">
        <f t="shared" si="35"/>
        <v>42.035129205137387</v>
      </c>
      <c r="AL40" s="20">
        <f t="shared" si="4"/>
        <v>361.10450336561422</v>
      </c>
      <c r="AM40" s="59">
        <f t="shared" si="5"/>
        <v>623.25474881321702</v>
      </c>
      <c r="AN40" s="59">
        <f ca="1">AVERAGE(OFFSET($AM$3,0,0,'Données projet'!$E$10+1,1))-AVERAGE(OFFSET($H$3,0,0,'Données projet'!$E$10+1,1))</f>
        <v>280.35802808205239</v>
      </c>
      <c r="AO40" s="59">
        <f t="shared" si="36"/>
        <v>249.32129349927175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7.3200783401480329</v>
      </c>
      <c r="AV40" s="21">
        <f>EXP(-LN(2)/25)*AV39+(1-EXP(-LN(2)/25))/(LN(2)/25)*Calculateur!AQ40*Calculateur!AS40*VLOOKUP('Données projet'!$B$10,Paramètres!$A$1:$I$89,3,0)*0.475*44/12</f>
        <v>16.475447529091443</v>
      </c>
      <c r="AW40" s="21">
        <f>EXP(-LN(2)/2)*AW39+(1-EXP(-LN(2)/2))/(LN(2)/2)*AQ40*AT40*VLOOKUP('Données projet'!$B$10,Paramètres!$A$1:$I$89,3,0)*0.475*44/12</f>
        <v>2.9029180703866926</v>
      </c>
      <c r="AX40" s="21">
        <f t="shared" si="6"/>
        <v>26.69844393962617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61.49552148570988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25.4</v>
      </c>
      <c r="BD40" s="12">
        <f>IF('Données projet'!$A$88&gt;35,BD39+BC40-BL39,IF(A40&lt;'Données projet'!$A$88,$BA$205^A40,IF(A40='Données projet'!$A$88,'Données projet'!$B$88,BD39+BC40-BL39)))</f>
        <v>363.8</v>
      </c>
      <c r="BE40" s="13">
        <f>BD40*VLOOKUP('Données projet'!$B$11,Paramètres!$A$1:$I$89,3,0)*VLOOKUP('Données projet'!$B$11,Paramètres!$A$1:$I$89,5,0)</f>
        <v>160.79960000000003</v>
      </c>
      <c r="BF40" s="13">
        <f t="shared" si="37"/>
        <v>41.022815059749384</v>
      </c>
      <c r="BG40" s="20">
        <f t="shared" si="7"/>
        <v>351.50737289573021</v>
      </c>
      <c r="BH40" s="59">
        <f t="shared" si="8"/>
        <v>613.65761834333307</v>
      </c>
      <c r="BI40" s="59">
        <f ca="1">AVERAGE(OFFSET($BH$3,0,0,'Données projet'!$E$11+1,1))-AVERAGE(OFFSET($H$3,0,0,'Données projet'!$E$11+1,1))</f>
        <v>409.91320873873292</v>
      </c>
      <c r="BJ40" s="59">
        <f t="shared" si="38"/>
        <v>347.86310581860698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13.596326235928924</v>
      </c>
      <c r="BQ40" s="21">
        <f>EXP(-LN(2)/25)*BQ39+(1-EXP(-LN(2)/25))/(LN(2)/25)*Calculateur!BL40*Calculateur!BN40*VLOOKUP('Données projet'!$B$11,Paramètres!$A$1:$I$89,3,0)*0.475*44/12</f>
        <v>18.989757978072987</v>
      </c>
      <c r="BR40" s="21">
        <f>EXP(-LN(2)/2)*BR39+(1-EXP(-LN(2)/2))/(LN(2)/2)*BL40*BO40*VLOOKUP('Données projet'!$B$11,Paramètres!$A$1:$I$89,3,0)*0.475*44/12</f>
        <v>7.2391251079568413</v>
      </c>
      <c r="BS40" s="22">
        <f t="shared" si="9"/>
        <v>39.825209321958752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61.49552148570988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61.49552148570988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61.49552148570988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61.49552148570988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61.49552148570988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61.49552148570988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61.49552148570988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3.25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11.916666666666666</v>
      </c>
      <c r="H41" s="67">
        <f t="shared" si="1"/>
        <v>209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61.643055174767234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22.851428571428578</v>
      </c>
      <c r="N41" s="13">
        <f>IF('Données projet'!$A$36&gt;35,N40+M41-V40,IF(A41&lt;'Données projet'!$A$36,$K$205^A41,IF(A41='Données projet'!$A$36,'Données projet'!$B$36,N40+M41-V40)))</f>
        <v>359.08428571428573</v>
      </c>
      <c r="O41" s="13">
        <f>N41*VLOOKUP('Données projet'!$B$9,Paramètres!$A$1:$I$89,3,0)*VLOOKUP('Données projet'!$B$9,Paramètres!$A$1:$I$89,5,0)</f>
        <v>200.72811571428574</v>
      </c>
      <c r="P41" s="13">
        <f t="shared" si="33"/>
        <v>49.904151662519681</v>
      </c>
      <c r="Q41" s="20">
        <f t="shared" si="53"/>
        <v>436.51786568126948</v>
      </c>
      <c r="R41" s="59">
        <f t="shared" si="0"/>
        <v>699.20906798874933</v>
      </c>
      <c r="S41" s="59">
        <f ca="1">AVERAGE(OFFSET($R$3,0,0,'Données projet'!$E$9+1,1))-AVERAGE(OFFSET($H$3,0,0,'Données projet'!$E$9+1,1))</f>
        <v>399.91876225849921</v>
      </c>
      <c r="T41" s="59">
        <f t="shared" si="34"/>
        <v>368.64132082233505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30.354265523673853</v>
      </c>
      <c r="AA41" s="21">
        <f>EXP(-LN(2)/25)*AA40+(1-EXP(-LN(2)/25))/(LN(2)/25)*Calculateur!V41*Calculateur!X41*VLOOKUP('Données projet'!$B$9,Paramètres!$A$1:$I$89,3,0)*0.475*44/12</f>
        <v>20.247977280473094</v>
      </c>
      <c r="AB41" s="21">
        <f>EXP(-LN(2)/2)*AB40+(1-EXP(-LN(2)/2))/(LN(2)/2)*V41*Y41*VLOOKUP('Données projet'!$B$9,Paramètres!$A$1:$I$89,3,0)*0.475*44/12</f>
        <v>4.4314665757143734</v>
      </c>
      <c r="AC41" s="22">
        <f t="shared" si="3"/>
        <v>55.033709379861321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61.643055174767234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32.4</v>
      </c>
      <c r="AI41" s="13">
        <f>IF('Données projet'!$A$62&gt;35,AI40+AH41-AQ40,IF(A41&lt;'Données projet'!$A$62,$AF$205^A41,IF(A41='Données projet'!$A$62,'Données projet'!$B$62,AI40+AH41-AQ40)))</f>
        <v>385.59999999999991</v>
      </c>
      <c r="AJ41" s="13">
        <f>AI41*VLOOKUP('Données projet'!$B$10,Paramètres!$A$1:$I$89,3,0)*VLOOKUP('Données projet'!$B$10,Paramètres!$A$1:$I$89,5,0)</f>
        <v>180.46079999999998</v>
      </c>
      <c r="AK41" s="13">
        <f t="shared" si="35"/>
        <v>45.424690416772727</v>
      </c>
      <c r="AL41" s="20">
        <f t="shared" si="4"/>
        <v>393.41722914254575</v>
      </c>
      <c r="AM41" s="59">
        <f t="shared" si="5"/>
        <v>656.10843145002559</v>
      </c>
      <c r="AN41" s="59">
        <f ca="1">AVERAGE(OFFSET($AM$3,0,0,'Données projet'!$E$10+1,1))-AVERAGE(OFFSET($H$3,0,0,'Données projet'!$E$10+1,1))</f>
        <v>280.35802808205239</v>
      </c>
      <c r="AO41" s="59">
        <f t="shared" si="36"/>
        <v>249.32129349927175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7.176536068704654</v>
      </c>
      <c r="AV41" s="21">
        <f>EXP(-LN(2)/25)*AV40+(1-EXP(-LN(2)/25))/(LN(2)/25)*Calculateur!AQ41*Calculateur!AS41*VLOOKUP('Données projet'!$B$10,Paramètres!$A$1:$I$89,3,0)*0.475*44/12</f>
        <v>16.024925550002308</v>
      </c>
      <c r="AW41" s="21">
        <f>EXP(-LN(2)/2)*AW40+(1-EXP(-LN(2)/2))/(LN(2)/2)*AQ41*AT41*VLOOKUP('Données projet'!$B$10,Paramètres!$A$1:$I$89,3,0)*0.475*44/12</f>
        <v>2.0526730527993982</v>
      </c>
      <c r="AX41" s="21">
        <f t="shared" si="6"/>
        <v>25.25413467150636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61.643055174767234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25.4</v>
      </c>
      <c r="BD41" s="12">
        <f>IF('Données projet'!$A$88&gt;35,BD40+BC41-BL40,IF(A41&lt;'Données projet'!$A$88,$BA$205^A41,IF(A41='Données projet'!$A$88,'Données projet'!$B$88,BD40+BC41-BL40)))</f>
        <v>389.2</v>
      </c>
      <c r="BE41" s="13">
        <f>BD41*VLOOKUP('Données projet'!$B$11,Paramètres!$A$1:$I$89,3,0)*VLOOKUP('Données projet'!$B$11,Paramètres!$A$1:$I$89,5,0)</f>
        <v>172.02640000000002</v>
      </c>
      <c r="BF41" s="13">
        <f t="shared" si="37"/>
        <v>43.543556310624133</v>
      </c>
      <c r="BG41" s="20">
        <f t="shared" si="7"/>
        <v>375.45100724100371</v>
      </c>
      <c r="BH41" s="59">
        <f t="shared" si="8"/>
        <v>638.14220954848361</v>
      </c>
      <c r="BI41" s="59">
        <f ca="1">AVERAGE(OFFSET($BH$3,0,0,'Données projet'!$E$11+1,1))-AVERAGE(OFFSET($H$3,0,0,'Données projet'!$E$11+1,1))</f>
        <v>409.91320873873292</v>
      </c>
      <c r="BJ41" s="59">
        <f t="shared" si="38"/>
        <v>347.86310581860698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13.329710571382503</v>
      </c>
      <c r="BQ41" s="21">
        <f>EXP(-LN(2)/25)*BQ40+(1-EXP(-LN(2)/25))/(LN(2)/25)*Calculateur!BL41*Calculateur!BN41*VLOOKUP('Données projet'!$B$11,Paramètres!$A$1:$I$89,3,0)*0.475*44/12</f>
        <v>18.47048204753461</v>
      </c>
      <c r="BR41" s="21">
        <f>EXP(-LN(2)/2)*BR40+(1-EXP(-LN(2)/2))/(LN(2)/2)*BL41*BO41*VLOOKUP('Données projet'!$B$11,Paramètres!$A$1:$I$89,3,0)*0.475*44/12</f>
        <v>5.1188344536940811</v>
      </c>
      <c r="BS41" s="22">
        <f t="shared" si="9"/>
        <v>36.919027072611193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61.643055174767234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61.643055174767234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61.643055174767234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61.643055174767234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61.643055174767234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61.643055174767234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61.643055174767234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3.25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11.916666666666666</v>
      </c>
      <c r="H42" s="67">
        <f t="shared" si="1"/>
        <v>209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61.788029484155359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22.851428571428578</v>
      </c>
      <c r="N42" s="13">
        <f>IF('Données projet'!$A$36&gt;35,N41+M42-V41,IF(A42&lt;'Données projet'!$A$36,$K$205^A42,IF(A42='Données projet'!$A$36,'Données projet'!$B$36,N41+M42-V41)))</f>
        <v>381.93571428571431</v>
      </c>
      <c r="O42" s="13">
        <f>N42*VLOOKUP('Données projet'!$B$9,Paramètres!$A$1:$I$89,3,0)*VLOOKUP('Données projet'!$B$9,Paramètres!$A$1:$I$89,5,0)</f>
        <v>213.50206428571431</v>
      </c>
      <c r="P42" s="13">
        <f t="shared" si="33"/>
        <v>52.700136656354076</v>
      </c>
      <c r="Q42" s="20">
        <f t="shared" si="53"/>
        <v>463.6354999741024</v>
      </c>
      <c r="R42" s="59">
        <f t="shared" si="0"/>
        <v>726.85827474933876</v>
      </c>
      <c r="S42" s="59">
        <f ca="1">AVERAGE(OFFSET($R$3,0,0,'Données projet'!$E$9+1,1))-AVERAGE(OFFSET($H$3,0,0,'Données projet'!$E$9+1,1))</f>
        <v>399.91876225849921</v>
      </c>
      <c r="T42" s="59">
        <f t="shared" si="34"/>
        <v>368.64132082233505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29.759036891028444</v>
      </c>
      <c r="AA42" s="21">
        <f>EXP(-LN(2)/25)*AA41+(1-EXP(-LN(2)/25))/(LN(2)/25)*Calculateur!V42*Calculateur!X42*VLOOKUP('Données projet'!$B$9,Paramètres!$A$1:$I$89,3,0)*0.475*44/12</f>
        <v>19.694295276943709</v>
      </c>
      <c r="AB42" s="21">
        <f>EXP(-LN(2)/2)*AB41+(1-EXP(-LN(2)/2))/(LN(2)/2)*V42*Y42*VLOOKUP('Données projet'!$B$9,Paramètres!$A$1:$I$89,3,0)*0.475*44/12</f>
        <v>3.1335200662891629</v>
      </c>
      <c r="AC42" s="22">
        <f t="shared" si="3"/>
        <v>52.586852234261315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61.788029484155359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>
        <f>VLOOKUP(A42,'Données projet'!$A$61:$I$81,2,0)</f>
        <v>418</v>
      </c>
      <c r="AG42" s="12">
        <f>VLOOKUP(A42,'Données projet'!$A$61:$I$81,9,0)</f>
        <v>32.4</v>
      </c>
      <c r="AH42" s="12">
        <f t="array" ref="AH42">INDEX(AG:AG,MIN(IF(ISNUMBER(AG42:AG238),ROW(AG42:AG238),"")))</f>
        <v>32.4</v>
      </c>
      <c r="AI42" s="13">
        <f>IF('Données projet'!$A$62&gt;35,AI41+AH42-AQ41,IF(A42&lt;'Données projet'!$A$62,$AF$205^A42,IF(A42='Données projet'!$A$62,'Données projet'!$B$62,AI41+AH42-AQ41)))</f>
        <v>417.99999999999989</v>
      </c>
      <c r="AJ42" s="13">
        <f>AI42*VLOOKUP('Données projet'!$B$10,Paramètres!$A$1:$I$89,3,0)*VLOOKUP('Données projet'!$B$10,Paramètres!$A$1:$I$89,5,0)</f>
        <v>195.62399999999997</v>
      </c>
      <c r="AK42" s="13">
        <f t="shared" si="35"/>
        <v>48.781220625276006</v>
      </c>
      <c r="AL42" s="20">
        <f t="shared" si="4"/>
        <v>425.67242592235561</v>
      </c>
      <c r="AM42" s="59">
        <f t="shared" si="5"/>
        <v>688.89520069759192</v>
      </c>
      <c r="AN42" s="59">
        <f ca="1">AVERAGE(OFFSET($AM$3,0,0,'Données projet'!$E$10+1,1))-AVERAGE(OFFSET($H$3,0,0,'Données projet'!$E$10+1,1))</f>
        <v>280.35802808205239</v>
      </c>
      <c r="AO42" s="59">
        <f t="shared" si="36"/>
        <v>249.32129349927175</v>
      </c>
      <c r="AP42" s="15">
        <f>IF(ISNA(VLOOKUP(A42,'Données projet'!$A$61:$I$81,3,0)),0,VLOOKUP(A42,'Données projet'!$A$61:$I$81,3,0))</f>
        <v>4</v>
      </c>
      <c r="AQ42" s="15">
        <f>IF(ISNA(VLOOKUP(A42,'Données projet'!$A$61:$I$81,4,0)),0,VLOOKUP(A42,'Données projet'!$A$61:$I$81,4,0))</f>
        <v>70</v>
      </c>
      <c r="AR42" s="16">
        <f>IF(ISNA(VLOOKUP(A42,'Données projet'!$A$61:$I$81,5,0)),0%,VLOOKUP(A42,'Données projet'!$A$61:$I$81,5,0)*VLOOKUP('Données projet'!$B$10,Paramètres!$A$1:$I$89,7,0))</f>
        <v>0.1925</v>
      </c>
      <c r="AS42" s="16">
        <f>IF(ISNA(VLOOKUP(A42,'Données projet'!$A$61:$I$81,6,0)),0%,VLOOKUP(A42,'Données projet'!$A$61:$I$81,6,0)*VLOOKUP('Données projet'!$B$10,Paramètres!$A$1:$I$89,7,0))</f>
        <v>8.2500000000000004E-2</v>
      </c>
      <c r="AT42" s="16">
        <f>IF(ISNA(VLOOKUP(A42,'Données projet'!$A$61:$I$81,7,0)),0%,VLOOKUP(A42,'Données projet'!$A$61:$I$81,7,0))</f>
        <v>0.15</v>
      </c>
      <c r="AU42" s="21">
        <f>EXP(-LN(2)/35)*AU41+(1-EXP(-LN(2)/35))/(LN(2)/35)*AQ42*AR42*VLOOKUP('Données projet'!$B$10,Paramètres!$A$1:$I$89,3,0)*0.475*44/12</f>
        <v>15.401521998990511</v>
      </c>
      <c r="AV42" s="21">
        <f>EXP(-LN(2)/25)*AV41+(1-EXP(-LN(2)/25))/(LN(2)/25)*Calculateur!AQ42*Calculateur!AS42*VLOOKUP('Données projet'!$B$10,Paramètres!$A$1:$I$89,3,0)*0.475*44/12</f>
        <v>19.157912156978757</v>
      </c>
      <c r="AW42" s="21">
        <f>EXP(-LN(2)/2)*AW41+(1-EXP(-LN(2)/2))/(LN(2)/2)*AQ42*AT42*VLOOKUP('Données projet'!$B$10,Paramètres!$A$1:$I$89,3,0)*0.475*44/12</f>
        <v>7.015248545238399</v>
      </c>
      <c r="AX42" s="21">
        <f t="shared" si="6"/>
        <v>41.574682701207671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61.788029484155359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25.4</v>
      </c>
      <c r="BD42" s="12">
        <f>IF('Données projet'!$A$88&gt;35,BD41+BC42-BL41,IF(A42&lt;'Données projet'!$A$88,$BA$205^A42,IF(A42='Données projet'!$A$88,'Données projet'!$B$88,BD41+BC42-BL41)))</f>
        <v>414.59999999999997</v>
      </c>
      <c r="BE42" s="13">
        <f>BD42*VLOOKUP('Données projet'!$B$11,Paramètres!$A$1:$I$89,3,0)*VLOOKUP('Données projet'!$B$11,Paramètres!$A$1:$I$89,5,0)</f>
        <v>183.25319999999999</v>
      </c>
      <c r="BF42" s="13">
        <f t="shared" si="37"/>
        <v>46.04520698394716</v>
      </c>
      <c r="BG42" s="20">
        <f t="shared" si="7"/>
        <v>399.36139216370793</v>
      </c>
      <c r="BH42" s="59">
        <f t="shared" si="8"/>
        <v>662.58416693894424</v>
      </c>
      <c r="BI42" s="59">
        <f ca="1">AVERAGE(OFFSET($BH$3,0,0,'Données projet'!$E$11+1,1))-AVERAGE(OFFSET($H$3,0,0,'Données projet'!$E$11+1,1))</f>
        <v>409.91320873873292</v>
      </c>
      <c r="BJ42" s="59">
        <f t="shared" si="38"/>
        <v>347.86310581860698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13.068323077398338</v>
      </c>
      <c r="BQ42" s="21">
        <f>EXP(-LN(2)/25)*BQ41+(1-EXP(-LN(2)/25))/(LN(2)/25)*Calculateur!BL42*Calculateur!BN42*VLOOKUP('Données projet'!$B$11,Paramètres!$A$1:$I$89,3,0)*0.475*44/12</f>
        <v>17.965405744624341</v>
      </c>
      <c r="BR42" s="21">
        <f>EXP(-LN(2)/2)*BR41+(1-EXP(-LN(2)/2))/(LN(2)/2)*BL42*BO42*VLOOKUP('Données projet'!$B$11,Paramètres!$A$1:$I$89,3,0)*0.475*44/12</f>
        <v>3.6195625539784215</v>
      </c>
      <c r="BS42" s="22">
        <f t="shared" si="9"/>
        <v>34.6532913760011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61.788029484155359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61.788029484155359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61.788029484155359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61.788029484155359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61.788029484155359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61.788029484155359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61.788029484155359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3.25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11.916666666666666</v>
      </c>
      <c r="H43" s="67">
        <f t="shared" si="1"/>
        <v>209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61.930488813389601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22.851428571428578</v>
      </c>
      <c r="N43" s="13">
        <f>IF('Données projet'!$A$36&gt;35,N42+M43-V42,IF(A43&lt;'Données projet'!$A$36,$K$205^A43,IF(A43='Données projet'!$A$36,'Données projet'!$B$36,N42+M43-V42)))</f>
        <v>404.7871428571429</v>
      </c>
      <c r="O43" s="13">
        <f>N43*VLOOKUP('Données projet'!$B$9,Paramètres!$A$1:$I$89,3,0)*VLOOKUP('Données projet'!$B$9,Paramètres!$A$1:$I$89,5,0)</f>
        <v>226.27601285714289</v>
      </c>
      <c r="P43" s="13">
        <f t="shared" si="33"/>
        <v>55.476705055614268</v>
      </c>
      <c r="Q43" s="20">
        <f t="shared" si="53"/>
        <v>490.71931703138534</v>
      </c>
      <c r="R43" s="59">
        <f t="shared" si="0"/>
        <v>754.46444268048049</v>
      </c>
      <c r="S43" s="59">
        <f ca="1">AVERAGE(OFFSET($R$3,0,0,'Données projet'!$E$9+1,1))-AVERAGE(OFFSET($H$3,0,0,'Données projet'!$E$9+1,1))</f>
        <v>399.91876225849921</v>
      </c>
      <c r="T43" s="59">
        <f t="shared" si="34"/>
        <v>368.64132082233505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29.175480328815595</v>
      </c>
      <c r="AA43" s="21">
        <f>EXP(-LN(2)/25)*AA42+(1-EXP(-LN(2)/25))/(LN(2)/25)*Calculateur!V43*Calculateur!X43*VLOOKUP('Données projet'!$B$9,Paramètres!$A$1:$I$89,3,0)*0.475*44/12</f>
        <v>19.155753736917706</v>
      </c>
      <c r="AB43" s="21">
        <f>EXP(-LN(2)/2)*AB42+(1-EXP(-LN(2)/2))/(LN(2)/2)*V43*Y43*VLOOKUP('Données projet'!$B$9,Paramètres!$A$1:$I$89,3,0)*0.475*44/12</f>
        <v>2.2157332878571872</v>
      </c>
      <c r="AC43" s="22">
        <f t="shared" si="3"/>
        <v>50.546967353590489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61.930488813389601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29.8</v>
      </c>
      <c r="AI43" s="13">
        <f>IF('Données projet'!$A$62&gt;35,AI42+AH43-AQ42,IF(A43&lt;'Données projet'!$A$62,$AF$205^A43,IF(A43='Données projet'!$A$62,'Données projet'!$B$62,AI42+AH43-AQ42)))</f>
        <v>377.7999999999999</v>
      </c>
      <c r="AJ43" s="13">
        <f>AI43*VLOOKUP('Données projet'!$B$10,Paramètres!$A$1:$I$89,3,0)*VLOOKUP('Données projet'!$B$10,Paramètres!$A$1:$I$89,5,0)</f>
        <v>176.81039999999996</v>
      </c>
      <c r="AK43" s="13">
        <f t="shared" si="35"/>
        <v>44.611822218388589</v>
      </c>
      <c r="AL43" s="20">
        <f t="shared" si="4"/>
        <v>385.64370369702669</v>
      </c>
      <c r="AM43" s="59">
        <f t="shared" si="5"/>
        <v>649.38882934612184</v>
      </c>
      <c r="AN43" s="59">
        <f ca="1">AVERAGE(OFFSET($AM$3,0,0,'Données projet'!$E$10+1,1))-AVERAGE(OFFSET($H$3,0,0,'Données projet'!$E$10+1,1))</f>
        <v>280.35802808205239</v>
      </c>
      <c r="AO43" s="59">
        <f t="shared" si="36"/>
        <v>249.32129349927175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15.099507546591145</v>
      </c>
      <c r="AV43" s="21">
        <f>EXP(-LN(2)/25)*AV42+(1-EXP(-LN(2)/25))/(LN(2)/25)*Calculateur!AQ43*Calculateur!AS43*VLOOKUP('Données projet'!$B$10,Paramètres!$A$1:$I$89,3,0)*0.475*44/12</f>
        <v>18.634038041575359</v>
      </c>
      <c r="AW43" s="21">
        <f>EXP(-LN(2)/2)*AW42+(1-EXP(-LN(2)/2))/(LN(2)/2)*AQ43*AT43*VLOOKUP('Données projet'!$B$10,Paramètres!$A$1:$I$89,3,0)*0.475*44/12</f>
        <v>4.9605298180471351</v>
      </c>
      <c r="AX43" s="21">
        <f t="shared" si="6"/>
        <v>38.694075406213642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61.930488813389601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440</v>
      </c>
      <c r="BB43" s="12">
        <f>VLOOKUP(A43,'Données projet'!$A$87:$I$107,9,0)</f>
        <v>25.4</v>
      </c>
      <c r="BC43" s="12">
        <f t="array" ref="BC43">INDEX(BB:BB,MIN(IF(ISNUMBER(BB43:BB239),ROW(BB43:BB239),"")))</f>
        <v>25.4</v>
      </c>
      <c r="BD43" s="12">
        <f>IF('Données projet'!$A$88&gt;35,BD42+BC43-BL42,IF(A43&lt;'Données projet'!$A$88,$BA$205^A43,IF(A43='Données projet'!$A$88,'Données projet'!$B$88,BD42+BC43-BL42)))</f>
        <v>439.99999999999994</v>
      </c>
      <c r="BE43" s="13">
        <f>BD43*VLOOKUP('Données projet'!$B$11,Paramètres!$A$1:$I$89,3,0)*VLOOKUP('Données projet'!$B$11,Paramètres!$A$1:$I$89,5,0)</f>
        <v>194.48</v>
      </c>
      <c r="BF43" s="13">
        <f t="shared" si="37"/>
        <v>48.529069813916593</v>
      </c>
      <c r="BG43" s="20">
        <f t="shared" si="7"/>
        <v>423.24079659257137</v>
      </c>
      <c r="BH43" s="59">
        <f t="shared" si="8"/>
        <v>686.98592224166657</v>
      </c>
      <c r="BI43" s="59">
        <f ca="1">AVERAGE(OFFSET($BH$3,0,0,'Données projet'!$E$11+1,1))-AVERAGE(OFFSET($H$3,0,0,'Données projet'!$E$11+1,1))</f>
        <v>409.91320873873292</v>
      </c>
      <c r="BJ43" s="59">
        <f t="shared" si="38"/>
        <v>347.86310581860698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63</v>
      </c>
      <c r="BM43" s="16">
        <f>IF(ISNA(VLOOKUP(A43,'Données projet'!$A$87:$I$107,5,0)),0%,VLOOKUP(A43,'Données projet'!$A$87:$I$107,5,0)*VLOOKUP('Données projet'!$B$11,Paramètres!$A$1:$I$89,7,0))</f>
        <v>0.13750000000000001</v>
      </c>
      <c r="BN43" s="16">
        <f>IF(ISNA(VLOOKUP(A43,'Données projet'!$A$87:$I$107,6,0)),0%,VLOOKUP(A43,'Données projet'!$A$87:$I$107,6,0)*VLOOKUP('Données projet'!$B$11,Paramètres!$A$1:$I$89,7,0))</f>
        <v>0.20350000000000001</v>
      </c>
      <c r="BO43" s="16">
        <f>IF(ISNA(VLOOKUP(A43,'Données projet'!$A$87:$I$107,7,0)),0%,VLOOKUP(A43,'Données projet'!$A$87:$I$107,7,0))</f>
        <v>0.38</v>
      </c>
      <c r="BP43" s="21">
        <f>EXP(-LN(2)/35)*BP42+(1-EXP(-LN(2)/35))/(LN(2)/35)*BL43*BM43*VLOOKUP('Données projet'!$B$11,Paramètres!$A$1:$I$89,3,0)*0.475*44/12</f>
        <v>17.89124438383887</v>
      </c>
      <c r="BQ43" s="21">
        <f>EXP(-LN(2)/25)*BQ42+(1-EXP(-LN(2)/25))/(LN(2)/25)*Calculateur!BL43*Calculateur!BN43*VLOOKUP('Données projet'!$B$11,Paramètres!$A$1:$I$89,3,0)*0.475*44/12</f>
        <v>24.961733797911599</v>
      </c>
      <c r="BR43" s="21">
        <f>EXP(-LN(2)/2)*BR42+(1-EXP(-LN(2)/2))/(LN(2)/2)*BL43*BO43*VLOOKUP('Données projet'!$B$11,Paramètres!$A$1:$I$89,3,0)*0.475*44/12</f>
        <v>14.54011063847739</v>
      </c>
      <c r="BS43" s="22">
        <f t="shared" si="9"/>
        <v>57.39308882022786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61.930488813389601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61.930488813389601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61.930488813389601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61.930488813389601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61.930488813389601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61.930488813389601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61.930488813389601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3.25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11.916666666666666</v>
      </c>
      <c r="H44" s="67">
        <f t="shared" si="1"/>
        <v>209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62.070476791752974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22.851428571428578</v>
      </c>
      <c r="N44" s="13">
        <f>IF('Données projet'!$A$36&gt;35,N43+M44-V43,IF(A44&lt;'Données projet'!$A$36,$K$205^A44,IF(A44='Données projet'!$A$36,'Données projet'!$B$36,N43+M44-V43)))</f>
        <v>427.63857142857148</v>
      </c>
      <c r="O44" s="13">
        <f>N44*VLOOKUP('Données projet'!$B$9,Paramètres!$A$1:$I$89,3,0)*VLOOKUP('Données projet'!$B$9,Paramètres!$A$1:$I$89,5,0)</f>
        <v>239.04996142857144</v>
      </c>
      <c r="P44" s="13">
        <f t="shared" si="33"/>
        <v>58.235077894233235</v>
      </c>
      <c r="Q44" s="20">
        <f t="shared" si="53"/>
        <v>517.77144348721811</v>
      </c>
      <c r="R44" s="59">
        <f t="shared" si="0"/>
        <v>782.02985839031237</v>
      </c>
      <c r="S44" s="59">
        <f ca="1">AVERAGE(OFFSET($R$3,0,0,'Données projet'!$E$9+1,1))-AVERAGE(OFFSET($H$3,0,0,'Données projet'!$E$9+1,1))</f>
        <v>399.91876225849921</v>
      </c>
      <c r="T44" s="59">
        <f t="shared" si="34"/>
        <v>368.64132082233505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28.603366954853385</v>
      </c>
      <c r="AA44" s="21">
        <f>EXP(-LN(2)/25)*AA43+(1-EXP(-LN(2)/25))/(LN(2)/25)*Calculateur!V44*Calculateur!X44*VLOOKUP('Données projet'!$B$9,Paramètres!$A$1:$I$89,3,0)*0.475*44/12</f>
        <v>18.631938643624384</v>
      </c>
      <c r="AB44" s="21">
        <f>EXP(-LN(2)/2)*AB43+(1-EXP(-LN(2)/2))/(LN(2)/2)*V44*Y44*VLOOKUP('Données projet'!$B$9,Paramètres!$A$1:$I$89,3,0)*0.475*44/12</f>
        <v>1.5667600331445817</v>
      </c>
      <c r="AC44" s="22">
        <f t="shared" si="3"/>
        <v>48.802065631622348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62.070476791752974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29.8</v>
      </c>
      <c r="AI44" s="13">
        <f>IF('Données projet'!$A$62&gt;35,AI43+AH44-AQ43,IF(A44&lt;'Données projet'!$A$62,$AF$205^A44,IF(A44='Données projet'!$A$62,'Données projet'!$B$62,AI43+AH44-AQ43)))</f>
        <v>407.59999999999991</v>
      </c>
      <c r="AJ44" s="13">
        <f>AI44*VLOOKUP('Données projet'!$B$10,Paramètres!$A$1:$I$89,3,0)*VLOOKUP('Données projet'!$B$10,Paramètres!$A$1:$I$89,5,0)</f>
        <v>190.75679999999997</v>
      </c>
      <c r="AK44" s="13">
        <f t="shared" si="35"/>
        <v>47.707231855830237</v>
      </c>
      <c r="AL44" s="20">
        <f t="shared" si="4"/>
        <v>415.32485548223758</v>
      </c>
      <c r="AM44" s="59">
        <f t="shared" si="5"/>
        <v>679.58327038533184</v>
      </c>
      <c r="AN44" s="59">
        <f ca="1">AVERAGE(OFFSET($AM$3,0,0,'Données projet'!$E$10+1,1))-AVERAGE(OFFSET($H$3,0,0,'Données projet'!$E$10+1,1))</f>
        <v>280.35802808205239</v>
      </c>
      <c r="AO44" s="59">
        <f t="shared" si="36"/>
        <v>249.32129349927175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14.803415413392704</v>
      </c>
      <c r="AV44" s="21">
        <f>EXP(-LN(2)/25)*AV43+(1-EXP(-LN(2)/25))/(LN(2)/25)*Calculateur!AQ44*Calculateur!AS44*VLOOKUP('Données projet'!$B$10,Paramètres!$A$1:$I$89,3,0)*0.475*44/12</f>
        <v>18.124489291407009</v>
      </c>
      <c r="AW44" s="21">
        <f>EXP(-LN(2)/2)*AW43+(1-EXP(-LN(2)/2))/(LN(2)/2)*AQ44*AT44*VLOOKUP('Données projet'!$B$10,Paramètres!$A$1:$I$89,3,0)*0.475*44/12</f>
        <v>3.5076242726192004</v>
      </c>
      <c r="AX44" s="21">
        <f t="shared" si="6"/>
        <v>36.435528977418919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62.070476791752974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24.2</v>
      </c>
      <c r="BD44" s="12">
        <f>IF('Données projet'!$A$88&gt;35,BD43+BC44-BL43,IF(A44&lt;'Données projet'!$A$88,$BA$205^A44,IF(A44='Données projet'!$A$88,'Données projet'!$B$88,BD43+BC44-BL43)))</f>
        <v>401.19999999999993</v>
      </c>
      <c r="BE44" s="13">
        <f>BD44*VLOOKUP('Données projet'!$B$11,Paramètres!$A$1:$I$89,3,0)*VLOOKUP('Données projet'!$B$11,Paramètres!$A$1:$I$89,5,0)</f>
        <v>177.3304</v>
      </c>
      <c r="BF44" s="13">
        <f t="shared" si="37"/>
        <v>44.72773383028116</v>
      </c>
      <c r="BG44" s="20">
        <f t="shared" si="7"/>
        <v>386.75124975440627</v>
      </c>
      <c r="BH44" s="59">
        <f t="shared" si="8"/>
        <v>651.00966465750048</v>
      </c>
      <c r="BI44" s="59">
        <f ca="1">AVERAGE(OFFSET($BH$3,0,0,'Données projet'!$E$11+1,1))-AVERAGE(OFFSET($H$3,0,0,'Données projet'!$E$11+1,1))</f>
        <v>409.91320873873292</v>
      </c>
      <c r="BJ44" s="59">
        <f t="shared" si="38"/>
        <v>347.86310581860698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17.540407994053336</v>
      </c>
      <c r="BQ44" s="21">
        <f>EXP(-LN(2)/25)*BQ43+(1-EXP(-LN(2)/25))/(LN(2)/25)*Calculateur!BL44*Calculateur!BN44*VLOOKUP('Données projet'!$B$11,Paramètres!$A$1:$I$89,3,0)*0.475*44/12</f>
        <v>24.279153874527175</v>
      </c>
      <c r="BR44" s="21">
        <f>EXP(-LN(2)/2)*BR43+(1-EXP(-LN(2)/2))/(LN(2)/2)*BL44*BO44*VLOOKUP('Données projet'!$B$11,Paramètres!$A$1:$I$89,3,0)*0.475*44/12</f>
        <v>10.281410831670025</v>
      </c>
      <c r="BS44" s="22">
        <f t="shared" si="9"/>
        <v>52.10097270025053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62.070476791752974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62.070476791752974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62.070476791752974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62.070476791752974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62.070476791752974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62.070476791752974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62.070476791752974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3.25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11.916666666666666</v>
      </c>
      <c r="H45" s="67">
        <f t="shared" si="1"/>
        <v>209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62.208036291657976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450.49</v>
      </c>
      <c r="L45" s="12">
        <f>VLOOKUP(A45,'Données projet'!$A$35:$I$55,9,0)</f>
        <v>22.851428571428578</v>
      </c>
      <c r="M45" s="12">
        <f t="array" ref="M45">INDEX(L:L,MIN(IF(ISNUMBER(L45:L241),ROW(L45:L241),"")))</f>
        <v>22.851428571428578</v>
      </c>
      <c r="N45" s="13">
        <f>IF('Données projet'!$A$36&gt;35,N44+M45-V44,IF(A45&lt;'Données projet'!$A$36,$K$205^A45,IF(A45='Données projet'!$A$36,'Données projet'!$B$36,N44+M45-V44)))</f>
        <v>450.49000000000007</v>
      </c>
      <c r="O45" s="13">
        <f>N45*VLOOKUP('Données projet'!$B$9,Paramètres!$A$1:$I$89,3,0)*VLOOKUP('Données projet'!$B$9,Paramètres!$A$1:$I$89,5,0)</f>
        <v>251.82391000000004</v>
      </c>
      <c r="P45" s="13">
        <f t="shared" si="33"/>
        <v>60.976338340878812</v>
      </c>
      <c r="Q45" s="20">
        <f t="shared" si="53"/>
        <v>544.79376586036392</v>
      </c>
      <c r="R45" s="59">
        <f t="shared" si="0"/>
        <v>809.55656559644308</v>
      </c>
      <c r="S45" s="59">
        <f ca="1">AVERAGE(OFFSET($R$3,0,0,'Données projet'!$E$9+1,1))-AVERAGE(OFFSET($H$3,0,0,'Données projet'!$E$9+1,1))</f>
        <v>399.91876225849921</v>
      </c>
      <c r="T45" s="59">
        <f t="shared" si="34"/>
        <v>368.64132082233505</v>
      </c>
      <c r="U45" s="15">
        <f>IF(ISNA(VLOOKUP(A45,'Données projet'!$A$35:$I$55,3,0)),0,VLOOKUP(A45,'Données projet'!$A$35:$I$55,3,0))</f>
        <v>4</v>
      </c>
      <c r="V45" s="15">
        <f>IF(ISNA(VLOOKUP(A45,'Données projet'!$A$35:$I$55,4,0)),0,VLOOKUP(A45,'Données projet'!$A$35:$I$55,4,0))</f>
        <v>100.04000000000002</v>
      </c>
      <c r="W45" s="16">
        <f>IF(ISNA(VLOOKUP(A45,'Données projet'!$A$35:$I$55,5,0)),0%,VLOOKUP(A45,'Données projet'!$A$35:$I$55,5,0)*VLOOKUP('Données projet'!$B$9,Paramètres!$A$1:$I$89,7,0))</f>
        <v>0.33</v>
      </c>
      <c r="X45" s="16">
        <f>IF(ISNA(VLOOKUP(A45,'Données projet'!$A$35:$I$55,6,0)),0%,VLOOKUP(A45,'Données projet'!$A$35:$I$55,6,0)*VLOOKUP('Données projet'!$B$9,Paramètres!$A$1:$I$89,7,0))</f>
        <v>0.11000000000000001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52.523395338496876</v>
      </c>
      <c r="AA45" s="21">
        <f>EXP(-LN(2)/25)*AA44+(1-EXP(-LN(2)/25))/(LN(2)/25)*Calculateur!V45*Calculateur!X45*VLOOKUP('Données projet'!$B$9,Paramètres!$A$1:$I$89,3,0)*0.475*44/12</f>
        <v>26.250624715479255</v>
      </c>
      <c r="AB45" s="21">
        <f>EXP(-LN(2)/2)*AB44+(1-EXP(-LN(2)/2))/(LN(2)/2)*V45*Y45*VLOOKUP('Données projet'!$B$9,Paramètres!$A$1:$I$89,3,0)*0.475*44/12</f>
        <v>13.771287073109026</v>
      </c>
      <c r="AC45" s="22">
        <f t="shared" si="3"/>
        <v>92.545307127085152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62.208036291657976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29.8</v>
      </c>
      <c r="AI45" s="13">
        <f>IF('Données projet'!$A$62&gt;35,AI44+AH45-AQ44,IF(A45&lt;'Données projet'!$A$62,$AF$205^A45,IF(A45='Données projet'!$A$62,'Données projet'!$B$62,AI44+AH45-AQ44)))</f>
        <v>437.39999999999992</v>
      </c>
      <c r="AJ45" s="13">
        <f>AI45*VLOOKUP('Données projet'!$B$10,Paramètres!$A$1:$I$89,3,0)*VLOOKUP('Données projet'!$B$10,Paramètres!$A$1:$I$89,5,0)</f>
        <v>204.70319999999998</v>
      </c>
      <c r="AK45" s="13">
        <f t="shared" si="35"/>
        <v>50.776386315598728</v>
      </c>
      <c r="AL45" s="20">
        <f t="shared" si="4"/>
        <v>444.96027949966771</v>
      </c>
      <c r="AM45" s="59">
        <f t="shared" si="5"/>
        <v>709.72307923574692</v>
      </c>
      <c r="AN45" s="59">
        <f ca="1">AVERAGE(OFFSET($AM$3,0,0,'Données projet'!$E$10+1,1))-AVERAGE(OFFSET($H$3,0,0,'Données projet'!$E$10+1,1))</f>
        <v>280.35802808205239</v>
      </c>
      <c r="AO45" s="59">
        <f t="shared" si="36"/>
        <v>249.32129349927175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14.513129466327916</v>
      </c>
      <c r="AV45" s="21">
        <f>EXP(-LN(2)/25)*AV44+(1-EXP(-LN(2)/25))/(LN(2)/25)*Calculateur!AQ45*Calculateur!AS45*VLOOKUP('Données projet'!$B$10,Paramètres!$A$1:$I$89,3,0)*0.475*44/12</f>
        <v>17.628874178608015</v>
      </c>
      <c r="AW45" s="21">
        <f>EXP(-LN(2)/2)*AW44+(1-EXP(-LN(2)/2))/(LN(2)/2)*AQ45*AT45*VLOOKUP('Données projet'!$B$10,Paramètres!$A$1:$I$89,3,0)*0.475*44/12</f>
        <v>2.480264909023568</v>
      </c>
      <c r="AX45" s="21">
        <f t="shared" si="6"/>
        <v>34.622268553959501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62.208036291657976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24.2</v>
      </c>
      <c r="BD45" s="12">
        <f>IF('Données projet'!$A$88&gt;35,BD44+BC45-BL44,IF(A45&lt;'Données projet'!$A$88,$BA$205^A45,IF(A45='Données projet'!$A$88,'Données projet'!$B$88,BD44+BC45-BL44)))</f>
        <v>425.39999999999992</v>
      </c>
      <c r="BE45" s="13">
        <f>BD45*VLOOKUP('Données projet'!$B$11,Paramètres!$A$1:$I$89,3,0)*VLOOKUP('Données projet'!$B$11,Paramètres!$A$1:$I$89,5,0)</f>
        <v>188.02680000000001</v>
      </c>
      <c r="BF45" s="13">
        <f t="shared" si="37"/>
        <v>47.103441645351992</v>
      </c>
      <c r="BG45" s="20">
        <f t="shared" si="7"/>
        <v>409.51850419898801</v>
      </c>
      <c r="BH45" s="59">
        <f t="shared" si="8"/>
        <v>674.28130393506717</v>
      </c>
      <c r="BI45" s="59">
        <f ca="1">AVERAGE(OFFSET($BH$3,0,0,'Données projet'!$E$11+1,1))-AVERAGE(OFFSET($H$3,0,0,'Données projet'!$E$11+1,1))</f>
        <v>409.91320873873292</v>
      </c>
      <c r="BJ45" s="59">
        <f t="shared" si="38"/>
        <v>347.86310581860698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17.196451291882429</v>
      </c>
      <c r="BQ45" s="21">
        <f>EXP(-LN(2)/25)*BQ44+(1-EXP(-LN(2)/25))/(LN(2)/25)*Calculateur!BL45*Calculateur!BN45*VLOOKUP('Données projet'!$B$11,Paramètres!$A$1:$I$89,3,0)*0.475*44/12</f>
        <v>23.615239135043019</v>
      </c>
      <c r="BR45" s="21">
        <f>EXP(-LN(2)/2)*BR44+(1-EXP(-LN(2)/2))/(LN(2)/2)*BL45*BO45*VLOOKUP('Données projet'!$B$11,Paramètres!$A$1:$I$89,3,0)*0.475*44/12</f>
        <v>7.2700553192386961</v>
      </c>
      <c r="BS45" s="22">
        <f t="shared" si="9"/>
        <v>48.081745746164145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62.208036291657976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62.208036291657976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62.208036291657976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62.208036291657976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62.208036291657976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62.208036291657976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62.208036291657976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3.25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11.916666666666666</v>
      </c>
      <c r="H46" s="67">
        <f t="shared" si="1"/>
        <v>209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62.343209441776587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21.970000000000002</v>
      </c>
      <c r="N46" s="13">
        <f>IF('Données projet'!$A$36&gt;35,N45+M46-V45,IF(A46&lt;'Données projet'!$A$36,$K$205^A46,IF(A46='Données projet'!$A$36,'Données projet'!$B$36,N45+M46-V45)))</f>
        <v>372.42000000000007</v>
      </c>
      <c r="O46" s="13">
        <f>N46*VLOOKUP('Données projet'!$B$9,Paramètres!$A$1:$I$89,3,0)*VLOOKUP('Données projet'!$B$9,Paramètres!$A$1:$I$89,5,0)</f>
        <v>208.18278000000007</v>
      </c>
      <c r="P46" s="13">
        <f t="shared" si="33"/>
        <v>51.538276765249073</v>
      </c>
      <c r="Q46" s="20">
        <f t="shared" si="53"/>
        <v>452.34750719947556</v>
      </c>
      <c r="R46" s="59">
        <f t="shared" si="0"/>
        <v>717.60594181932311</v>
      </c>
      <c r="S46" s="59">
        <f ca="1">AVERAGE(OFFSET($R$3,0,0,'Données projet'!$E$9+1,1))-AVERAGE(OFFSET($H$3,0,0,'Données projet'!$E$9+1,1))</f>
        <v>399.91876225849921</v>
      </c>
      <c r="T46" s="59">
        <f t="shared" si="34"/>
        <v>368.64132082233505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51.493443592016803</v>
      </c>
      <c r="AA46" s="21">
        <f>EXP(-LN(2)/25)*AA45+(1-EXP(-LN(2)/25))/(LN(2)/25)*Calculateur!V46*Calculateur!X46*VLOOKUP('Données projet'!$B$9,Paramètres!$A$1:$I$89,3,0)*0.475*44/12</f>
        <v>25.532800002174117</v>
      </c>
      <c r="AB46" s="21">
        <f>EXP(-LN(2)/2)*AB45+(1-EXP(-LN(2)/2))/(LN(2)/2)*V46*Y46*VLOOKUP('Données projet'!$B$9,Paramètres!$A$1:$I$89,3,0)*0.475*44/12</f>
        <v>9.7377704750620353</v>
      </c>
      <c r="AC46" s="22">
        <f t="shared" si="3"/>
        <v>86.764014069252951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62.343209441776587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29.8</v>
      </c>
      <c r="AI46" s="13">
        <f>IF('Données projet'!$A$62&gt;35,AI45+AH46-AQ45,IF(A46&lt;'Données projet'!$A$62,$AF$205^A46,IF(A46='Données projet'!$A$62,'Données projet'!$B$62,AI45+AH46-AQ45)))</f>
        <v>467.19999999999993</v>
      </c>
      <c r="AJ46" s="13">
        <f>AI46*VLOOKUP('Données projet'!$B$10,Paramètres!$A$1:$I$89,3,0)*VLOOKUP('Données projet'!$B$10,Paramètres!$A$1:$I$89,5,0)</f>
        <v>218.64959999999999</v>
      </c>
      <c r="AK46" s="13">
        <f t="shared" si="35"/>
        <v>53.821277860805893</v>
      </c>
      <c r="AL46" s="20">
        <f t="shared" si="4"/>
        <v>474.55344560757021</v>
      </c>
      <c r="AM46" s="59">
        <f t="shared" si="5"/>
        <v>739.81188022741776</v>
      </c>
      <c r="AN46" s="59">
        <f ca="1">AVERAGE(OFFSET($AM$3,0,0,'Données projet'!$E$10+1,1))-AVERAGE(OFFSET($H$3,0,0,'Données projet'!$E$10+1,1))</f>
        <v>280.35802808205239</v>
      </c>
      <c r="AO46" s="59">
        <f t="shared" si="36"/>
        <v>249.32129349927175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14.228535849628125</v>
      </c>
      <c r="AV46" s="21">
        <f>EXP(-LN(2)/25)*AV45+(1-EXP(-LN(2)/25))/(LN(2)/25)*Calculateur!AQ46*Calculateur!AS46*VLOOKUP('Données projet'!$B$10,Paramètres!$A$1:$I$89,3,0)*0.475*44/12</f>
        <v>17.146811687131777</v>
      </c>
      <c r="AW46" s="21">
        <f>EXP(-LN(2)/2)*AW45+(1-EXP(-LN(2)/2))/(LN(2)/2)*AQ46*AT46*VLOOKUP('Données projet'!$B$10,Paramètres!$A$1:$I$89,3,0)*0.475*44/12</f>
        <v>1.7538121363096004</v>
      </c>
      <c r="AX46" s="21">
        <f t="shared" si="6"/>
        <v>33.129159673069502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62.343209441776587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24.2</v>
      </c>
      <c r="BD46" s="12">
        <f>IF('Données projet'!$A$88&gt;35,BD45+BC46-BL45,IF(A46&lt;'Données projet'!$A$88,$BA$205^A46,IF(A46='Données projet'!$A$88,'Données projet'!$B$88,BD45+BC46-BL45)))</f>
        <v>449.59999999999991</v>
      </c>
      <c r="BE46" s="13">
        <f>BD46*VLOOKUP('Données projet'!$B$11,Paramètres!$A$1:$I$89,3,0)*VLOOKUP('Données projet'!$B$11,Paramètres!$A$1:$I$89,5,0)</f>
        <v>198.72319999999996</v>
      </c>
      <c r="BF46" s="13">
        <f t="shared" si="37"/>
        <v>49.463461224416463</v>
      </c>
      <c r="BG46" s="20">
        <f t="shared" si="7"/>
        <v>432.25843496585861</v>
      </c>
      <c r="BH46" s="59">
        <f t="shared" si="8"/>
        <v>697.5168695857061</v>
      </c>
      <c r="BI46" s="59">
        <f ca="1">AVERAGE(OFFSET($BH$3,0,0,'Données projet'!$E$11+1,1))-AVERAGE(OFFSET($H$3,0,0,'Données projet'!$E$11+1,1))</f>
        <v>409.91320873873292</v>
      </c>
      <c r="BJ46" s="59">
        <f t="shared" si="38"/>
        <v>347.86310581860698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16.859239370848218</v>
      </c>
      <c r="BQ46" s="21">
        <f>EXP(-LN(2)/25)*BQ45+(1-EXP(-LN(2)/25))/(LN(2)/25)*Calculateur!BL46*Calculateur!BN46*VLOOKUP('Données projet'!$B$11,Paramètres!$A$1:$I$89,3,0)*0.475*44/12</f>
        <v>22.969479179023814</v>
      </c>
      <c r="BR46" s="21">
        <f>EXP(-LN(2)/2)*BR45+(1-EXP(-LN(2)/2))/(LN(2)/2)*BL46*BO46*VLOOKUP('Données projet'!$B$11,Paramètres!$A$1:$I$89,3,0)*0.475*44/12</f>
        <v>5.1407054158350132</v>
      </c>
      <c r="BS46" s="22">
        <f t="shared" si="9"/>
        <v>44.969423965707051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62.343209441776587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62.343209441776587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62.343209441776587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62.343209441776587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62.343209441776587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62.343209441776587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62.343209441776587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3.25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11.916666666666666</v>
      </c>
      <c r="H47" s="67">
        <f t="shared" si="1"/>
        <v>209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62.476037639942547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21.970000000000002</v>
      </c>
      <c r="N47" s="13">
        <f>IF('Données projet'!$A$36&gt;35,N46+M47-V46,IF(A47&lt;'Données projet'!$A$36,$K$205^A47,IF(A47='Données projet'!$A$36,'Données projet'!$B$36,N46+M47-V46)))</f>
        <v>394.3900000000001</v>
      </c>
      <c r="O47" s="13">
        <f>N47*VLOOKUP('Données projet'!$B$9,Paramètres!$A$1:$I$89,3,0)*VLOOKUP('Données projet'!$B$9,Paramètres!$A$1:$I$89,5,0)</f>
        <v>220.46401000000006</v>
      </c>
      <c r="P47" s="13">
        <f t="shared" si="33"/>
        <v>54.215723631671224</v>
      </c>
      <c r="Q47" s="20">
        <f t="shared" si="53"/>
        <v>478.4005360751608</v>
      </c>
      <c r="R47" s="59">
        <f t="shared" si="0"/>
        <v>744.14600742161679</v>
      </c>
      <c r="S47" s="59">
        <f ca="1">AVERAGE(OFFSET($R$3,0,0,'Données projet'!$E$9+1,1))-AVERAGE(OFFSET($H$3,0,0,'Données projet'!$E$9+1,1))</f>
        <v>399.91876225849921</v>
      </c>
      <c r="T47" s="59">
        <f t="shared" si="34"/>
        <v>368.64132082233505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50.483688571076669</v>
      </c>
      <c r="AA47" s="21">
        <f>EXP(-LN(2)/25)*AA46+(1-EXP(-LN(2)/25))/(LN(2)/25)*Calculateur!V47*Calculateur!X47*VLOOKUP('Données projet'!$B$9,Paramètres!$A$1:$I$89,3,0)*0.475*44/12</f>
        <v>24.834604243403071</v>
      </c>
      <c r="AB47" s="21">
        <f>EXP(-LN(2)/2)*AB46+(1-EXP(-LN(2)/2))/(LN(2)/2)*V47*Y47*VLOOKUP('Données projet'!$B$9,Paramètres!$A$1:$I$89,3,0)*0.475*44/12</f>
        <v>6.8856435365545137</v>
      </c>
      <c r="AC47" s="22">
        <f t="shared" si="3"/>
        <v>82.203936351034258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62.476037639942547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497</v>
      </c>
      <c r="AG47" s="12">
        <f>VLOOKUP(A47,'Données projet'!$A$61:$I$81,9,0)</f>
        <v>29.8</v>
      </c>
      <c r="AH47" s="12">
        <f t="array" ref="AH47">INDEX(AG:AG,MIN(IF(ISNUMBER(AG47:AG243),ROW(AG47:AG243),"")))</f>
        <v>29.8</v>
      </c>
      <c r="AI47" s="13">
        <f>IF('Données projet'!$A$62&gt;35,AI46+AH47-AQ46,IF(A47&lt;'Données projet'!$A$62,$AF$205^A47,IF(A47='Données projet'!$A$62,'Données projet'!$B$62,AI46+AH47-AQ46)))</f>
        <v>496.99999999999994</v>
      </c>
      <c r="AJ47" s="13">
        <f>AI47*VLOOKUP('Données projet'!$B$10,Paramètres!$A$1:$I$89,3,0)*VLOOKUP('Données projet'!$B$10,Paramètres!$A$1:$I$89,5,0)</f>
        <v>232.59599999999995</v>
      </c>
      <c r="AK47" s="13">
        <f t="shared" si="35"/>
        <v>56.843630236302218</v>
      </c>
      <c r="AL47" s="20">
        <f t="shared" si="4"/>
        <v>504.10735599489294</v>
      </c>
      <c r="AM47" s="59">
        <f t="shared" si="5"/>
        <v>769.85282734134898</v>
      </c>
      <c r="AN47" s="59">
        <f ca="1">AVERAGE(OFFSET($AM$3,0,0,'Données projet'!$E$10+1,1))-AVERAGE(OFFSET($H$3,0,0,'Données projet'!$E$10+1,1))</f>
        <v>280.35802808205239</v>
      </c>
      <c r="AO47" s="59">
        <f t="shared" si="36"/>
        <v>249.32129349927175</v>
      </c>
      <c r="AP47" s="15">
        <f>IF(ISNA(VLOOKUP(A47,'Données projet'!$A$61:$I$81,3,0)),0,VLOOKUP(A47,'Données projet'!$A$61:$I$81,3,0))</f>
        <v>5</v>
      </c>
      <c r="AQ47" s="15">
        <f>IF(ISNA(VLOOKUP(A47,'Données projet'!$A$61:$I$81,4,0)),0,VLOOKUP(A47,'Données projet'!$A$61:$I$81,4,0))</f>
        <v>53</v>
      </c>
      <c r="AR47" s="16">
        <f>IF(ISNA(VLOOKUP(A47,'Données projet'!$A$61:$I$81,5,0)),0%,VLOOKUP(A47,'Données projet'!$A$61:$I$81,5,0)*VLOOKUP('Données projet'!$B$10,Paramètres!$A$1:$I$89,7,0))</f>
        <v>0.1925</v>
      </c>
      <c r="AS47" s="16">
        <f>IF(ISNA(VLOOKUP(A47,'Données projet'!$A$61:$I$81,6,0)),0%,VLOOKUP(A47,'Données projet'!$A$61:$I$81,6,0)*VLOOKUP('Données projet'!$B$10,Paramètres!$A$1:$I$89,7,0))</f>
        <v>8.2500000000000004E-2</v>
      </c>
      <c r="AT47" s="16">
        <f>IF(ISNA(VLOOKUP(A47,'Données projet'!$A$61:$I$81,7,0)),0%,VLOOKUP(A47,'Données projet'!$A$61:$I$81,7,0))</f>
        <v>0.15</v>
      </c>
      <c r="AU47" s="21">
        <f>EXP(-LN(2)/35)*AU46+(1-EXP(-LN(2)/35))/(LN(2)/35)*AQ47*AR47*VLOOKUP('Données projet'!$B$10,Paramètres!$A$1:$I$89,3,0)*0.475*44/12</f>
        <v>20.283563105065905</v>
      </c>
      <c r="AV47" s="21">
        <f>EXP(-LN(2)/25)*AV46+(1-EXP(-LN(2)/25))/(LN(2)/25)*Calculateur!AQ47*Calculateur!AS47*VLOOKUP('Données projet'!$B$10,Paramètres!$A$1:$I$89,3,0)*0.475*44/12</f>
        <v>19.381831492111807</v>
      </c>
      <c r="AW47" s="21">
        <f>EXP(-LN(2)/2)*AW46+(1-EXP(-LN(2)/2))/(LN(2)/2)*AQ47*AT47*VLOOKUP('Données projet'!$B$10,Paramètres!$A$1:$I$89,3,0)*0.475*44/12</f>
        <v>5.4527159406887531</v>
      </c>
      <c r="AX47" s="21">
        <f t="shared" si="6"/>
        <v>45.118110537866464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62.476037639942547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24.2</v>
      </c>
      <c r="BD47" s="12">
        <f>IF('Données projet'!$A$88&gt;35,BD46+BC47-BL46,IF(A47&lt;'Données projet'!$A$88,$BA$205^A47,IF(A47='Données projet'!$A$88,'Données projet'!$B$88,BD46+BC47-BL46)))</f>
        <v>473.7999999999999</v>
      </c>
      <c r="BE47" s="13">
        <f>BD47*VLOOKUP('Données projet'!$B$11,Paramètres!$A$1:$I$89,3,0)*VLOOKUP('Données projet'!$B$11,Paramètres!$A$1:$I$89,5,0)</f>
        <v>209.41959999999997</v>
      </c>
      <c r="BF47" s="13">
        <f t="shared" si="37"/>
        <v>51.808733273237316</v>
      </c>
      <c r="BG47" s="20">
        <f t="shared" si="7"/>
        <v>454.97268045088828</v>
      </c>
      <c r="BH47" s="59">
        <f t="shared" si="8"/>
        <v>720.71815179734426</v>
      </c>
      <c r="BI47" s="59">
        <f ca="1">AVERAGE(OFFSET($BH$3,0,0,'Données projet'!$E$11+1,1))-AVERAGE(OFFSET($H$3,0,0,'Données projet'!$E$11+1,1))</f>
        <v>409.91320873873292</v>
      </c>
      <c r="BJ47" s="59">
        <f t="shared" si="38"/>
        <v>347.86310581860698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16.528639969906529</v>
      </c>
      <c r="BQ47" s="21">
        <f>EXP(-LN(2)/25)*BQ46+(1-EXP(-LN(2)/25))/(LN(2)/25)*Calculateur!BL47*Calculateur!BN47*VLOOKUP('Données projet'!$B$11,Paramètres!$A$1:$I$89,3,0)*0.475*44/12</f>
        <v>22.341377562960997</v>
      </c>
      <c r="BR47" s="21">
        <f>EXP(-LN(2)/2)*BR46+(1-EXP(-LN(2)/2))/(LN(2)/2)*BL47*BO47*VLOOKUP('Données projet'!$B$11,Paramètres!$A$1:$I$89,3,0)*0.475*44/12</f>
        <v>3.6350276596193489</v>
      </c>
      <c r="BS47" s="22">
        <f t="shared" si="9"/>
        <v>42.505045192486868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62.476037639942547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62.476037639942547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62.476037639942547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62.476037639942547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62.476037639942547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62.476037639942547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62.476037639942547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3.25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11.916666666666666</v>
      </c>
      <c r="H48" s="67">
        <f t="shared" si="1"/>
        <v>209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62.606561565829686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21.970000000000002</v>
      </c>
      <c r="N48" s="13">
        <f>IF('Données projet'!$A$36&gt;35,N47+M48-V47,IF(A48&lt;'Données projet'!$A$36,$K$205^A48,IF(A48='Données projet'!$A$36,'Données projet'!$B$36,N47+M48-V47)))</f>
        <v>416.36000000000013</v>
      </c>
      <c r="O48" s="13">
        <f>N48*VLOOKUP('Données projet'!$B$9,Paramètres!$A$1:$I$89,3,0)*VLOOKUP('Données projet'!$B$9,Paramètres!$A$1:$I$89,5,0)</f>
        <v>232.74524000000008</v>
      </c>
      <c r="P48" s="13">
        <f t="shared" si="33"/>
        <v>56.875856080072602</v>
      </c>
      <c r="Q48" s="20">
        <f t="shared" si="53"/>
        <v>504.42340900612658</v>
      </c>
      <c r="R48" s="59">
        <f t="shared" si="0"/>
        <v>770.64746808083532</v>
      </c>
      <c r="S48" s="59">
        <f ca="1">AVERAGE(OFFSET($R$3,0,0,'Données projet'!$E$9+1,1))-AVERAGE(OFFSET($H$3,0,0,'Données projet'!$E$9+1,1))</f>
        <v>399.91876225849921</v>
      </c>
      <c r="T48" s="59">
        <f t="shared" si="34"/>
        <v>368.64132082233505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49.493734230207423</v>
      </c>
      <c r="AA48" s="21">
        <f>EXP(-LN(2)/25)*AA47+(1-EXP(-LN(2)/25))/(LN(2)/25)*Calculateur!V48*Calculateur!X48*VLOOKUP('Données projet'!$B$9,Paramètres!$A$1:$I$89,3,0)*0.475*44/12</f>
        <v>24.155500684372136</v>
      </c>
      <c r="AB48" s="21">
        <f>EXP(-LN(2)/2)*AB47+(1-EXP(-LN(2)/2))/(LN(2)/2)*V48*Y48*VLOOKUP('Données projet'!$B$9,Paramètres!$A$1:$I$89,3,0)*0.475*44/12</f>
        <v>4.8688852375310177</v>
      </c>
      <c r="AC48" s="22">
        <f t="shared" si="3"/>
        <v>78.518120152110569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62.606561565829686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25.333333333333332</v>
      </c>
      <c r="AI48" s="13">
        <f>IF('Données projet'!$A$62&gt;35,AI47+AH48-AQ47,IF(A48&lt;'Données projet'!$A$62,$AF$205^A48,IF(A48='Données projet'!$A$62,'Données projet'!$B$62,AI47+AH48-AQ47)))</f>
        <v>469.33333333333326</v>
      </c>
      <c r="AJ48" s="13">
        <f>AI48*VLOOKUP('Données projet'!$B$10,Paramètres!$A$1:$I$89,3,0)*VLOOKUP('Données projet'!$B$10,Paramètres!$A$1:$I$89,5,0)</f>
        <v>219.64799999999997</v>
      </c>
      <c r="AK48" s="13">
        <f t="shared" si="35"/>
        <v>54.03837313132572</v>
      </c>
      <c r="AL48" s="20">
        <f t="shared" si="4"/>
        <v>476.67043320372562</v>
      </c>
      <c r="AM48" s="59">
        <f t="shared" si="5"/>
        <v>742.89449227843443</v>
      </c>
      <c r="AN48" s="59">
        <f ca="1">AVERAGE(OFFSET($AM$3,0,0,'Données projet'!$E$10+1,1))-AVERAGE(OFFSET($H$3,0,0,'Données projet'!$E$10+1,1))</f>
        <v>280.35802808205239</v>
      </c>
      <c r="AO48" s="59">
        <f t="shared" si="36"/>
        <v>249.32129349927175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19.885814804327449</v>
      </c>
      <c r="AV48" s="21">
        <f>EXP(-LN(2)/25)*AV47+(1-EXP(-LN(2)/25))/(LN(2)/25)*Calculateur!AQ48*Calculateur!AS48*VLOOKUP('Données projet'!$B$10,Paramètres!$A$1:$I$89,3,0)*0.475*44/12</f>
        <v>18.851834290713789</v>
      </c>
      <c r="AW48" s="21">
        <f>EXP(-LN(2)/2)*AW47+(1-EXP(-LN(2)/2))/(LN(2)/2)*AQ48*AT48*VLOOKUP('Données projet'!$B$10,Paramètres!$A$1:$I$89,3,0)*0.475*44/12</f>
        <v>3.8556524175450022</v>
      </c>
      <c r="AX48" s="21">
        <f t="shared" si="6"/>
        <v>42.593301512586237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62.606561565829686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498</v>
      </c>
      <c r="BB48" s="12">
        <f>VLOOKUP(A48,'Données projet'!$A$87:$I$107,9,0)</f>
        <v>24.2</v>
      </c>
      <c r="BC48" s="12">
        <f t="array" ref="BC48">INDEX(BB:BB,MIN(IF(ISNUMBER(BB48:BB244),ROW(BB48:BB244),"")))</f>
        <v>24.2</v>
      </c>
      <c r="BD48" s="12">
        <f>IF('Données projet'!$A$88&gt;35,BD47+BC48-BL47,IF(A48&lt;'Données projet'!$A$88,$BA$205^A48,IF(A48='Données projet'!$A$88,'Données projet'!$B$88,BD47+BC48-BL47)))</f>
        <v>497.99999999999989</v>
      </c>
      <c r="BE48" s="13">
        <f>BD48*VLOOKUP('Données projet'!$B$11,Paramètres!$A$1:$I$89,3,0)*VLOOKUP('Données projet'!$B$11,Paramètres!$A$1:$I$89,5,0)</f>
        <v>220.11599999999996</v>
      </c>
      <c r="BF48" s="13">
        <f t="shared" si="37"/>
        <v>54.140096973925921</v>
      </c>
      <c r="BG48" s="20">
        <f t="shared" si="7"/>
        <v>477.66270222958752</v>
      </c>
      <c r="BH48" s="59">
        <f t="shared" si="8"/>
        <v>743.88676130429633</v>
      </c>
      <c r="BI48" s="59">
        <f ca="1">AVERAGE(OFFSET($BH$3,0,0,'Données projet'!$E$11+1,1))-AVERAGE(OFFSET($H$3,0,0,'Données projet'!$E$11+1,1))</f>
        <v>409.91320873873292</v>
      </c>
      <c r="BJ48" s="59">
        <f t="shared" si="38"/>
        <v>347.86310581860698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63</v>
      </c>
      <c r="BM48" s="16">
        <f>IF(ISNA(VLOOKUP(A48,'Données projet'!$A$87:$I$107,5,0)),0%,VLOOKUP(A48,'Données projet'!$A$87:$I$107,5,0)*VLOOKUP('Données projet'!$B$11,Paramètres!$A$1:$I$89,7,0))</f>
        <v>0.33</v>
      </c>
      <c r="BN48" s="16">
        <f>IF(ISNA(VLOOKUP(A48,'Données projet'!$A$87:$I$107,6,0)),0%,VLOOKUP(A48,'Données projet'!$A$87:$I$107,6,0)*VLOOKUP('Données projet'!$B$11,Paramètres!$A$1:$I$89,7,0))</f>
        <v>0.11000000000000001</v>
      </c>
      <c r="BO48" s="16">
        <f>IF(ISNA(VLOOKUP(A48,'Données projet'!$A$87:$I$107,7,0)),0%,VLOOKUP(A48,'Données projet'!$A$87:$I$107,7,0))</f>
        <v>0.2</v>
      </c>
      <c r="BP48" s="21">
        <f>EXP(-LN(2)/35)*BP47+(1-EXP(-LN(2)/35))/(LN(2)/35)*BL48*BM48*VLOOKUP('Données projet'!$B$11,Paramètres!$A$1:$I$89,3,0)*0.475*44/12</f>
        <v>28.394562984207496</v>
      </c>
      <c r="BQ48" s="21">
        <f>EXP(-LN(2)/25)*BQ47+(1-EXP(-LN(2)/25))/(LN(2)/25)*Calculateur!BL48*Calculateur!BN48*VLOOKUP('Données projet'!$B$11,Paramètres!$A$1:$I$89,3,0)*0.475*44/12</f>
        <v>25.777798995989379</v>
      </c>
      <c r="BR48" s="21">
        <f>EXP(-LN(2)/2)*BR47+(1-EXP(-LN(2)/2))/(LN(2)/2)*BL48*BO48*VLOOKUP('Données projet'!$B$11,Paramètres!$A$1:$I$89,3,0)*0.475*44/12</f>
        <v>8.8759808193019012</v>
      </c>
      <c r="BS48" s="22">
        <f t="shared" si="9"/>
        <v>63.048342799498776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62.606561565829686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62.606561565829686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62.606561565829686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62.606561565829686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62.606561565829686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62.606561565829686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62.606561565829686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3.25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11.916666666666666</v>
      </c>
      <c r="H49" s="67">
        <f t="shared" si="1"/>
        <v>209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62.734821193410461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21.970000000000002</v>
      </c>
      <c r="N49" s="13">
        <f>IF('Données projet'!$A$36&gt;35,N48+M49-V48,IF(A49&lt;'Données projet'!$A$36,$K$205^A49,IF(A49='Données projet'!$A$36,'Données projet'!$B$36,N48+M49-V48)))</f>
        <v>438.33000000000015</v>
      </c>
      <c r="O49" s="13">
        <f>N49*VLOOKUP('Données projet'!$B$9,Paramètres!$A$1:$I$89,3,0)*VLOOKUP('Données projet'!$B$9,Paramètres!$A$1:$I$89,5,0)</f>
        <v>245.02647000000007</v>
      </c>
      <c r="P49" s="13">
        <f t="shared" si="33"/>
        <v>59.519691926533838</v>
      </c>
      <c r="Q49" s="20">
        <f t="shared" si="53"/>
        <v>530.41789868871319</v>
      </c>
      <c r="R49" s="59">
        <f t="shared" si="0"/>
        <v>797.11224306455154</v>
      </c>
      <c r="S49" s="59">
        <f ca="1">AVERAGE(OFFSET($R$3,0,0,'Données projet'!$E$9+1,1))-AVERAGE(OFFSET($H$3,0,0,'Données projet'!$E$9+1,1))</f>
        <v>399.91876225849921</v>
      </c>
      <c r="T49" s="59">
        <f t="shared" si="34"/>
        <v>368.64132082233505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48.523192290150099</v>
      </c>
      <c r="AA49" s="21">
        <f>EXP(-LN(2)/25)*AA48+(1-EXP(-LN(2)/25))/(LN(2)/25)*Calculateur!V49*Calculateur!X49*VLOOKUP('Données projet'!$B$9,Paramètres!$A$1:$I$89,3,0)*0.475*44/12</f>
        <v>23.494967247875408</v>
      </c>
      <c r="AB49" s="21">
        <f>EXP(-LN(2)/2)*AB48+(1-EXP(-LN(2)/2))/(LN(2)/2)*V49*Y49*VLOOKUP('Données projet'!$B$9,Paramètres!$A$1:$I$89,3,0)*0.475*44/12</f>
        <v>3.4428217682772568</v>
      </c>
      <c r="AC49" s="22">
        <f t="shared" si="3"/>
        <v>75.46098130630277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62.734821193410461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25.333333333333332</v>
      </c>
      <c r="AI49" s="13">
        <f>IF('Données projet'!$A$62&gt;35,AI48+AH49-AQ48,IF(A49&lt;'Données projet'!$A$62,$AF$205^A49,IF(A49='Données projet'!$A$62,'Données projet'!$B$62,AI48+AH49-AQ48)))</f>
        <v>494.66666666666657</v>
      </c>
      <c r="AJ49" s="13">
        <f>AI49*VLOOKUP('Données projet'!$B$10,Paramètres!$A$1:$I$89,3,0)*VLOOKUP('Données projet'!$B$10,Paramètres!$A$1:$I$89,5,0)</f>
        <v>231.50399999999996</v>
      </c>
      <c r="AK49" s="13">
        <f t="shared" si="35"/>
        <v>56.607758031045634</v>
      </c>
      <c r="AL49" s="20">
        <f t="shared" si="4"/>
        <v>501.79464523740444</v>
      </c>
      <c r="AM49" s="59">
        <f t="shared" si="5"/>
        <v>768.48898961324278</v>
      </c>
      <c r="AN49" s="59">
        <f ca="1">AVERAGE(OFFSET($AM$3,0,0,'Données projet'!$E$10+1,1))-AVERAGE(OFFSET($H$3,0,0,'Données projet'!$E$10+1,1))</f>
        <v>280.35802808205239</v>
      </c>
      <c r="AO49" s="59">
        <f t="shared" si="36"/>
        <v>249.32129349927175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19.495866105163966</v>
      </c>
      <c r="AV49" s="21">
        <f>EXP(-LN(2)/25)*AV48+(1-EXP(-LN(2)/25))/(LN(2)/25)*Calculateur!AQ49*Calculateur!AS49*VLOOKUP('Données projet'!$B$10,Paramètres!$A$1:$I$89,3,0)*0.475*44/12</f>
        <v>18.336329890659343</v>
      </c>
      <c r="AW49" s="21">
        <f>EXP(-LN(2)/2)*AW48+(1-EXP(-LN(2)/2))/(LN(2)/2)*AQ49*AT49*VLOOKUP('Données projet'!$B$10,Paramètres!$A$1:$I$89,3,0)*0.475*44/12</f>
        <v>2.726357970344377</v>
      </c>
      <c r="AX49" s="21">
        <f t="shared" si="6"/>
        <v>40.558553966167686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62.734821193410461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22.8</v>
      </c>
      <c r="BD49" s="12">
        <f>IF('Données projet'!$A$88&gt;35,BD48+BC49-BL48,IF(A49&lt;'Données projet'!$A$88,$BA$205^A49,IF(A49='Données projet'!$A$88,'Données projet'!$B$88,BD48+BC49-BL48)))</f>
        <v>457.79999999999984</v>
      </c>
      <c r="BE49" s="13">
        <f>BD49*VLOOKUP('Données projet'!$B$11,Paramètres!$A$1:$I$89,3,0)*VLOOKUP('Données projet'!$B$11,Paramètres!$A$1:$I$89,5,0)</f>
        <v>202.34759999999994</v>
      </c>
      <c r="BF49" s="13">
        <f t="shared" si="37"/>
        <v>50.259748221306481</v>
      </c>
      <c r="BG49" s="20">
        <f t="shared" si="7"/>
        <v>439.95779815210875</v>
      </c>
      <c r="BH49" s="59">
        <f t="shared" si="8"/>
        <v>706.65214252794703</v>
      </c>
      <c r="BI49" s="59">
        <f ca="1">AVERAGE(OFFSET($BH$3,0,0,'Données projet'!$E$11+1,1))-AVERAGE(OFFSET($H$3,0,0,'Données projet'!$E$11+1,1))</f>
        <v>409.91320873873292</v>
      </c>
      <c r="BJ49" s="59">
        <f t="shared" si="38"/>
        <v>347.86310581860698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27.837762923060502</v>
      </c>
      <c r="BQ49" s="21">
        <f>EXP(-LN(2)/25)*BQ48+(1-EXP(-LN(2)/25))/(LN(2)/25)*Calculateur!BL49*Calculateur!BN49*VLOOKUP('Données projet'!$B$11,Paramètres!$A$1:$I$89,3,0)*0.475*44/12</f>
        <v>25.072903726848516</v>
      </c>
      <c r="BR49" s="21">
        <f>EXP(-LN(2)/2)*BR48+(1-EXP(-LN(2)/2))/(LN(2)/2)*BL49*BO49*VLOOKUP('Données projet'!$B$11,Paramètres!$A$1:$I$89,3,0)*0.475*44/12</f>
        <v>6.2762662270101028</v>
      </c>
      <c r="BS49" s="22">
        <f t="shared" si="9"/>
        <v>59.186932876919123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62.734821193410461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62.734821193410461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62.734821193410461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62.734821193410461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62.734821193410461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62.734821193410461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62.734821193410461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3.25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11.916666666666666</v>
      </c>
      <c r="H50" s="67">
        <f t="shared" si="1"/>
        <v>209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62.860855803198277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21.970000000000002</v>
      </c>
      <c r="N50" s="13">
        <f>IF('Données projet'!$A$36&gt;35,N49+M50-V49,IF(A50&lt;'Données projet'!$A$36,$K$205^A50,IF(A50='Données projet'!$A$36,'Données projet'!$B$36,N49+M50-V49)))</f>
        <v>460.30000000000018</v>
      </c>
      <c r="O50" s="13">
        <f>N50*VLOOKUP('Données projet'!$B$9,Paramètres!$A$1:$I$89,3,0)*VLOOKUP('Données projet'!$B$9,Paramètres!$A$1:$I$89,5,0)</f>
        <v>257.30770000000012</v>
      </c>
      <c r="P50" s="13">
        <f t="shared" si="33"/>
        <v>62.148141193508692</v>
      </c>
      <c r="Q50" s="20">
        <f t="shared" si="53"/>
        <v>556.38559007869458</v>
      </c>
      <c r="R50" s="59">
        <f t="shared" si="0"/>
        <v>823.54206135708819</v>
      </c>
      <c r="S50" s="59">
        <f ca="1">AVERAGE(OFFSET($R$3,0,0,'Données projet'!$E$9+1,1))-AVERAGE(OFFSET($H$3,0,0,'Données projet'!$E$9+1,1))</f>
        <v>399.91876225849921</v>
      </c>
      <c r="T50" s="59">
        <f t="shared" si="34"/>
        <v>368.64132082233505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47.571682085565172</v>
      </c>
      <c r="AA50" s="21">
        <f>EXP(-LN(2)/25)*AA49+(1-EXP(-LN(2)/25))/(LN(2)/25)*Calculateur!V50*Calculateur!X50*VLOOKUP('Données projet'!$B$9,Paramètres!$A$1:$I$89,3,0)*0.475*44/12</f>
        <v>22.852496132935627</v>
      </c>
      <c r="AB50" s="21">
        <f>EXP(-LN(2)/2)*AB49+(1-EXP(-LN(2)/2))/(LN(2)/2)*V50*Y50*VLOOKUP('Données projet'!$B$9,Paramètres!$A$1:$I$89,3,0)*0.475*44/12</f>
        <v>2.4344426187655088</v>
      </c>
      <c r="AC50" s="22">
        <f t="shared" si="3"/>
        <v>72.858620837266301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62.860855803198277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25.333333333333332</v>
      </c>
      <c r="AI50" s="13">
        <f>IF('Données projet'!$A$62&gt;35,AI49+AH50-AQ49,IF(A50&lt;'Données projet'!$A$62,$AF$205^A50,IF(A50='Données projet'!$A$62,'Données projet'!$B$62,AI49+AH50-AQ49)))</f>
        <v>519.99999999999989</v>
      </c>
      <c r="AJ50" s="13">
        <f>AI50*VLOOKUP('Données projet'!$B$10,Paramètres!$A$1:$I$89,3,0)*VLOOKUP('Données projet'!$B$10,Paramètres!$A$1:$I$89,5,0)</f>
        <v>243.35999999999996</v>
      </c>
      <c r="AK50" s="13">
        <f t="shared" si="35"/>
        <v>59.161864860837127</v>
      </c>
      <c r="AL50" s="20">
        <f t="shared" si="4"/>
        <v>526.89224796595784</v>
      </c>
      <c r="AM50" s="59">
        <f t="shared" si="5"/>
        <v>794.04871924435156</v>
      </c>
      <c r="AN50" s="59">
        <f ca="1">AVERAGE(OFFSET($AM$3,0,0,'Données projet'!$E$10+1,1))-AVERAGE(OFFSET($H$3,0,0,'Données projet'!$E$10+1,1))</f>
        <v>280.35802808205239</v>
      </c>
      <c r="AO50" s="59">
        <f t="shared" si="36"/>
        <v>249.32129349927175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19.113564062145855</v>
      </c>
      <c r="AV50" s="21">
        <f>EXP(-LN(2)/25)*AV49+(1-EXP(-LN(2)/25))/(LN(2)/25)*Calculateur!AQ50*Calculateur!AS50*VLOOKUP('Données projet'!$B$10,Paramètres!$A$1:$I$89,3,0)*0.475*44/12</f>
        <v>17.834921985533583</v>
      </c>
      <c r="AW50" s="21">
        <f>EXP(-LN(2)/2)*AW49+(1-EXP(-LN(2)/2))/(LN(2)/2)*AQ50*AT50*VLOOKUP('Données projet'!$B$10,Paramètres!$A$1:$I$89,3,0)*0.475*44/12</f>
        <v>1.9278262087725013</v>
      </c>
      <c r="AX50" s="21">
        <f t="shared" si="6"/>
        <v>38.876312256451939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62.860855803198277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22.8</v>
      </c>
      <c r="BD50" s="12">
        <f>IF('Données projet'!$A$88&gt;35,BD49+BC50-BL49,IF(A50&lt;'Données projet'!$A$88,$BA$205^A50,IF(A50='Données projet'!$A$88,'Données projet'!$B$88,BD49+BC50-BL49)))</f>
        <v>480.59999999999985</v>
      </c>
      <c r="BE50" s="13">
        <f>BD50*VLOOKUP('Données projet'!$B$11,Paramètres!$A$1:$I$89,3,0)*VLOOKUP('Données projet'!$B$11,Paramètres!$A$1:$I$89,5,0)</f>
        <v>212.42519999999996</v>
      </c>
      <c r="BF50" s="13">
        <f t="shared" si="37"/>
        <v>52.465198231787184</v>
      </c>
      <c r="BG50" s="20">
        <f t="shared" si="7"/>
        <v>461.35077692036253</v>
      </c>
      <c r="BH50" s="59">
        <f t="shared" si="8"/>
        <v>728.5072481987562</v>
      </c>
      <c r="BI50" s="59">
        <f ca="1">AVERAGE(OFFSET($BH$3,0,0,'Données projet'!$E$11+1,1))-AVERAGE(OFFSET($H$3,0,0,'Données projet'!$E$11+1,1))</f>
        <v>409.91320873873292</v>
      </c>
      <c r="BJ50" s="59">
        <f t="shared" si="38"/>
        <v>347.86310581860698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27.291881371498096</v>
      </c>
      <c r="BQ50" s="21">
        <f>EXP(-LN(2)/25)*BQ49+(1-EXP(-LN(2)/25))/(LN(2)/25)*Calculateur!BL50*Calculateur!BN50*VLOOKUP('Données projet'!$B$11,Paramètres!$A$1:$I$89,3,0)*0.475*44/12</f>
        <v>24.387283855911139</v>
      </c>
      <c r="BR50" s="21">
        <f>EXP(-LN(2)/2)*BR49+(1-EXP(-LN(2)/2))/(LN(2)/2)*BL50*BO50*VLOOKUP('Données projet'!$B$11,Paramètres!$A$1:$I$89,3,0)*0.475*44/12</f>
        <v>4.4379904096509515</v>
      </c>
      <c r="BS50" s="22">
        <f t="shared" si="9"/>
        <v>56.117155637060186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62.860855803198277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62.860855803198277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62.860855803198277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62.860855803198277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62.860855803198277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62.860855803198277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62.860855803198277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3.25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11.916666666666666</v>
      </c>
      <c r="H51" s="67">
        <f t="shared" si="1"/>
        <v>209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62.98470399427746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21.970000000000002</v>
      </c>
      <c r="N51" s="13">
        <f>IF('Données projet'!$A$36&gt;35,N50+M51-V50,IF(A51&lt;'Données projet'!$A$36,$K$205^A51,IF(A51='Données projet'!$A$36,'Données projet'!$B$36,N50+M51-V50)))</f>
        <v>482.27000000000021</v>
      </c>
      <c r="O51" s="13">
        <f>N51*VLOOKUP('Données projet'!$B$9,Paramètres!$A$1:$I$89,3,0)*VLOOKUP('Données projet'!$B$9,Paramètres!$A$1:$I$89,5,0)</f>
        <v>269.58893000000012</v>
      </c>
      <c r="P51" s="13">
        <f t="shared" si="33"/>
        <v>64.762022124596854</v>
      </c>
      <c r="Q51" s="20">
        <f t="shared" si="53"/>
        <v>582.32790828367308</v>
      </c>
      <c r="R51" s="59">
        <f t="shared" si="0"/>
        <v>849.93848959602383</v>
      </c>
      <c r="S51" s="59">
        <f ca="1">AVERAGE(OFFSET($R$3,0,0,'Données projet'!$E$9+1,1))-AVERAGE(OFFSET($H$3,0,0,'Données projet'!$E$9+1,1))</f>
        <v>399.91876225849921</v>
      </c>
      <c r="T51" s="59">
        <f t="shared" si="34"/>
        <v>368.64132082233505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46.638830415728229</v>
      </c>
      <c r="AA51" s="21">
        <f>EXP(-LN(2)/25)*AA50+(1-EXP(-LN(2)/25))/(LN(2)/25)*Calculateur!V51*Calculateur!X51*VLOOKUP('Données projet'!$B$9,Paramètres!$A$1:$I$89,3,0)*0.475*44/12</f>
        <v>22.227593424419961</v>
      </c>
      <c r="AB51" s="21">
        <f>EXP(-LN(2)/2)*AB50+(1-EXP(-LN(2)/2))/(LN(2)/2)*V51*Y51*VLOOKUP('Données projet'!$B$9,Paramètres!$A$1:$I$89,3,0)*0.475*44/12</f>
        <v>1.7214108841386284</v>
      </c>
      <c r="AC51" s="22">
        <f t="shared" si="3"/>
        <v>70.587834724286822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62.98470399427746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25.333333333333332</v>
      </c>
      <c r="AI51" s="13">
        <f>IF('Données projet'!$A$62&gt;35,AI50+AH51-AQ50,IF(A51&lt;'Données projet'!$A$62,$AF$205^A51,IF(A51='Données projet'!$A$62,'Données projet'!$B$62,AI50+AH51-AQ50)))</f>
        <v>545.33333333333326</v>
      </c>
      <c r="AJ51" s="13">
        <f>AI51*VLOOKUP('Données projet'!$B$10,Paramètres!$A$1:$I$89,3,0)*VLOOKUP('Données projet'!$B$10,Paramètres!$A$1:$I$89,5,0)</f>
        <v>255.21599999999995</v>
      </c>
      <c r="AK51" s="13">
        <f t="shared" si="35"/>
        <v>61.701522895151371</v>
      </c>
      <c r="AL51" s="20">
        <f t="shared" si="4"/>
        <v>551.96468570905517</v>
      </c>
      <c r="AM51" s="59">
        <f t="shared" si="5"/>
        <v>819.57526702140581</v>
      </c>
      <c r="AN51" s="59">
        <f ca="1">AVERAGE(OFFSET($AM$3,0,0,'Données projet'!$E$10+1,1))-AVERAGE(OFFSET($H$3,0,0,'Données projet'!$E$10+1,1))</f>
        <v>280.35802808205239</v>
      </c>
      <c r="AO51" s="59">
        <f t="shared" si="36"/>
        <v>249.32129349927175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18.738758729010108</v>
      </c>
      <c r="AV51" s="21">
        <f>EXP(-LN(2)/25)*AV50+(1-EXP(-LN(2)/25))/(LN(2)/25)*Calculateur!AQ51*Calculateur!AS51*VLOOKUP('Données projet'!$B$10,Paramètres!$A$1:$I$89,3,0)*0.475*44/12</f>
        <v>17.347225105941384</v>
      </c>
      <c r="AW51" s="21">
        <f>EXP(-LN(2)/2)*AW50+(1-EXP(-LN(2)/2))/(LN(2)/2)*AQ51*AT51*VLOOKUP('Données projet'!$B$10,Paramètres!$A$1:$I$89,3,0)*0.475*44/12</f>
        <v>1.3631789851721887</v>
      </c>
      <c r="AX51" s="21">
        <f t="shared" si="6"/>
        <v>37.449162820123682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62.98470399427746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22.8</v>
      </c>
      <c r="BD51" s="12">
        <f>IF('Données projet'!$A$88&gt;35,BD50+BC51-BL50,IF(A51&lt;'Données projet'!$A$88,$BA$205^A51,IF(A51='Données projet'!$A$88,'Données projet'!$B$88,BD50+BC51-BL50)))</f>
        <v>503.39999999999986</v>
      </c>
      <c r="BE51" s="13">
        <f>BD51*VLOOKUP('Données projet'!$B$11,Paramètres!$A$1:$I$89,3,0)*VLOOKUP('Données projet'!$B$11,Paramètres!$A$1:$I$89,5,0)</f>
        <v>222.50279999999998</v>
      </c>
      <c r="BF51" s="13">
        <f t="shared" si="37"/>
        <v>54.65849828468945</v>
      </c>
      <c r="BG51" s="20">
        <f t="shared" si="7"/>
        <v>482.72259451250079</v>
      </c>
      <c r="BH51" s="59">
        <f t="shared" si="8"/>
        <v>750.33317582485142</v>
      </c>
      <c r="BI51" s="59">
        <f ca="1">AVERAGE(OFFSET($BH$3,0,0,'Données projet'!$E$11+1,1))-AVERAGE(OFFSET($H$3,0,0,'Données projet'!$E$11+1,1))</f>
        <v>409.91320873873292</v>
      </c>
      <c r="BJ51" s="59">
        <f t="shared" si="38"/>
        <v>347.86310581860698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26.75670422420696</v>
      </c>
      <c r="BQ51" s="21">
        <f>EXP(-LN(2)/25)*BQ50+(1-EXP(-LN(2)/25))/(LN(2)/25)*Calculateur!BL51*Calculateur!BN51*VLOOKUP('Données projet'!$B$11,Paramètres!$A$1:$I$89,3,0)*0.475*44/12</f>
        <v>23.720412296399729</v>
      </c>
      <c r="BR51" s="21">
        <f>EXP(-LN(2)/2)*BR50+(1-EXP(-LN(2)/2))/(LN(2)/2)*BL51*BO51*VLOOKUP('Données projet'!$B$11,Paramètres!$A$1:$I$89,3,0)*0.475*44/12</f>
        <v>3.1381331135050519</v>
      </c>
      <c r="BS51" s="22">
        <f t="shared" si="9"/>
        <v>53.615249634111734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62.98470399427746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62.98470399427746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62.98470399427746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62.98470399427746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62.98470399427746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62.98470399427746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62.98470399427746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3.25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11.916666666666666</v>
      </c>
      <c r="H52" s="67">
        <f t="shared" si="1"/>
        <v>209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63.106403696124481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504.24</v>
      </c>
      <c r="L52" s="12">
        <f>VLOOKUP(A52,'Données projet'!$A$35:$I$55,9,0)</f>
        <v>21.970000000000002</v>
      </c>
      <c r="M52" s="12">
        <f t="array" ref="M52">INDEX(L:L,MIN(IF(ISNUMBER(L52:L248),ROW(L52:L248),"")))</f>
        <v>21.970000000000002</v>
      </c>
      <c r="N52" s="13">
        <f>IF('Données projet'!$A$36&gt;35,N51+M52-V51,IF(A52&lt;'Données projet'!$A$36,$K$205^A52,IF(A52='Données projet'!$A$36,'Données projet'!$B$36,N51+M52-V51)))</f>
        <v>504.24000000000024</v>
      </c>
      <c r="O52" s="13">
        <f>N52*VLOOKUP('Données projet'!$B$9,Paramètres!$A$1:$I$89,3,0)*VLOOKUP('Données projet'!$B$9,Paramètres!$A$1:$I$89,5,0)</f>
        <v>281.87016000000011</v>
      </c>
      <c r="P52" s="13">
        <f t="shared" si="33"/>
        <v>67.362074198579379</v>
      </c>
      <c r="Q52" s="20">
        <f t="shared" si="53"/>
        <v>608.24614122919252</v>
      </c>
      <c r="R52" s="59">
        <f t="shared" si="0"/>
        <v>876.30295478164896</v>
      </c>
      <c r="S52" s="59">
        <f ca="1">AVERAGE(OFFSET($R$3,0,0,'Données projet'!$E$9+1,1))-AVERAGE(OFFSET($H$3,0,0,'Données projet'!$E$9+1,1))</f>
        <v>399.91876225849921</v>
      </c>
      <c r="T52" s="59">
        <f t="shared" si="34"/>
        <v>368.64132082233505</v>
      </c>
      <c r="U52" s="15">
        <f>IF(ISNA(VLOOKUP(A52,'Données projet'!$A$35:$I$55,3,0)),0,VLOOKUP(A52,'Données projet'!$A$35:$I$55,3,0))</f>
        <v>5</v>
      </c>
      <c r="V52" s="15">
        <f>IF(ISNA(VLOOKUP(A52,'Données projet'!$A$35:$I$55,4,0)),0,VLOOKUP(A52,'Données projet'!$A$35:$I$55,4,0))</f>
        <v>112.69999999999999</v>
      </c>
      <c r="W52" s="16">
        <f>IF(ISNA(VLOOKUP(A52,'Données projet'!$A$35:$I$55,5,0)),0%,VLOOKUP(A52,'Données projet'!$A$35:$I$55,5,0)*VLOOKUP('Données projet'!$B$9,Paramètres!$A$1:$I$89,7,0))</f>
        <v>0.33</v>
      </c>
      <c r="X52" s="16">
        <f>IF(ISNA(VLOOKUP(A52,'Données projet'!$A$35:$I$55,6,0)),0%,VLOOKUP(A52,'Données projet'!$A$35:$I$55,6,0)*VLOOKUP('Données projet'!$B$9,Paramètres!$A$1:$I$89,7,0))</f>
        <v>0.11000000000000001</v>
      </c>
      <c r="Y52" s="16">
        <f>IF(ISNA(VLOOKUP(A52,'Données projet'!$A$35:$I$55,7,0)),0%,VLOOKUP(A52,'Données projet'!$A$35:$I$55,7,0))</f>
        <v>0.2</v>
      </c>
      <c r="Z52" s="21">
        <f>EXP(-LN(2)/35)*Z51+(1-EXP(-LN(2)/35))/(LN(2)/35)*V52*W52*VLOOKUP('Données projet'!$B$9,Paramètres!$A$1:$I$89,3,0)*0.475*44/12</f>
        <v>73.303239990352296</v>
      </c>
      <c r="AA52" s="21">
        <f>EXP(-LN(2)/25)*AA51+(1-EXP(-LN(2)/25))/(LN(2)/25)*Calculateur!V52*Calculateur!X52*VLOOKUP('Données projet'!$B$9,Paramètres!$A$1:$I$89,3,0)*0.475*44/12</f>
        <v>30.776571941477684</v>
      </c>
      <c r="AB52" s="21">
        <f>EXP(-LN(2)/2)*AB51+(1-EXP(-LN(2)/2))/(LN(2)/2)*V52*Y52*VLOOKUP('Données projet'!$B$9,Paramètres!$A$1:$I$89,3,0)*0.475*44/12</f>
        <v>15.483189745694569</v>
      </c>
      <c r="AC52" s="22">
        <f t="shared" si="3"/>
        <v>119.56300167752455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63.106403696124481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25.333333333333332</v>
      </c>
      <c r="AI52" s="13">
        <f>IF('Données projet'!$A$62&gt;35,AI51+AH52-AQ51,IF(A52&lt;'Données projet'!$A$62,$AF$205^A52,IF(A52='Données projet'!$A$62,'Données projet'!$B$62,AI51+AH52-AQ51)))</f>
        <v>570.66666666666663</v>
      </c>
      <c r="AJ52" s="13">
        <f>AI52*VLOOKUP('Données projet'!$B$10,Paramètres!$A$1:$I$89,3,0)*VLOOKUP('Données projet'!$B$10,Paramètres!$A$1:$I$89,5,0)</f>
        <v>267.07199999999995</v>
      </c>
      <c r="AK52" s="13">
        <f t="shared" si="35"/>
        <v>64.227480006516572</v>
      </c>
      <c r="AL52" s="20">
        <f t="shared" si="4"/>
        <v>577.01326101134964</v>
      </c>
      <c r="AM52" s="59">
        <f t="shared" si="5"/>
        <v>845.07007456380609</v>
      </c>
      <c r="AN52" s="59">
        <f ca="1">AVERAGE(OFFSET($AM$3,0,0,'Données projet'!$E$10+1,1))-AVERAGE(OFFSET($H$3,0,0,'Données projet'!$E$10+1,1))</f>
        <v>280.35802808205239</v>
      </c>
      <c r="AO52" s="59">
        <f t="shared" si="36"/>
        <v>249.32129349927175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18.371303099848475</v>
      </c>
      <c r="AV52" s="21">
        <f>EXP(-LN(2)/25)*AV51+(1-EXP(-LN(2)/25))/(LN(2)/25)*Calculateur!AQ52*Calculateur!AS52*VLOOKUP('Données projet'!$B$10,Paramètres!$A$1:$I$89,3,0)*0.475*44/12</f>
        <v>16.872864323168496</v>
      </c>
      <c r="AW52" s="21">
        <f>EXP(-LN(2)/2)*AW51+(1-EXP(-LN(2)/2))/(LN(2)/2)*AQ52*AT52*VLOOKUP('Données projet'!$B$10,Paramètres!$A$1:$I$89,3,0)*0.475*44/12</f>
        <v>0.96391310438625077</v>
      </c>
      <c r="AX52" s="21">
        <f t="shared" si="6"/>
        <v>36.208080527403226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63.106403696124481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22.8</v>
      </c>
      <c r="BD52" s="12">
        <f>IF('Données projet'!$A$88&gt;35,BD51+BC52-BL51,IF(A52&lt;'Données projet'!$A$88,$BA$205^A52,IF(A52='Données projet'!$A$88,'Données projet'!$B$88,BD51+BC52-BL51)))</f>
        <v>526.19999999999982</v>
      </c>
      <c r="BE52" s="13">
        <f>BD52*VLOOKUP('Données projet'!$B$11,Paramètres!$A$1:$I$89,3,0)*VLOOKUP('Données projet'!$B$11,Paramètres!$A$1:$I$89,5,0)</f>
        <v>232.58039999999994</v>
      </c>
      <c r="BF52" s="13">
        <f t="shared" si="37"/>
        <v>56.840261542288928</v>
      </c>
      <c r="BG52" s="20">
        <f t="shared" si="7"/>
        <v>504.07431885281977</v>
      </c>
      <c r="BH52" s="59">
        <f t="shared" si="8"/>
        <v>772.13113240527628</v>
      </c>
      <c r="BI52" s="59">
        <f ca="1">AVERAGE(OFFSET($BH$3,0,0,'Données projet'!$E$11+1,1))-AVERAGE(OFFSET($H$3,0,0,'Données projet'!$E$11+1,1))</f>
        <v>409.91320873873292</v>
      </c>
      <c r="BJ52" s="59">
        <f t="shared" si="38"/>
        <v>347.86310581860698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26.232021574348373</v>
      </c>
      <c r="BQ52" s="21">
        <f>EXP(-LN(2)/25)*BQ51+(1-EXP(-LN(2)/25))/(LN(2)/25)*Calculateur!BL52*Calculateur!BN52*VLOOKUP('Données projet'!$B$11,Paramètres!$A$1:$I$89,3,0)*0.475*44/12</f>
        <v>23.07177637475241</v>
      </c>
      <c r="BR52" s="21">
        <f>EXP(-LN(2)/2)*BR51+(1-EXP(-LN(2)/2))/(LN(2)/2)*BL52*BO52*VLOOKUP('Données projet'!$B$11,Paramètres!$A$1:$I$89,3,0)*0.475*44/12</f>
        <v>2.2189952048254762</v>
      </c>
      <c r="BS52" s="22">
        <f t="shared" si="9"/>
        <v>51.522793153926258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63.106403696124481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63.106403696124481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63.106403696124481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63.106403696124481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63.106403696124481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63.106403696124481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63.106403696124481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3.25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11.916666666666666</v>
      </c>
      <c r="H53" s="67">
        <f t="shared" si="1"/>
        <v>209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63.225992180224246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20.355714285714278</v>
      </c>
      <c r="N53" s="13">
        <f>IF('Données projet'!$A$36&gt;35,N52+M53-V52,IF(A53&lt;'Données projet'!$A$36,$K$205^A53,IF(A53='Données projet'!$A$36,'Données projet'!$B$36,N52+M53-V52)))</f>
        <v>411.89571428571452</v>
      </c>
      <c r="O53" s="13">
        <f>N53*VLOOKUP('Données projet'!$B$9,Paramètres!$A$1:$I$89,3,0)*VLOOKUP('Données projet'!$B$9,Paramètres!$A$1:$I$89,5,0)</f>
        <v>230.24970428571442</v>
      </c>
      <c r="P53" s="13">
        <f t="shared" si="33"/>
        <v>56.336670025642462</v>
      </c>
      <c r="Q53" s="20">
        <f t="shared" si="53"/>
        <v>499.13793525894647</v>
      </c>
      <c r="R53" s="59">
        <f t="shared" si="0"/>
        <v>767.6332399197687</v>
      </c>
      <c r="S53" s="59">
        <f ca="1">AVERAGE(OFFSET($R$3,0,0,'Données projet'!$E$9+1,1))-AVERAGE(OFFSET($H$3,0,0,'Données projet'!$E$9+1,1))</f>
        <v>399.91876225849921</v>
      </c>
      <c r="T53" s="59">
        <f t="shared" si="34"/>
        <v>368.64132082233505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71.865808164703083</v>
      </c>
      <c r="AA53" s="21">
        <f>EXP(-LN(2)/25)*AA52+(1-EXP(-LN(2)/25))/(LN(2)/25)*Calculateur!V53*Calculateur!X53*VLOOKUP('Données projet'!$B$9,Paramètres!$A$1:$I$89,3,0)*0.475*44/12</f>
        <v>29.934984963268398</v>
      </c>
      <c r="AB53" s="21">
        <f>EXP(-LN(2)/2)*AB52+(1-EXP(-LN(2)/2))/(LN(2)/2)*V53*Y53*VLOOKUP('Données projet'!$B$9,Paramètres!$A$1:$I$89,3,0)*0.475*44/12</f>
        <v>10.948268463578646</v>
      </c>
      <c r="AC53" s="22">
        <f t="shared" si="3"/>
        <v>112.74906159155012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63.225992180224246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596</v>
      </c>
      <c r="AG53" s="12">
        <f>VLOOKUP(A53,'Données projet'!$A$61:$I$81,9,0)</f>
        <v>25.333333333333332</v>
      </c>
      <c r="AH53" s="12">
        <f t="array" ref="AH53">INDEX(AG:AG,MIN(IF(ISNUMBER(AG53:AG249),ROW(AG53:AG249),"")))</f>
        <v>25.333333333333332</v>
      </c>
      <c r="AI53" s="13">
        <f>IF('Données projet'!$A$62&gt;35,AI52+AH53-AQ52,IF(A53&lt;'Données projet'!$A$62,$AF$205^A53,IF(A53='Données projet'!$A$62,'Données projet'!$B$62,AI52+AH53-AQ52)))</f>
        <v>596</v>
      </c>
      <c r="AJ53" s="13">
        <f>AI53*VLOOKUP('Données projet'!$B$10,Paramètres!$A$1:$I$89,3,0)*VLOOKUP('Données projet'!$B$10,Paramètres!$A$1:$I$89,5,0)</f>
        <v>278.928</v>
      </c>
      <c r="AK53" s="13">
        <f t="shared" si="35"/>
        <v>66.740413913415367</v>
      </c>
      <c r="AL53" s="20">
        <f t="shared" si="4"/>
        <v>602.0391542325317</v>
      </c>
      <c r="AM53" s="59">
        <f t="shared" si="5"/>
        <v>870.53445889335399</v>
      </c>
      <c r="AN53" s="59">
        <f ca="1">AVERAGE(OFFSET($AM$3,0,0,'Données projet'!$E$10+1,1))-AVERAGE(OFFSET($H$3,0,0,'Données projet'!$E$10+1,1))</f>
        <v>280.35802808205239</v>
      </c>
      <c r="AO53" s="59">
        <f t="shared" si="36"/>
        <v>249.32129349927175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55</v>
      </c>
      <c r="AR53" s="16">
        <f>IF(ISNA(VLOOKUP(A53,'Données projet'!$A$61:$I$81,5,0)),0%,VLOOKUP(A53,'Données projet'!$A$61:$I$81,5,0)*VLOOKUP('Données projet'!$B$10,Paramètres!$A$1:$I$89,7,0))</f>
        <v>0.1925</v>
      </c>
      <c r="AS53" s="16">
        <f>IF(ISNA(VLOOKUP(A53,'Données projet'!$A$61:$I$81,6,0)),0%,VLOOKUP(A53,'Données projet'!$A$61:$I$81,6,0)*VLOOKUP('Données projet'!$B$10,Paramètres!$A$1:$I$89,7,0))</f>
        <v>8.2500000000000004E-2</v>
      </c>
      <c r="AT53" s="16">
        <f>IF(ISNA(VLOOKUP(A53,'Données projet'!$A$61:$I$81,7,0)),0%,VLOOKUP(A53,'Données projet'!$A$61:$I$81,7,0))</f>
        <v>0.15</v>
      </c>
      <c r="AU53" s="21">
        <f>EXP(-LN(2)/35)*AU52+(1-EXP(-LN(2)/35))/(LN(2)/35)*AQ53*AR53*VLOOKUP('Données projet'!$B$10,Paramètres!$A$1:$I$89,3,0)*0.475*44/12</f>
        <v>24.584113599929047</v>
      </c>
      <c r="AV53" s="21">
        <f>EXP(-LN(2)/25)*AV52+(1-EXP(-LN(2)/25))/(LN(2)/25)*Calculateur!AQ53*Calculateur!AS53*VLOOKUP('Données projet'!$B$10,Paramètres!$A$1:$I$89,3,0)*0.475*44/12</f>
        <v>19.217409205761097</v>
      </c>
      <c r="AW53" s="21">
        <f>EXP(-LN(2)/2)*AW52+(1-EXP(-LN(2)/2))/(LN(2)/2)*AQ53*AT53*VLOOKUP('Données projet'!$B$10,Paramètres!$A$1:$I$89,3,0)*0.475*44/12</f>
        <v>5.0531383933357787</v>
      </c>
      <c r="AX53" s="21">
        <f t="shared" si="6"/>
        <v>48.854661199025919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63.225992180224246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549</v>
      </c>
      <c r="BB53" s="12">
        <f>VLOOKUP(A53,'Données projet'!$A$87:$I$107,9,0)</f>
        <v>22.8</v>
      </c>
      <c r="BC53" s="12">
        <f t="array" ref="BC53">INDEX(BB:BB,MIN(IF(ISNUMBER(BB53:BB249),ROW(BB53:BB249),"")))</f>
        <v>22.8</v>
      </c>
      <c r="BD53" s="12">
        <f>IF('Données projet'!$A$88&gt;35,BD52+BC53-BL52,IF(A53&lt;'Données projet'!$A$88,$BA$205^A53,IF(A53='Données projet'!$A$88,'Données projet'!$B$88,BD52+BC53-BL52)))</f>
        <v>548.99999999999977</v>
      </c>
      <c r="BE53" s="13">
        <f>BD53*VLOOKUP('Données projet'!$B$11,Paramètres!$A$1:$I$89,3,0)*VLOOKUP('Données projet'!$B$11,Paramètres!$A$1:$I$89,5,0)</f>
        <v>242.65799999999993</v>
      </c>
      <c r="BF53" s="13">
        <f t="shared" si="37"/>
        <v>59.011045025839607</v>
      </c>
      <c r="BG53" s="20">
        <f t="shared" si="7"/>
        <v>525.40692008667054</v>
      </c>
      <c r="BH53" s="59">
        <f t="shared" si="8"/>
        <v>793.90222474749271</v>
      </c>
      <c r="BI53" s="59">
        <f ca="1">AVERAGE(OFFSET($BH$3,0,0,'Données projet'!$E$11+1,1))-AVERAGE(OFFSET($H$3,0,0,'Données projet'!$E$11+1,1))</f>
        <v>409.91320873873292</v>
      </c>
      <c r="BJ53" s="59">
        <f t="shared" si="38"/>
        <v>347.86310581860698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63</v>
      </c>
      <c r="BM53" s="16">
        <f>IF(ISNA(VLOOKUP(A53,'Données projet'!$A$87:$I$107,5,0)),0%,VLOOKUP(A53,'Données projet'!$A$87:$I$107,5,0)*VLOOKUP('Données projet'!$B$11,Paramètres!$A$1:$I$89,7,0))</f>
        <v>0.33</v>
      </c>
      <c r="BN53" s="16">
        <f>IF(ISNA(VLOOKUP(A53,'Données projet'!$A$87:$I$107,6,0)),0%,VLOOKUP(A53,'Données projet'!$A$87:$I$107,6,0)*VLOOKUP('Données projet'!$B$11,Paramètres!$A$1:$I$89,7,0))</f>
        <v>0.11000000000000001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37.907667193864611</v>
      </c>
      <c r="BQ53" s="21">
        <f>EXP(-LN(2)/25)*BQ52+(1-EXP(-LN(2)/25))/(LN(2)/25)*Calculateur!BL53*Calculateur!BN53*VLOOKUP('Données projet'!$B$11,Paramètres!$A$1:$I$89,3,0)*0.475*44/12</f>
        <v>26.488225013862348</v>
      </c>
      <c r="BR53" s="21">
        <f>EXP(-LN(2)/2)*BR52+(1-EXP(-LN(2)/2))/(LN(2)/2)*BL53*BO53*VLOOKUP('Données projet'!$B$11,Paramètres!$A$1:$I$89,3,0)*0.475*44/12</f>
        <v>7.8746946681369208</v>
      </c>
      <c r="BS53" s="22">
        <f t="shared" si="9"/>
        <v>72.270586875863884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63.225992180224246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63.225992180224246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63.225992180224246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63.225992180224246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63.225992180224246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63.225992180224246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63.225992180224246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3.25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11.916666666666666</v>
      </c>
      <c r="H54" s="67">
        <f t="shared" si="1"/>
        <v>209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63.343506071484661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20.355714285714278</v>
      </c>
      <c r="N54" s="13">
        <f>IF('Données projet'!$A$36&gt;35,N53+M54-V53,IF(A54&lt;'Données projet'!$A$36,$K$205^A54,IF(A54='Données projet'!$A$36,'Données projet'!$B$36,N53+M54-V53)))</f>
        <v>432.25142857142879</v>
      </c>
      <c r="O54" s="13">
        <f>N54*VLOOKUP('Données projet'!$B$9,Paramètres!$A$1:$I$89,3,0)*VLOOKUP('Données projet'!$B$9,Paramètres!$A$1:$I$89,5,0)</f>
        <v>241.62854857142869</v>
      </c>
      <c r="P54" s="13">
        <f t="shared" si="33"/>
        <v>58.789782611687855</v>
      </c>
      <c r="Q54" s="20">
        <f t="shared" si="53"/>
        <v>523.22859347726126</v>
      </c>
      <c r="R54" s="59">
        <f t="shared" si="0"/>
        <v>792.15478240603829</v>
      </c>
      <c r="S54" s="59">
        <f ca="1">AVERAGE(OFFSET($R$3,0,0,'Données projet'!$E$9+1,1))-AVERAGE(OFFSET($H$3,0,0,'Données projet'!$E$9+1,1))</f>
        <v>399.91876225849921</v>
      </c>
      <c r="T54" s="59">
        <f t="shared" si="34"/>
        <v>368.64132082233505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70.456563500408009</v>
      </c>
      <c r="AA54" s="21">
        <f>EXP(-LN(2)/25)*AA53+(1-EXP(-LN(2)/25))/(LN(2)/25)*Calculateur!V54*Calculateur!X54*VLOOKUP('Données projet'!$B$9,Paramètres!$A$1:$I$89,3,0)*0.475*44/12</f>
        <v>29.116411225235382</v>
      </c>
      <c r="AB54" s="21">
        <f>EXP(-LN(2)/2)*AB53+(1-EXP(-LN(2)/2))/(LN(2)/2)*V54*Y54*VLOOKUP('Données projet'!$B$9,Paramètres!$A$1:$I$89,3,0)*0.475*44/12</f>
        <v>7.7415948728472852</v>
      </c>
      <c r="AC54" s="22">
        <f t="shared" si="3"/>
        <v>107.31456959849068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63.343506071484661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20.166666666666668</v>
      </c>
      <c r="AI54" s="13">
        <f>IF('Données projet'!$A$62&gt;35,AI53+AH54-AQ53,IF(A54&lt;'Données projet'!$A$62,$AF$205^A54,IF(A54='Données projet'!$A$62,'Données projet'!$B$62,AI53+AH54-AQ53)))</f>
        <v>561.16666666666663</v>
      </c>
      <c r="AJ54" s="13">
        <f>AI54*VLOOKUP('Données projet'!$B$10,Paramètres!$A$1:$I$89,3,0)*VLOOKUP('Données projet'!$B$10,Paramètres!$A$1:$I$89,5,0)</f>
        <v>262.62599999999998</v>
      </c>
      <c r="AK54" s="13">
        <f t="shared" si="35"/>
        <v>63.281807230823453</v>
      </c>
      <c r="AL54" s="20">
        <f t="shared" si="4"/>
        <v>567.62276426035078</v>
      </c>
      <c r="AM54" s="59">
        <f t="shared" si="5"/>
        <v>836.54895318912781</v>
      </c>
      <c r="AN54" s="59">
        <f ca="1">AVERAGE(OFFSET($AM$3,0,0,'Données projet'!$E$10+1,1))-AVERAGE(OFFSET($H$3,0,0,'Données projet'!$E$10+1,1))</f>
        <v>280.35802808205239</v>
      </c>
      <c r="AO54" s="59">
        <f t="shared" si="36"/>
        <v>249.32129349927175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24.102034127063117</v>
      </c>
      <c r="AV54" s="21">
        <f>EXP(-LN(2)/25)*AV53+(1-EXP(-LN(2)/25))/(LN(2)/25)*Calculateur!AQ54*Calculateur!AS54*VLOOKUP('Données projet'!$B$10,Paramètres!$A$1:$I$89,3,0)*0.475*44/12</f>
        <v>18.691908140429931</v>
      </c>
      <c r="AW54" s="21">
        <f>EXP(-LN(2)/2)*AW53+(1-EXP(-LN(2)/2))/(LN(2)/2)*AQ54*AT54*VLOOKUP('Données projet'!$B$10,Paramètres!$A$1:$I$89,3,0)*0.475*44/12</f>
        <v>3.5731084242018252</v>
      </c>
      <c r="AX54" s="21">
        <f t="shared" si="6"/>
        <v>46.367050691694878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63.343506071484661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21.6</v>
      </c>
      <c r="BD54" s="12">
        <f>IF('Données projet'!$A$88&gt;35,BD53+BC54-BL53,IF(A54&lt;'Données projet'!$A$88,$BA$205^A54,IF(A54='Données projet'!$A$88,'Données projet'!$B$88,BD53+BC54-BL53)))</f>
        <v>507.5999999999998</v>
      </c>
      <c r="BE54" s="13">
        <f>BD54*VLOOKUP('Données projet'!$B$11,Paramètres!$A$1:$I$89,3,0)*VLOOKUP('Données projet'!$B$11,Paramètres!$A$1:$I$89,5,0)</f>
        <v>224.35919999999993</v>
      </c>
      <c r="BF54" s="13">
        <f t="shared" si="37"/>
        <v>55.061251669487255</v>
      </c>
      <c r="BG54" s="20">
        <f t="shared" si="7"/>
        <v>486.65728665769012</v>
      </c>
      <c r="BH54" s="59">
        <f t="shared" si="8"/>
        <v>755.58347558646722</v>
      </c>
      <c r="BI54" s="59">
        <f ca="1">AVERAGE(OFFSET($BH$3,0,0,'Données projet'!$E$11+1,1))-AVERAGE(OFFSET($H$3,0,0,'Données projet'!$E$11+1,1))</f>
        <v>409.91320873873292</v>
      </c>
      <c r="BJ54" s="59">
        <f t="shared" si="38"/>
        <v>347.86310581860698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37.164320961586867</v>
      </c>
      <c r="BQ54" s="21">
        <f>EXP(-LN(2)/25)*BQ53+(1-EXP(-LN(2)/25))/(LN(2)/25)*Calculateur!BL54*Calculateur!BN54*VLOOKUP('Données projet'!$B$11,Paramètres!$A$1:$I$89,3,0)*0.475*44/12</f>
        <v>25.763903107903069</v>
      </c>
      <c r="BR54" s="21">
        <f>EXP(-LN(2)/2)*BR53+(1-EXP(-LN(2)/2))/(LN(2)/2)*BL54*BO54*VLOOKUP('Données projet'!$B$11,Paramètres!$A$1:$I$89,3,0)*0.475*44/12</f>
        <v>5.5682499996131662</v>
      </c>
      <c r="BS54" s="22">
        <f t="shared" si="9"/>
        <v>68.496474069103101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63.343506071484661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63.343506071484661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63.343506071484661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63.343506071484661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63.343506071484661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63.343506071484661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63.343506071484661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3.25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11.916666666666666</v>
      </c>
      <c r="H55" s="67">
        <f t="shared" si="1"/>
        <v>209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63.458981359453418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20.355714285714278</v>
      </c>
      <c r="N55" s="13">
        <f>IF('Données projet'!$A$36&gt;35,N54+M55-V54,IF(A55&lt;'Données projet'!$A$36,$K$205^A55,IF(A55='Données projet'!$A$36,'Données projet'!$B$36,N54+M55-V54)))</f>
        <v>452.60714285714306</v>
      </c>
      <c r="O55" s="13">
        <f>N55*VLOOKUP('Données projet'!$B$9,Paramètres!$A$1:$I$89,3,0)*VLOOKUP('Données projet'!$B$9,Paramètres!$A$1:$I$89,5,0)</f>
        <v>253.007392857143</v>
      </c>
      <c r="P55" s="13">
        <f t="shared" si="33"/>
        <v>61.229479905592257</v>
      </c>
      <c r="Q55" s="20">
        <f t="shared" si="53"/>
        <v>547.29588672843067</v>
      </c>
      <c r="R55" s="59">
        <f t="shared" si="0"/>
        <v>816.64548504642653</v>
      </c>
      <c r="S55" s="59">
        <f ca="1">AVERAGE(OFFSET($R$3,0,0,'Données projet'!$E$9+1,1))-AVERAGE(OFFSET($H$3,0,0,'Données projet'!$E$9+1,1))</f>
        <v>399.91876225849921</v>
      </c>
      <c r="T55" s="59">
        <f t="shared" si="34"/>
        <v>368.64132082233505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69.074953264425389</v>
      </c>
      <c r="AA55" s="21">
        <f>EXP(-LN(2)/25)*AA54+(1-EXP(-LN(2)/25))/(LN(2)/25)*Calculateur!V55*Calculateur!X55*VLOOKUP('Données projet'!$B$9,Paramètres!$A$1:$I$89,3,0)*0.475*44/12</f>
        <v>28.320221429115801</v>
      </c>
      <c r="AB55" s="21">
        <f>EXP(-LN(2)/2)*AB54+(1-EXP(-LN(2)/2))/(LN(2)/2)*V55*Y55*VLOOKUP('Données projet'!$B$9,Paramètres!$A$1:$I$89,3,0)*0.475*44/12</f>
        <v>5.474134231789324</v>
      </c>
      <c r="AC55" s="22">
        <f t="shared" si="3"/>
        <v>102.86930892533051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63.458981359453418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20.166666666666668</v>
      </c>
      <c r="AI55" s="13">
        <f>IF('Données projet'!$A$62&gt;35,AI54+AH55-AQ54,IF(A55&lt;'Données projet'!$A$62,$AF$205^A55,IF(A55='Données projet'!$A$62,'Données projet'!$B$62,AI54+AH55-AQ54)))</f>
        <v>581.33333333333326</v>
      </c>
      <c r="AJ55" s="13">
        <f>AI55*VLOOKUP('Données projet'!$B$10,Paramètres!$A$1:$I$89,3,0)*VLOOKUP('Données projet'!$B$10,Paramètres!$A$1:$I$89,5,0)</f>
        <v>272.06399999999996</v>
      </c>
      <c r="AK55" s="13">
        <f t="shared" si="35"/>
        <v>65.287107848113664</v>
      </c>
      <c r="AL55" s="20">
        <f t="shared" si="4"/>
        <v>587.55317950213123</v>
      </c>
      <c r="AM55" s="59">
        <f t="shared" si="5"/>
        <v>856.90277782012708</v>
      </c>
      <c r="AN55" s="59">
        <f ca="1">AVERAGE(OFFSET($AM$3,0,0,'Données projet'!$E$10+1,1))-AVERAGE(OFFSET($H$3,0,0,'Données projet'!$E$10+1,1))</f>
        <v>280.35802808205239</v>
      </c>
      <c r="AO55" s="59">
        <f t="shared" si="36"/>
        <v>249.32129349927175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23.629407938620645</v>
      </c>
      <c r="AV55" s="21">
        <f>EXP(-LN(2)/25)*AV54+(1-EXP(-LN(2)/25))/(LN(2)/25)*Calculateur!AQ55*Calculateur!AS55*VLOOKUP('Données projet'!$B$10,Paramètres!$A$1:$I$89,3,0)*0.475*44/12</f>
        <v>18.180776929365145</v>
      </c>
      <c r="AW55" s="21">
        <f>EXP(-LN(2)/2)*AW54+(1-EXP(-LN(2)/2))/(LN(2)/2)*AQ55*AT55*VLOOKUP('Données projet'!$B$10,Paramètres!$A$1:$I$89,3,0)*0.475*44/12</f>
        <v>2.5265691966678898</v>
      </c>
      <c r="AX55" s="21">
        <f t="shared" si="6"/>
        <v>44.336754064653682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63.458981359453418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21.6</v>
      </c>
      <c r="BD55" s="12">
        <f>IF('Données projet'!$A$88&gt;35,BD54+BC55-BL54,IF(A55&lt;'Données projet'!$A$88,$BA$205^A55,IF(A55='Données projet'!$A$88,'Données projet'!$B$88,BD54+BC55-BL54)))</f>
        <v>529.19999999999982</v>
      </c>
      <c r="BE55" s="13">
        <f>BD55*VLOOKUP('Données projet'!$B$11,Paramètres!$A$1:$I$89,3,0)*VLOOKUP('Données projet'!$B$11,Paramètres!$A$1:$I$89,5,0)</f>
        <v>233.90639999999993</v>
      </c>
      <c r="BF55" s="13">
        <f t="shared" si="37"/>
        <v>57.126506840778347</v>
      </c>
      <c r="BG55" s="20">
        <f t="shared" si="7"/>
        <v>506.8823127476889</v>
      </c>
      <c r="BH55" s="59">
        <f t="shared" si="8"/>
        <v>776.2319110656847</v>
      </c>
      <c r="BI55" s="59">
        <f ca="1">AVERAGE(OFFSET($BH$3,0,0,'Données projet'!$E$11+1,1))-AVERAGE(OFFSET($H$3,0,0,'Données projet'!$E$11+1,1))</f>
        <v>409.91320873873292</v>
      </c>
      <c r="BJ55" s="59">
        <f t="shared" si="38"/>
        <v>347.86310581860698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36.435551295527659</v>
      </c>
      <c r="BQ55" s="21">
        <f>EXP(-LN(2)/25)*BQ54+(1-EXP(-LN(2)/25))/(LN(2)/25)*Calculateur!BL55*Calculateur!BN55*VLOOKUP('Données projet'!$B$11,Paramètres!$A$1:$I$89,3,0)*0.475*44/12</f>
        <v>25.059387822552679</v>
      </c>
      <c r="BR55" s="21">
        <f>EXP(-LN(2)/2)*BR54+(1-EXP(-LN(2)/2))/(LN(2)/2)*BL55*BO55*VLOOKUP('Données projet'!$B$11,Paramètres!$A$1:$I$89,3,0)*0.475*44/12</f>
        <v>3.9373473340684608</v>
      </c>
      <c r="BS55" s="22">
        <f t="shared" si="9"/>
        <v>65.432286452148801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63.458981359453418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63.458981359453418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63.458981359453418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63.458981359453418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63.458981359453418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63.458981359453418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63.458981359453418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3.25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11.916666666666666</v>
      </c>
      <c r="H56" s="67">
        <f t="shared" si="1"/>
        <v>209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63.572453409339985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20.355714285714278</v>
      </c>
      <c r="N56" s="13">
        <f>IF('Données projet'!$A$36&gt;35,N55+M56-V55,IF(A56&lt;'Données projet'!$A$36,$K$205^A56,IF(A56='Données projet'!$A$36,'Données projet'!$B$36,N55+M56-V55)))</f>
        <v>472.96285714285733</v>
      </c>
      <c r="O56" s="13">
        <f>N56*VLOOKUP('Données projet'!$B$9,Paramètres!$A$1:$I$89,3,0)*VLOOKUP('Données projet'!$B$9,Paramètres!$A$1:$I$89,5,0)</f>
        <v>264.38623714285728</v>
      </c>
      <c r="P56" s="13">
        <f t="shared" si="33"/>
        <v>63.656434183712321</v>
      </c>
      <c r="Q56" s="20">
        <f t="shared" si="53"/>
        <v>571.34098589377538</v>
      </c>
      <c r="R56" s="59">
        <f t="shared" si="0"/>
        <v>841.10664839468859</v>
      </c>
      <c r="S56" s="59">
        <f ca="1">AVERAGE(OFFSET($R$3,0,0,'Données projet'!$E$9+1,1))-AVERAGE(OFFSET($H$3,0,0,'Données projet'!$E$9+1,1))</f>
        <v>399.91876225849921</v>
      </c>
      <c r="T56" s="59">
        <f t="shared" si="34"/>
        <v>368.64132082233505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67.720435562471351</v>
      </c>
      <c r="AA56" s="21">
        <f>EXP(-LN(2)/25)*AA55+(1-EXP(-LN(2)/25))/(LN(2)/25)*Calculateur!V56*Calculateur!X56*VLOOKUP('Données projet'!$B$9,Paramètres!$A$1:$I$89,3,0)*0.475*44/12</f>
        <v>27.54580348484091</v>
      </c>
      <c r="AB56" s="21">
        <f>EXP(-LN(2)/2)*AB55+(1-EXP(-LN(2)/2))/(LN(2)/2)*V56*Y56*VLOOKUP('Données projet'!$B$9,Paramètres!$A$1:$I$89,3,0)*0.475*44/12</f>
        <v>3.870797436423643</v>
      </c>
      <c r="AC56" s="22">
        <f t="shared" si="3"/>
        <v>99.137036483735912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63.572453409339985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20.166666666666668</v>
      </c>
      <c r="AI56" s="13">
        <f>IF('Données projet'!$A$62&gt;35,AI55+AH56-AQ55,IF(A56&lt;'Données projet'!$A$62,$AF$205^A56,IF(A56='Données projet'!$A$62,'Données projet'!$B$62,AI55+AH56-AQ55)))</f>
        <v>601.49999999999989</v>
      </c>
      <c r="AJ56" s="13">
        <f>AI56*VLOOKUP('Données projet'!$B$10,Paramètres!$A$1:$I$89,3,0)*VLOOKUP('Données projet'!$B$10,Paramètres!$A$1:$I$89,5,0)</f>
        <v>281.50199999999995</v>
      </c>
      <c r="AK56" s="13">
        <f t="shared" si="35"/>
        <v>67.28432575810065</v>
      </c>
      <c r="AL56" s="20">
        <f t="shared" si="4"/>
        <v>607.46951736202516</v>
      </c>
      <c r="AM56" s="59">
        <f t="shared" si="5"/>
        <v>877.23517986293837</v>
      </c>
      <c r="AN56" s="59">
        <f ca="1">AVERAGE(OFFSET($AM$3,0,0,'Données projet'!$E$10+1,1))-AVERAGE(OFFSET($H$3,0,0,'Données projet'!$E$10+1,1))</f>
        <v>280.35802808205239</v>
      </c>
      <c r="AO56" s="59">
        <f t="shared" si="36"/>
        <v>249.32129349927175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23.166049661460018</v>
      </c>
      <c r="AV56" s="21">
        <f>EXP(-LN(2)/25)*AV55+(1-EXP(-LN(2)/25))/(LN(2)/25)*Calculateur!AQ56*Calculateur!AS56*VLOOKUP('Données projet'!$B$10,Paramètres!$A$1:$I$89,3,0)*0.475*44/12</f>
        <v>17.68362262814615</v>
      </c>
      <c r="AW56" s="21">
        <f>EXP(-LN(2)/2)*AW55+(1-EXP(-LN(2)/2))/(LN(2)/2)*AQ56*AT56*VLOOKUP('Données projet'!$B$10,Paramètres!$A$1:$I$89,3,0)*0.475*44/12</f>
        <v>1.7865542121009128</v>
      </c>
      <c r="AX56" s="21">
        <f t="shared" si="6"/>
        <v>42.636226501707078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63.572453409339985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21.6</v>
      </c>
      <c r="BD56" s="12">
        <f>IF('Données projet'!$A$88&gt;35,BD55+BC56-BL55,IF(A56&lt;'Données projet'!$A$88,$BA$205^A56,IF(A56='Données projet'!$A$88,'Données projet'!$B$88,BD55+BC56-BL55)))</f>
        <v>550.79999999999984</v>
      </c>
      <c r="BE56" s="13">
        <f>BD56*VLOOKUP('Données projet'!$B$11,Paramètres!$A$1:$I$89,3,0)*VLOOKUP('Données projet'!$B$11,Paramètres!$A$1:$I$89,5,0)</f>
        <v>243.45359999999997</v>
      </c>
      <c r="BF56" s="13">
        <f t="shared" si="37"/>
        <v>59.181970343065267</v>
      </c>
      <c r="BG56" s="20">
        <f t="shared" si="7"/>
        <v>527.09028501417185</v>
      </c>
      <c r="BH56" s="59">
        <f t="shared" si="8"/>
        <v>796.85594751508506</v>
      </c>
      <c r="BI56" s="59">
        <f ca="1">AVERAGE(OFFSET($BH$3,0,0,'Données projet'!$E$11+1,1))-AVERAGE(OFFSET($H$3,0,0,'Données projet'!$E$11+1,1))</f>
        <v>409.91320873873292</v>
      </c>
      <c r="BJ56" s="59">
        <f t="shared" si="38"/>
        <v>347.86310581860698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35.721072358114263</v>
      </c>
      <c r="BQ56" s="21">
        <f>EXP(-LN(2)/25)*BQ55+(1-EXP(-LN(2)/25))/(LN(2)/25)*Calculateur!BL56*Calculateur!BN56*VLOOKUP('Données projet'!$B$11,Paramètres!$A$1:$I$89,3,0)*0.475*44/12</f>
        <v>24.374137544729045</v>
      </c>
      <c r="BR56" s="21">
        <f>EXP(-LN(2)/2)*BR55+(1-EXP(-LN(2)/2))/(LN(2)/2)*BL56*BO56*VLOOKUP('Données projet'!$B$11,Paramètres!$A$1:$I$89,3,0)*0.475*44/12</f>
        <v>2.7841249998065836</v>
      </c>
      <c r="BS56" s="22">
        <f t="shared" si="9"/>
        <v>62.879334902649894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63.572453409339985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63.572453409339985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63.572453409339985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63.572453409339985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63.572453409339985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63.572453409339985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63.572453409339985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3.25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11.916666666666666</v>
      </c>
      <c r="H57" s="67">
        <f t="shared" si="1"/>
        <v>209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63.683956972846516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20.355714285714278</v>
      </c>
      <c r="N57" s="13">
        <f>IF('Données projet'!$A$36&gt;35,N56+M57-V56,IF(A57&lt;'Données projet'!$A$36,$K$205^A57,IF(A57='Données projet'!$A$36,'Données projet'!$B$36,N56+M57-V56)))</f>
        <v>493.3185714285716</v>
      </c>
      <c r="O57" s="13">
        <f>N57*VLOOKUP('Données projet'!$B$9,Paramètres!$A$1:$I$89,3,0)*VLOOKUP('Données projet'!$B$9,Paramètres!$A$1:$I$89,5,0)</f>
        <v>275.76508142857153</v>
      </c>
      <c r="P57" s="13">
        <f t="shared" si="33"/>
        <v>66.071256581811042</v>
      </c>
      <c r="Q57" s="20">
        <f t="shared" si="53"/>
        <v>595.36495536808297</v>
      </c>
      <c r="R57" s="59">
        <f t="shared" si="0"/>
        <v>865.53946426852019</v>
      </c>
      <c r="S57" s="59">
        <f ca="1">AVERAGE(OFFSET($R$3,0,0,'Données projet'!$E$9+1,1))-AVERAGE(OFFSET($H$3,0,0,'Données projet'!$E$9+1,1))</f>
        <v>399.91876225849921</v>
      </c>
      <c r="T57" s="59">
        <f t="shared" si="34"/>
        <v>368.64132082233505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66.392479126478406</v>
      </c>
      <c r="AA57" s="21">
        <f>EXP(-LN(2)/25)*AA56+(1-EXP(-LN(2)/25))/(LN(2)/25)*Calculateur!V57*Calculateur!X57*VLOOKUP('Données projet'!$B$9,Paramètres!$A$1:$I$89,3,0)*0.475*44/12</f>
        <v>26.792562039977085</v>
      </c>
      <c r="AB57" s="21">
        <f>EXP(-LN(2)/2)*AB56+(1-EXP(-LN(2)/2))/(LN(2)/2)*V57*Y57*VLOOKUP('Données projet'!$B$9,Paramètres!$A$1:$I$89,3,0)*0.475*44/12</f>
        <v>2.7370671158946625</v>
      </c>
      <c r="AC57" s="22">
        <f t="shared" si="3"/>
        <v>95.922108282350152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63.683956972846516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20.166666666666668</v>
      </c>
      <c r="AI57" s="13">
        <f>IF('Données projet'!$A$62&gt;35,AI56+AH57-AQ56,IF(A57&lt;'Données projet'!$A$62,$AF$205^A57,IF(A57='Données projet'!$A$62,'Données projet'!$B$62,AI56+AH57-AQ56)))</f>
        <v>621.66666666666652</v>
      </c>
      <c r="AJ57" s="13">
        <f>AI57*VLOOKUP('Données projet'!$B$10,Paramètres!$A$1:$I$89,3,0)*VLOOKUP('Données projet'!$B$10,Paramètres!$A$1:$I$89,5,0)</f>
        <v>290.93999999999994</v>
      </c>
      <c r="AK57" s="13">
        <f t="shared" si="35"/>
        <v>69.27376302085473</v>
      </c>
      <c r="AL57" s="20">
        <f t="shared" si="4"/>
        <v>627.37230392798858</v>
      </c>
      <c r="AM57" s="59">
        <f t="shared" si="5"/>
        <v>897.5468128284258</v>
      </c>
      <c r="AN57" s="59">
        <f ca="1">AVERAGE(OFFSET($AM$3,0,0,'Données projet'!$E$10+1,1))-AVERAGE(OFFSET($H$3,0,0,'Données projet'!$E$10+1,1))</f>
        <v>280.35802808205239</v>
      </c>
      <c r="AO57" s="59">
        <f t="shared" si="36"/>
        <v>249.32129349927175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22.711777557493871</v>
      </c>
      <c r="AV57" s="21">
        <f>EXP(-LN(2)/25)*AV56+(1-EXP(-LN(2)/25))/(LN(2)/25)*Calculateur!AQ57*Calculateur!AS57*VLOOKUP('Données projet'!$B$10,Paramètres!$A$1:$I$89,3,0)*0.475*44/12</f>
        <v>17.200063037438195</v>
      </c>
      <c r="AW57" s="21">
        <f>EXP(-LN(2)/2)*AW56+(1-EXP(-LN(2)/2))/(LN(2)/2)*AQ57*AT57*VLOOKUP('Données projet'!$B$10,Paramètres!$A$1:$I$89,3,0)*0.475*44/12</f>
        <v>1.2632845983339451</v>
      </c>
      <c r="AX57" s="21">
        <f t="shared" si="6"/>
        <v>41.175125193266013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63.683956972846516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21.6</v>
      </c>
      <c r="BD57" s="12">
        <f>IF('Données projet'!$A$88&gt;35,BD56+BC57-BL56,IF(A57&lt;'Données projet'!$A$88,$BA$205^A57,IF(A57='Données projet'!$A$88,'Données projet'!$B$88,BD56+BC57-BL56)))</f>
        <v>572.39999999999986</v>
      </c>
      <c r="BE57" s="13">
        <f>BD57*VLOOKUP('Données projet'!$B$11,Paramètres!$A$1:$I$89,3,0)*VLOOKUP('Données projet'!$B$11,Paramètres!$A$1:$I$89,5,0)</f>
        <v>253.00079999999994</v>
      </c>
      <c r="BF57" s="13">
        <f t="shared" si="37"/>
        <v>61.228070105968683</v>
      </c>
      <c r="BG57" s="20">
        <f t="shared" si="7"/>
        <v>547.2819487678953</v>
      </c>
      <c r="BH57" s="59">
        <f t="shared" si="8"/>
        <v>817.45645766833252</v>
      </c>
      <c r="BI57" s="59">
        <f ca="1">AVERAGE(OFFSET($BH$3,0,0,'Données projet'!$E$11+1,1))-AVERAGE(OFFSET($H$3,0,0,'Données projet'!$E$11+1,1))</f>
        <v>409.91320873873292</v>
      </c>
      <c r="BJ57" s="59">
        <f t="shared" si="38"/>
        <v>347.86310581860698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35.020603916874421</v>
      </c>
      <c r="BQ57" s="21">
        <f>EXP(-LN(2)/25)*BQ56+(1-EXP(-LN(2)/25))/(LN(2)/25)*Calculateur!BL57*Calculateur!BN57*VLOOKUP('Données projet'!$B$11,Paramètres!$A$1:$I$89,3,0)*0.475*44/12</f>
        <v>23.707625471788244</v>
      </c>
      <c r="BR57" s="21">
        <f>EXP(-LN(2)/2)*BR56+(1-EXP(-LN(2)/2))/(LN(2)/2)*BL57*BO57*VLOOKUP('Données projet'!$B$11,Paramètres!$A$1:$I$89,3,0)*0.475*44/12</f>
        <v>1.9686736670342306</v>
      </c>
      <c r="BS57" s="22">
        <f t="shared" si="9"/>
        <v>60.6969030556969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63.683956972846516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63.683956972846516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63.683956972846516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63.683956972846516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63.683956972846516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63.683956972846516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63.683956972846516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3.25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11.916666666666666</v>
      </c>
      <c r="H58" s="67">
        <f t="shared" si="1"/>
        <v>209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63.793526198810831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20.355714285714278</v>
      </c>
      <c r="N58" s="13">
        <f>IF('Données projet'!$A$36&gt;35,N57+M58-V57,IF(A58&lt;'Données projet'!$A$36,$K$205^A58,IF(A58='Données projet'!$A$36,'Données projet'!$B$36,N57+M58-V57)))</f>
        <v>513.67428571428593</v>
      </c>
      <c r="O58" s="13">
        <f>N58*VLOOKUP('Données projet'!$B$9,Paramètres!$A$1:$I$89,3,0)*VLOOKUP('Données projet'!$B$9,Paramètres!$A$1:$I$89,5,0)</f>
        <v>287.14392571428584</v>
      </c>
      <c r="P58" s="13">
        <f t="shared" si="33"/>
        <v>68.474504947595136</v>
      </c>
      <c r="Q58" s="20">
        <f t="shared" si="53"/>
        <v>619.36876673610948</v>
      </c>
      <c r="R58" s="59">
        <f t="shared" si="0"/>
        <v>889.9450294650826</v>
      </c>
      <c r="S58" s="59">
        <f ca="1">AVERAGE(OFFSET($R$3,0,0,'Données projet'!$E$9+1,1))-AVERAGE(OFFSET($H$3,0,0,'Données projet'!$E$9+1,1))</f>
        <v>399.91876225849921</v>
      </c>
      <c r="T58" s="59">
        <f t="shared" si="34"/>
        <v>368.64132082233505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65.090563106221836</v>
      </c>
      <c r="AA58" s="21">
        <f>EXP(-LN(2)/25)*AA57+(1-EXP(-LN(2)/25))/(LN(2)/25)*Calculateur!V58*Calculateur!X58*VLOOKUP('Données projet'!$B$9,Paramètres!$A$1:$I$89,3,0)*0.475*44/12</f>
        <v>26.05991802203431</v>
      </c>
      <c r="AB58" s="21">
        <f>EXP(-LN(2)/2)*AB57+(1-EXP(-LN(2)/2))/(LN(2)/2)*V58*Y58*VLOOKUP('Données projet'!$B$9,Paramètres!$A$1:$I$89,3,0)*0.475*44/12</f>
        <v>1.935398718211822</v>
      </c>
      <c r="AC58" s="22">
        <f t="shared" si="3"/>
        <v>93.085879846467975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63.793526198810831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20.166666666666668</v>
      </c>
      <c r="AI58" s="13">
        <f>IF('Données projet'!$A$62&gt;35,AI57+AH58-AQ57,IF(A58&lt;'Données projet'!$A$62,$AF$205^A58,IF(A58='Données projet'!$A$62,'Données projet'!$B$62,AI57+AH58-AQ57)))</f>
        <v>641.83333333333314</v>
      </c>
      <c r="AJ58" s="13">
        <f>AI58*VLOOKUP('Données projet'!$B$10,Paramètres!$A$1:$I$89,3,0)*VLOOKUP('Données projet'!$B$10,Paramètres!$A$1:$I$89,5,0)</f>
        <v>300.37799999999993</v>
      </c>
      <c r="AK58" s="13">
        <f t="shared" si="35"/>
        <v>71.255700986480306</v>
      </c>
      <c r="AL58" s="20">
        <f t="shared" si="4"/>
        <v>647.26202921811966</v>
      </c>
      <c r="AM58" s="59">
        <f t="shared" si="5"/>
        <v>917.83829194709278</v>
      </c>
      <c r="AN58" s="59">
        <f ca="1">AVERAGE(OFFSET($AM$3,0,0,'Données projet'!$E$10+1,1))-AVERAGE(OFFSET($H$3,0,0,'Données projet'!$E$10+1,1))</f>
        <v>280.35802808205239</v>
      </c>
      <c r="AO58" s="59">
        <f t="shared" si="36"/>
        <v>249.32129349927175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22.266413452407875</v>
      </c>
      <c r="AV58" s="21">
        <f>EXP(-LN(2)/25)*AV57+(1-EXP(-LN(2)/25))/(LN(2)/25)*Calculateur!AQ58*Calculateur!AS58*VLOOKUP('Données projet'!$B$10,Paramètres!$A$1:$I$89,3,0)*0.475*44/12</f>
        <v>16.729726409167444</v>
      </c>
      <c r="AW58" s="21">
        <f>EXP(-LN(2)/2)*AW57+(1-EXP(-LN(2)/2))/(LN(2)/2)*AQ58*AT58*VLOOKUP('Données projet'!$B$10,Paramètres!$A$1:$I$89,3,0)*0.475*44/12</f>
        <v>0.89327710605045663</v>
      </c>
      <c r="AX58" s="21">
        <f t="shared" si="6"/>
        <v>39.88941696762577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63.793526198810831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594</v>
      </c>
      <c r="BB58" s="12">
        <f>VLOOKUP(A58,'Données projet'!$A$87:$I$107,9,0)</f>
        <v>21.6</v>
      </c>
      <c r="BC58" s="12">
        <f t="array" ref="BC58">INDEX(BB:BB,MIN(IF(ISNUMBER(BB58:BB254),ROW(BB58:BB254),"")))</f>
        <v>21.6</v>
      </c>
      <c r="BD58" s="12">
        <f>IF('Données projet'!$A$88&gt;35,BD57+BC58-BL57,IF(A58&lt;'Données projet'!$A$88,$BA$205^A58,IF(A58='Données projet'!$A$88,'Données projet'!$B$88,BD57+BC58-BL57)))</f>
        <v>593.99999999999989</v>
      </c>
      <c r="BE58" s="13">
        <f>BD58*VLOOKUP('Données projet'!$B$11,Paramètres!$A$1:$I$89,3,0)*VLOOKUP('Données projet'!$B$11,Paramètres!$A$1:$I$89,5,0)</f>
        <v>262.548</v>
      </c>
      <c r="BF58" s="13">
        <f t="shared" si="37"/>
        <v>63.265199933079444</v>
      </c>
      <c r="BG58" s="20">
        <f t="shared" si="7"/>
        <v>567.45798988344666</v>
      </c>
      <c r="BH58" s="59">
        <f t="shared" si="8"/>
        <v>838.03425261241978</v>
      </c>
      <c r="BI58" s="59">
        <f ca="1">AVERAGE(OFFSET($BH$3,0,0,'Données projet'!$E$11+1,1))-AVERAGE(OFFSET($H$3,0,0,'Données projet'!$E$11+1,1))</f>
        <v>409.91320873873292</v>
      </c>
      <c r="BJ58" s="59">
        <f t="shared" si="38"/>
        <v>347.86310581860698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60</v>
      </c>
      <c r="BM58" s="16">
        <f>IF(ISNA(VLOOKUP(A58,'Données projet'!$A$87:$I$107,5,0)),0%,VLOOKUP(A58,'Données projet'!$A$87:$I$107,5,0)*VLOOKUP('Données projet'!$B$11,Paramètres!$A$1:$I$89,7,0))</f>
        <v>0.33</v>
      </c>
      <c r="BN58" s="16">
        <f>IF(ISNA(VLOOKUP(A58,'Données projet'!$A$87:$I$107,6,0)),0%,VLOOKUP(A58,'Données projet'!$A$87:$I$107,6,0)*VLOOKUP('Données projet'!$B$11,Paramètres!$A$1:$I$89,7,0))</f>
        <v>0.11000000000000001</v>
      </c>
      <c r="BO58" s="16">
        <f>IF(ISNA(VLOOKUP(A58,'Données projet'!$A$87:$I$107,7,0)),0%,VLOOKUP(A58,'Données projet'!$A$87:$I$107,7,0))</f>
        <v>0.2</v>
      </c>
      <c r="BP58" s="21">
        <f>EXP(-LN(2)/35)*BP57+(1-EXP(-LN(2)/35))/(LN(2)/35)*BL58*BM58*VLOOKUP('Données projet'!$B$11,Paramètres!$A$1:$I$89,3,0)*0.475*44/12</f>
        <v>45.943432722748419</v>
      </c>
      <c r="BQ58" s="21">
        <f>EXP(-LN(2)/25)*BQ57+(1-EXP(-LN(2)/25))/(LN(2)/25)*Calculateur!BL58*Calculateur!BN58*VLOOKUP('Données projet'!$B$11,Paramètres!$A$1:$I$89,3,0)*0.475*44/12</f>
        <v>26.913955946884293</v>
      </c>
      <c r="BR58" s="21">
        <f>EXP(-LN(2)/2)*BR57+(1-EXP(-LN(2)/2))/(LN(2)/2)*BL58*BO58*VLOOKUP('Données projet'!$B$11,Paramètres!$A$1:$I$89,3,0)*0.475*44/12</f>
        <v>7.3974226059836692</v>
      </c>
      <c r="BS58" s="22">
        <f t="shared" si="9"/>
        <v>80.254811275616376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63.793526198810831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63.793526198810831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63.793526198810831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63.793526198810831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63.793526198810831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63.793526198810831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63.793526198810831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3.25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11.916666666666666</v>
      </c>
      <c r="H59" s="67">
        <f t="shared" si="1"/>
        <v>209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63.901194643664759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534.03</v>
      </c>
      <c r="L59" s="12">
        <f>VLOOKUP(A59,'Données projet'!$A$35:$I$55,9,0)</f>
        <v>20.355714285714278</v>
      </c>
      <c r="M59" s="12">
        <f t="array" ref="M59">INDEX(L:L,MIN(IF(ISNUMBER(L59:L255),ROW(L59:L255),"")))</f>
        <v>20.355714285714278</v>
      </c>
      <c r="N59" s="13">
        <f>IF('Données projet'!$A$36&gt;35,N58+M59-V58,IF(A59&lt;'Données projet'!$A$36,$K$205^A59,IF(A59='Données projet'!$A$36,'Données projet'!$B$36,N58+M59-V58)))</f>
        <v>534.0300000000002</v>
      </c>
      <c r="O59" s="13">
        <f>N59*VLOOKUP('Données projet'!$B$9,Paramètres!$A$1:$I$89,3,0)*VLOOKUP('Données projet'!$B$9,Paramètres!$A$1:$I$89,5,0)</f>
        <v>298.52277000000015</v>
      </c>
      <c r="P59" s="13">
        <f t="shared" si="33"/>
        <v>70.866690413510668</v>
      </c>
      <c r="Q59" s="20">
        <f t="shared" si="53"/>
        <v>643.35331022019807</v>
      </c>
      <c r="R59" s="59">
        <f t="shared" si="0"/>
        <v>914.32435724696882</v>
      </c>
      <c r="S59" s="59">
        <f ca="1">AVERAGE(OFFSET($R$3,0,0,'Données projet'!$E$9+1,1))-AVERAGE(OFFSET($H$3,0,0,'Données projet'!$E$9+1,1))</f>
        <v>399.91876225849921</v>
      </c>
      <c r="T59" s="59">
        <f t="shared" si="34"/>
        <v>368.64132082233505</v>
      </c>
      <c r="U59" s="15">
        <f>IF(ISNA(VLOOKUP(A59,'Données projet'!$A$35:$I$55,3,0)),0,VLOOKUP(A59,'Données projet'!$A$35:$I$55,3,0))</f>
        <v>6</v>
      </c>
      <c r="V59" s="15">
        <f>IF(ISNA(VLOOKUP(A59,'Données projet'!$A$35:$I$55,4,0)),0,VLOOKUP(A59,'Données projet'!$A$35:$I$55,4,0))</f>
        <v>94.669999999999959</v>
      </c>
      <c r="W59" s="16">
        <f>IF(ISNA(VLOOKUP(A59,'Données projet'!$A$35:$I$55,5,0)),0%,VLOOKUP(A59,'Données projet'!$A$35:$I$55,5,0)*VLOOKUP('Données projet'!$B$9,Paramètres!$A$1:$I$89,7,0))</f>
        <v>0.33</v>
      </c>
      <c r="X59" s="16">
        <f>IF(ISNA(VLOOKUP(A59,'Données projet'!$A$35:$I$55,6,0)),0%,VLOOKUP(A59,'Données projet'!$A$35:$I$55,6,0)*VLOOKUP('Données projet'!$B$9,Paramètres!$A$1:$I$89,7,0))</f>
        <v>0.11000000000000001</v>
      </c>
      <c r="Y59" s="16">
        <f>IF(ISNA(VLOOKUP(A59,'Données projet'!$A$35:$I$55,7,0)),0%,VLOOKUP(A59,'Données projet'!$A$35:$I$55,7,0))</f>
        <v>0.2</v>
      </c>
      <c r="Z59" s="21">
        <f>EXP(-LN(2)/35)*Z58+(1-EXP(-LN(2)/35))/(LN(2)/35)*V59*W59*VLOOKUP('Données projet'!$B$9,Paramètres!$A$1:$I$89,3,0)*0.475*44/12</f>
        <v>86.980999905169341</v>
      </c>
      <c r="AA59" s="21">
        <f>EXP(-LN(2)/25)*AA58+(1-EXP(-LN(2)/25))/(LN(2)/25)*Calculateur!V59*Calculateur!X59*VLOOKUP('Données projet'!$B$9,Paramètres!$A$1:$I$89,3,0)*0.475*44/12</f>
        <v>33.039177003482436</v>
      </c>
      <c r="AB59" s="21">
        <f>EXP(-LN(2)/2)*AB58+(1-EXP(-LN(2)/2))/(LN(2)/2)*V59*Y59*VLOOKUP('Données projet'!$B$9,Paramètres!$A$1:$I$89,3,0)*0.475*44/12</f>
        <v>13.352200211590977</v>
      </c>
      <c r="AC59" s="22">
        <f t="shared" si="3"/>
        <v>133.37237712024276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63.901194643664759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662</v>
      </c>
      <c r="AG59" s="12">
        <f>VLOOKUP(A59,'Données projet'!$A$61:$I$81,9,0)</f>
        <v>20.166666666666668</v>
      </c>
      <c r="AH59" s="12">
        <f t="array" ref="AH59">INDEX(AG:AG,MIN(IF(ISNUMBER(AG59:AG255),ROW(AG59:AG255),"")))</f>
        <v>20.166666666666668</v>
      </c>
      <c r="AI59" s="13">
        <f>IF('Données projet'!$A$62&gt;35,AI58+AH59-AQ58,IF(A59&lt;'Données projet'!$A$62,$AF$205^A59,IF(A59='Données projet'!$A$62,'Données projet'!$B$62,AI58+AH59-AQ58)))</f>
        <v>661.99999999999977</v>
      </c>
      <c r="AJ59" s="13">
        <f>AI59*VLOOKUP('Données projet'!$B$10,Paramètres!$A$1:$I$89,3,0)*VLOOKUP('Données projet'!$B$10,Paramètres!$A$1:$I$89,5,0)</f>
        <v>309.81599999999992</v>
      </c>
      <c r="AK59" s="13">
        <f t="shared" si="35"/>
        <v>73.230402320660119</v>
      </c>
      <c r="AL59" s="20">
        <f t="shared" si="4"/>
        <v>667.13915070848282</v>
      </c>
      <c r="AM59" s="59">
        <f t="shared" si="5"/>
        <v>938.11019773525356</v>
      </c>
      <c r="AN59" s="59">
        <f ca="1">AVERAGE(OFFSET($AM$3,0,0,'Données projet'!$E$10+1,1))-AVERAGE(OFFSET($H$3,0,0,'Données projet'!$E$10+1,1))</f>
        <v>280.35802808205239</v>
      </c>
      <c r="AO59" s="59">
        <f t="shared" si="36"/>
        <v>249.32129349927175</v>
      </c>
      <c r="AP59" s="15">
        <f>IF(ISNA(VLOOKUP(A59,'Données projet'!$A$61:$I$81,3,0)),0,VLOOKUP(A59,'Données projet'!$A$61:$I$81,3,0))</f>
        <v>7</v>
      </c>
      <c r="AQ59" s="15">
        <f>IF(ISNA(VLOOKUP(A59,'Données projet'!$A$61:$I$81,4,0)),0,VLOOKUP(A59,'Données projet'!$A$61:$I$81,4,0))</f>
        <v>662</v>
      </c>
      <c r="AR59" s="16">
        <f>IF(ISNA(VLOOKUP(A59,'Données projet'!$A$61:$I$81,5,0)),0%,VLOOKUP(A59,'Données projet'!$A$61:$I$81,5,0)*VLOOKUP('Données projet'!$B$10,Paramètres!$A$1:$I$89,7,0))</f>
        <v>0.1925</v>
      </c>
      <c r="AS59" s="16">
        <f>IF(ISNA(VLOOKUP(A59,'Données projet'!$A$61:$I$81,6,0)),0%,VLOOKUP(A59,'Données projet'!$A$61:$I$81,6,0)*VLOOKUP('Données projet'!$B$10,Paramètres!$A$1:$I$89,7,0))</f>
        <v>8.2500000000000004E-2</v>
      </c>
      <c r="AT59" s="16">
        <f>IF(ISNA(VLOOKUP(A59,'Données projet'!$A$61:$I$81,7,0)),0%,VLOOKUP(A59,'Données projet'!$A$61:$I$81,7,0))</f>
        <v>0.15</v>
      </c>
      <c r="AU59" s="21">
        <f>EXP(-LN(2)/35)*AU58+(1-EXP(-LN(2)/35))/(LN(2)/35)*AQ59*AR59*VLOOKUP('Données projet'!$B$10,Paramètres!$A$1:$I$89,3,0)*0.475*44/12</f>
        <v>100.94552963112021</v>
      </c>
      <c r="AV59" s="21">
        <f>EXP(-LN(2)/25)*AV58+(1-EXP(-LN(2)/25))/(LN(2)/25)*Calculateur!AQ59*Calculateur!AS59*VLOOKUP('Données projet'!$B$10,Paramètres!$A$1:$I$89,3,0)*0.475*44/12</f>
        <v>50.045496071049556</v>
      </c>
      <c r="AW59" s="21">
        <f>EXP(-LN(2)/2)*AW58+(1-EXP(-LN(2)/2))/(LN(2)/2)*AQ59*AT59*VLOOKUP('Données projet'!$B$10,Paramètres!$A$1:$I$89,3,0)*0.475*44/12</f>
        <v>53.249194522735898</v>
      </c>
      <c r="AX59" s="21">
        <f t="shared" si="6"/>
        <v>204.24022022490567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63.901194643664759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20</v>
      </c>
      <c r="BD59" s="12">
        <f>IF('Données projet'!$A$88&gt;35,BD58+BC59-BL58,IF(A59&lt;'Données projet'!$A$88,$BA$205^A59,IF(A59='Données projet'!$A$88,'Données projet'!$B$88,BD58+BC59-BL58)))</f>
        <v>553.99999999999989</v>
      </c>
      <c r="BE59" s="13">
        <f>BD59*VLOOKUP('Données projet'!$B$11,Paramètres!$A$1:$I$89,3,0)*VLOOKUP('Données projet'!$B$11,Paramètres!$A$1:$I$89,5,0)</f>
        <v>244.86799999999999</v>
      </c>
      <c r="BF59" s="13">
        <f t="shared" si="37"/>
        <v>59.485677215396862</v>
      </c>
      <c r="BG59" s="20">
        <f t="shared" si="7"/>
        <v>530.08265448348277</v>
      </c>
      <c r="BH59" s="59">
        <f t="shared" si="8"/>
        <v>801.05370151025352</v>
      </c>
      <c r="BI59" s="59">
        <f ca="1">AVERAGE(OFFSET($BH$3,0,0,'Données projet'!$E$11+1,1))-AVERAGE(OFFSET($H$3,0,0,'Données projet'!$E$11+1,1))</f>
        <v>409.91320873873292</v>
      </c>
      <c r="BJ59" s="59">
        <f t="shared" si="38"/>
        <v>347.86310581860698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45.042510029782271</v>
      </c>
      <c r="BQ59" s="21">
        <f>EXP(-LN(2)/25)*BQ58+(1-EXP(-LN(2)/25))/(LN(2)/25)*Calculateur!BL59*Calculateur!BN59*VLOOKUP('Données projet'!$B$11,Paramètres!$A$1:$I$89,3,0)*0.475*44/12</f>
        <v>26.177992406173313</v>
      </c>
      <c r="BR59" s="21">
        <f>EXP(-LN(2)/2)*BR58+(1-EXP(-LN(2)/2))/(LN(2)/2)*BL59*BO59*VLOOKUP('Données projet'!$B$11,Paramètres!$A$1:$I$89,3,0)*0.475*44/12</f>
        <v>5.2307676879937146</v>
      </c>
      <c r="BS59" s="22">
        <f t="shared" si="9"/>
        <v>76.4512701239493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63.901194643664759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63.901194643664759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63.901194643664759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63.901194643664759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63.901194643664759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63.901194643664759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63.901194643664759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3.25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11.916666666666666</v>
      </c>
      <c r="H60" s="67">
        <f t="shared" si="1"/>
        <v>209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64.006995281711056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18.617142857142849</v>
      </c>
      <c r="N60" s="13">
        <f>IF('Données projet'!$A$36&gt;35,N59+M60-V59,IF(A60&lt;'Données projet'!$A$36,$K$205^A60,IF(A60='Données projet'!$A$36,'Données projet'!$B$36,N59+M60-V59)))</f>
        <v>457.97714285714312</v>
      </c>
      <c r="O60" s="13">
        <f>N60*VLOOKUP('Données projet'!$B$9,Paramètres!$A$1:$I$89,3,0)*VLOOKUP('Données projet'!$B$9,Paramètres!$A$1:$I$89,5,0)</f>
        <v>256.00922285714302</v>
      </c>
      <c r="P60" s="13">
        <f t="shared" si="33"/>
        <v>61.870941241266237</v>
      </c>
      <c r="Q60" s="20">
        <f t="shared" si="53"/>
        <v>553.64128580472936</v>
      </c>
      <c r="R60" s="59">
        <f t="shared" si="0"/>
        <v>825.00026850433665</v>
      </c>
      <c r="S60" s="59">
        <f ca="1">AVERAGE(OFFSET($R$3,0,0,'Données projet'!$E$9+1,1))-AVERAGE(OFFSET($H$3,0,0,'Données projet'!$E$9+1,1))</f>
        <v>399.91876225849921</v>
      </c>
      <c r="T60" s="59">
        <f t="shared" si="34"/>
        <v>368.64132082233505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85.275355550200345</v>
      </c>
      <c r="AA60" s="21">
        <f>EXP(-LN(2)/25)*AA59+(1-EXP(-LN(2)/25))/(LN(2)/25)*Calculateur!V60*Calculateur!X60*VLOOKUP('Données projet'!$B$9,Paramètres!$A$1:$I$89,3,0)*0.475*44/12</f>
        <v>32.135718970867401</v>
      </c>
      <c r="AB60" s="21">
        <f>EXP(-LN(2)/2)*AB59+(1-EXP(-LN(2)/2))/(LN(2)/2)*V60*Y60*VLOOKUP('Données projet'!$B$9,Paramètres!$A$1:$I$89,3,0)*0.475*44/12</f>
        <v>9.4414313133764356</v>
      </c>
      <c r="AC60" s="22">
        <f t="shared" si="3"/>
        <v>126.85250583444419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64.006995281711056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-2.2737367544323206E-13</v>
      </c>
      <c r="AJ60" s="13">
        <f>AI60*VLOOKUP('Données projet'!$B$10,Paramètres!$A$1:$I$89,3,0)*VLOOKUP('Données projet'!$B$10,Paramètres!$A$1:$I$89,5,0)</f>
        <v>-1.064108801074326E-13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280.35802808205239</v>
      </c>
      <c r="AO60" s="59">
        <f t="shared" si="36"/>
        <v>249.32129349927175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98.966049365747409</v>
      </c>
      <c r="AV60" s="21">
        <f>EXP(-LN(2)/25)*AV59+(1-EXP(-LN(2)/25))/(LN(2)/25)*Calculateur!AQ60*Calculateur!AS60*VLOOKUP('Données projet'!$B$10,Paramètres!$A$1:$I$89,3,0)*0.475*44/12</f>
        <v>48.676999349208451</v>
      </c>
      <c r="AW60" s="21">
        <f>EXP(-LN(2)/2)*AW59+(1-EXP(-LN(2)/2))/(LN(2)/2)*AQ60*AT60*VLOOKUP('Données projet'!$B$10,Paramètres!$A$1:$I$89,3,0)*0.475*44/12</f>
        <v>37.652866539748118</v>
      </c>
      <c r="AX60" s="21">
        <f t="shared" si="6"/>
        <v>185.29591525470397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64.006995281711056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20</v>
      </c>
      <c r="BD60" s="12">
        <f>IF('Données projet'!$A$88&gt;35,BD59+BC60-BL59,IF(A60&lt;'Données projet'!$A$88,$BA$205^A60,IF(A60='Données projet'!$A$88,'Données projet'!$B$88,BD59+BC60-BL59)))</f>
        <v>573.99999999999989</v>
      </c>
      <c r="BE60" s="13">
        <f>BD60*VLOOKUP('Données projet'!$B$11,Paramètres!$A$1:$I$89,3,0)*VLOOKUP('Données projet'!$B$11,Paramètres!$A$1:$I$89,5,0)</f>
        <v>253.70799999999997</v>
      </c>
      <c r="BF60" s="13">
        <f t="shared" si="37"/>
        <v>61.379271588933562</v>
      </c>
      <c r="BG60" s="20">
        <f t="shared" si="7"/>
        <v>548.77699801739243</v>
      </c>
      <c r="BH60" s="59">
        <f t="shared" si="8"/>
        <v>820.13598071699971</v>
      </c>
      <c r="BI60" s="59">
        <f ca="1">AVERAGE(OFFSET($BH$3,0,0,'Données projet'!$E$11+1,1))-AVERAGE(OFFSET($H$3,0,0,'Données projet'!$E$11+1,1))</f>
        <v>409.91320873873292</v>
      </c>
      <c r="BJ60" s="59">
        <f t="shared" si="38"/>
        <v>347.86310581860698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44.159253881316602</v>
      </c>
      <c r="BQ60" s="21">
        <f>EXP(-LN(2)/25)*BQ59+(1-EXP(-LN(2)/25))/(LN(2)/25)*Calculateur!BL60*Calculateur!BN60*VLOOKUP('Données projet'!$B$11,Paramètres!$A$1:$I$89,3,0)*0.475*44/12</f>
        <v>25.462153827185713</v>
      </c>
      <c r="BR60" s="21">
        <f>EXP(-LN(2)/2)*BR59+(1-EXP(-LN(2)/2))/(LN(2)/2)*BL60*BO60*VLOOKUP('Données projet'!$B$11,Paramètres!$A$1:$I$89,3,0)*0.475*44/12</f>
        <v>3.698711302991835</v>
      </c>
      <c r="BS60" s="22">
        <f t="shared" si="9"/>
        <v>73.320119011494157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64.006995281711056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64.006995281711056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64.006995281711056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64.006995281711056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64.006995281711056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64.006995281711056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64.006995281711056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3.25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11.916666666666666</v>
      </c>
      <c r="H61" s="67">
        <f t="shared" si="1"/>
        <v>209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64.110960515222033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18.617142857142849</v>
      </c>
      <c r="N61" s="13">
        <f>IF('Données projet'!$A$36&gt;35,N60+M61-V60,IF(A61&lt;'Données projet'!$A$36,$K$205^A61,IF(A61='Données projet'!$A$36,'Données projet'!$B$36,N60+M61-V60)))</f>
        <v>476.59428571428595</v>
      </c>
      <c r="O61" s="13">
        <f>N61*VLOOKUP('Données projet'!$B$9,Paramètres!$A$1:$I$89,3,0)*VLOOKUP('Données projet'!$B$9,Paramètres!$A$1:$I$89,5,0)</f>
        <v>266.41620571428587</v>
      </c>
      <c r="P61" s="13">
        <f t="shared" si="33"/>
        <v>64.088107222101385</v>
      </c>
      <c r="Q61" s="20">
        <f t="shared" si="53"/>
        <v>575.62834503087436</v>
      </c>
      <c r="R61" s="59">
        <f t="shared" si="0"/>
        <v>847.3685335866885</v>
      </c>
      <c r="S61" s="59">
        <f ca="1">AVERAGE(OFFSET($R$3,0,0,'Données projet'!$E$9+1,1))-AVERAGE(OFFSET($H$3,0,0,'Données projet'!$E$9+1,1))</f>
        <v>399.91876225849921</v>
      </c>
      <c r="T61" s="59">
        <f t="shared" si="34"/>
        <v>368.64132082233505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83.603157840691964</v>
      </c>
      <c r="AA61" s="21">
        <f>EXP(-LN(2)/25)*AA60+(1-EXP(-LN(2)/25))/(LN(2)/25)*Calculateur!V61*Calculateur!X61*VLOOKUP('Données projet'!$B$9,Paramètres!$A$1:$I$89,3,0)*0.475*44/12</f>
        <v>31.25696604566502</v>
      </c>
      <c r="AB61" s="21">
        <f>EXP(-LN(2)/2)*AB60+(1-EXP(-LN(2)/2))/(LN(2)/2)*V61*Y61*VLOOKUP('Données projet'!$B$9,Paramètres!$A$1:$I$89,3,0)*0.475*44/12</f>
        <v>6.6761001057954896</v>
      </c>
      <c r="AC61" s="22">
        <f t="shared" si="3"/>
        <v>121.53622399215247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64.110960515222033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-2.2737367544323206E-13</v>
      </c>
      <c r="AJ61" s="13">
        <f>AI61*VLOOKUP('Données projet'!$B$10,Paramètres!$A$1:$I$89,3,0)*VLOOKUP('Données projet'!$B$10,Paramètres!$A$1:$I$89,5,0)</f>
        <v>-1.064108801074326E-13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280.35802808205239</v>
      </c>
      <c r="AO61" s="59">
        <f t="shared" si="36"/>
        <v>249.32129349927175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97.025385501014838</v>
      </c>
      <c r="AV61" s="21">
        <f>EXP(-LN(2)/25)*AV60+(1-EXP(-LN(2)/25))/(LN(2)/25)*Calculateur!AQ61*Calculateur!AS61*VLOOKUP('Données projet'!$B$10,Paramètres!$A$1:$I$89,3,0)*0.475*44/12</f>
        <v>47.345924242192204</v>
      </c>
      <c r="AW61" s="21">
        <f>EXP(-LN(2)/2)*AW60+(1-EXP(-LN(2)/2))/(LN(2)/2)*AQ61*AT61*VLOOKUP('Données projet'!$B$10,Paramètres!$A$1:$I$89,3,0)*0.475*44/12</f>
        <v>26.624597261367953</v>
      </c>
      <c r="AX61" s="21">
        <f t="shared" si="6"/>
        <v>170.99590700457497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64.110960515222033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20</v>
      </c>
      <c r="BD61" s="12">
        <f>IF('Données projet'!$A$88&gt;35,BD60+BC61-BL60,IF(A61&lt;'Données projet'!$A$88,$BA$205^A61,IF(A61='Données projet'!$A$88,'Données projet'!$B$88,BD60+BC61-BL60)))</f>
        <v>593.99999999999989</v>
      </c>
      <c r="BE61" s="13">
        <f>BD61*VLOOKUP('Données projet'!$B$11,Paramètres!$A$1:$I$89,3,0)*VLOOKUP('Données projet'!$B$11,Paramètres!$A$1:$I$89,5,0)</f>
        <v>262.548</v>
      </c>
      <c r="BF61" s="13">
        <f t="shared" si="37"/>
        <v>63.265199933079444</v>
      </c>
      <c r="BG61" s="20">
        <f t="shared" si="7"/>
        <v>567.45798988344666</v>
      </c>
      <c r="BH61" s="59">
        <f t="shared" si="8"/>
        <v>839.1981784392608</v>
      </c>
      <c r="BI61" s="59">
        <f ca="1">AVERAGE(OFFSET($BH$3,0,0,'Données projet'!$E$11+1,1))-AVERAGE(OFFSET($H$3,0,0,'Données projet'!$E$11+1,1))</f>
        <v>409.91320873873292</v>
      </c>
      <c r="BJ61" s="59">
        <f t="shared" si="38"/>
        <v>347.86310581860698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43.293317847189293</v>
      </c>
      <c r="BQ61" s="21">
        <f>EXP(-LN(2)/25)*BQ60+(1-EXP(-LN(2)/25))/(LN(2)/25)*Calculateur!BL61*Calculateur!BN61*VLOOKUP('Données projet'!$B$11,Paramètres!$A$1:$I$89,3,0)*0.475*44/12</f>
        <v>24.765889891784845</v>
      </c>
      <c r="BR61" s="21">
        <f>EXP(-LN(2)/2)*BR60+(1-EXP(-LN(2)/2))/(LN(2)/2)*BL61*BO61*VLOOKUP('Données projet'!$B$11,Paramètres!$A$1:$I$89,3,0)*0.475*44/12</f>
        <v>2.6153838439968577</v>
      </c>
      <c r="BS61" s="22">
        <f t="shared" si="9"/>
        <v>70.67459158297099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64.110960515222033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64.110960515222033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64.110960515222033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64.110960515222033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64.110960515222033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64.110960515222033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64.110960515222033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3.25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11.916666666666666</v>
      </c>
      <c r="H62" s="67">
        <f t="shared" si="1"/>
        <v>209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64.213122184363044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18.617142857142849</v>
      </c>
      <c r="N62" s="13">
        <f>IF('Données projet'!$A$36&gt;35,N61+M62-V61,IF(A62&lt;'Données projet'!$A$36,$K$205^A62,IF(A62='Données projet'!$A$36,'Données projet'!$B$36,N61+M62-V61)))</f>
        <v>495.21142857142877</v>
      </c>
      <c r="O62" s="13">
        <f>N62*VLOOKUP('Données projet'!$B$9,Paramètres!$A$1:$I$89,3,0)*VLOOKUP('Données projet'!$B$9,Paramètres!$A$1:$I$89,5,0)</f>
        <v>276.82318857142872</v>
      </c>
      <c r="P62" s="13">
        <f t="shared" si="33"/>
        <v>66.295212111853616</v>
      </c>
      <c r="Q62" s="20">
        <f t="shared" si="53"/>
        <v>597.59788119005009</v>
      </c>
      <c r="R62" s="59">
        <f t="shared" si="0"/>
        <v>869.7126625327146</v>
      </c>
      <c r="S62" s="59">
        <f ca="1">AVERAGE(OFFSET($R$3,0,0,'Données projet'!$E$9+1,1))-AVERAGE(OFFSET($H$3,0,0,'Données projet'!$E$9+1,1))</f>
        <v>399.91876225849921</v>
      </c>
      <c r="T62" s="59">
        <f t="shared" si="34"/>
        <v>368.64132082233505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81.963750908327142</v>
      </c>
      <c r="AA62" s="21">
        <f>EXP(-LN(2)/25)*AA61+(1-EXP(-LN(2)/25))/(LN(2)/25)*Calculateur!V62*Calculateur!X62*VLOOKUP('Données projet'!$B$9,Paramètres!$A$1:$I$89,3,0)*0.475*44/12</f>
        <v>30.402242665413905</v>
      </c>
      <c r="AB62" s="21">
        <f>EXP(-LN(2)/2)*AB61+(1-EXP(-LN(2)/2))/(LN(2)/2)*V62*Y62*VLOOKUP('Données projet'!$B$9,Paramètres!$A$1:$I$89,3,0)*0.475*44/12</f>
        <v>4.7207156566882187</v>
      </c>
      <c r="AC62" s="22">
        <f t="shared" si="3"/>
        <v>117.08670923042926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64.213122184363044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-2.2737367544323206E-13</v>
      </c>
      <c r="AJ62" s="13">
        <f>AI62*VLOOKUP('Données projet'!$B$10,Paramètres!$A$1:$I$89,3,0)*VLOOKUP('Données projet'!$B$10,Paramètres!$A$1:$I$89,5,0)</f>
        <v>-1.064108801074326E-13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280.35802808205239</v>
      </c>
      <c r="AO62" s="59">
        <f t="shared" si="36"/>
        <v>249.32129349927175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95.122776870981582</v>
      </c>
      <c r="AV62" s="21">
        <f>EXP(-LN(2)/25)*AV61+(1-EXP(-LN(2)/25))/(LN(2)/25)*Calculateur!AQ62*Calculateur!AS62*VLOOKUP('Données projet'!$B$10,Paramètres!$A$1:$I$89,3,0)*0.475*44/12</f>
        <v>46.051247453975513</v>
      </c>
      <c r="AW62" s="21">
        <f>EXP(-LN(2)/2)*AW61+(1-EXP(-LN(2)/2))/(LN(2)/2)*AQ62*AT62*VLOOKUP('Données projet'!$B$10,Paramètres!$A$1:$I$89,3,0)*0.475*44/12</f>
        <v>18.826433269874062</v>
      </c>
      <c r="AX62" s="21">
        <f t="shared" si="6"/>
        <v>160.00045759483115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64.213122184363044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20</v>
      </c>
      <c r="BD62" s="12">
        <f>IF('Données projet'!$A$88&gt;35,BD61+BC62-BL61,IF(A62&lt;'Données projet'!$A$88,$BA$205^A62,IF(A62='Données projet'!$A$88,'Données projet'!$B$88,BD61+BC62-BL61)))</f>
        <v>613.99999999999989</v>
      </c>
      <c r="BE62" s="13">
        <f>BD62*VLOOKUP('Données projet'!$B$11,Paramètres!$A$1:$I$89,3,0)*VLOOKUP('Données projet'!$B$11,Paramètres!$A$1:$I$89,5,0)</f>
        <v>271.38799999999998</v>
      </c>
      <c r="BF62" s="13">
        <f t="shared" si="37"/>
        <v>65.143749954435705</v>
      </c>
      <c r="BG62" s="20">
        <f t="shared" si="7"/>
        <v>586.12613117064211</v>
      </c>
      <c r="BH62" s="59">
        <f t="shared" si="8"/>
        <v>858.24091251330651</v>
      </c>
      <c r="BI62" s="59">
        <f ca="1">AVERAGE(OFFSET($BH$3,0,0,'Données projet'!$E$11+1,1))-AVERAGE(OFFSET($H$3,0,0,'Données projet'!$E$11+1,1))</f>
        <v>409.91320873873292</v>
      </c>
      <c r="BJ62" s="59">
        <f t="shared" si="38"/>
        <v>347.86310581860698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42.444362290522392</v>
      </c>
      <c r="BQ62" s="21">
        <f>EXP(-LN(2)/25)*BQ61+(1-EXP(-LN(2)/25))/(LN(2)/25)*Calculateur!BL62*Calculateur!BN62*VLOOKUP('Données projet'!$B$11,Paramètres!$A$1:$I$89,3,0)*0.475*44/12</f>
        <v>24.088665330312441</v>
      </c>
      <c r="BR62" s="21">
        <f>EXP(-LN(2)/2)*BR61+(1-EXP(-LN(2)/2))/(LN(2)/2)*BL62*BO62*VLOOKUP('Données projet'!$B$11,Paramètres!$A$1:$I$89,3,0)*0.475*44/12</f>
        <v>1.8493556514959177</v>
      </c>
      <c r="BS62" s="22">
        <f t="shared" si="9"/>
        <v>68.382383272330742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64.213122184363044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64.213122184363044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64.213122184363044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64.213122184363044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64.213122184363044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64.213122184363044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64.213122184363044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3.25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11.916666666666666</v>
      </c>
      <c r="H63" s="67">
        <f t="shared" si="1"/>
        <v>209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64.313511576943739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18.617142857142849</v>
      </c>
      <c r="N63" s="13">
        <f>IF('Données projet'!$A$36&gt;35,N62+M63-V62,IF(A63&lt;'Données projet'!$A$36,$K$205^A63,IF(A63='Données projet'!$A$36,'Données projet'!$B$36,N62+M63-V62)))</f>
        <v>513.82857142857165</v>
      </c>
      <c r="O63" s="13">
        <f>N63*VLOOKUP('Données projet'!$B$9,Paramètres!$A$1:$I$89,3,0)*VLOOKUP('Données projet'!$B$9,Paramètres!$A$1:$I$89,5,0)</f>
        <v>287.23017142857157</v>
      </c>
      <c r="P63" s="13">
        <f t="shared" si="33"/>
        <v>68.492677457199264</v>
      </c>
      <c r="Q63" s="20">
        <f t="shared" si="53"/>
        <v>619.55062847605086</v>
      </c>
      <c r="R63" s="59">
        <f t="shared" si="0"/>
        <v>892.03350425817791</v>
      </c>
      <c r="S63" s="59">
        <f ca="1">AVERAGE(OFFSET($R$3,0,0,'Données projet'!$E$9+1,1))-AVERAGE(OFFSET($H$3,0,0,'Données projet'!$E$9+1,1))</f>
        <v>399.91876225849921</v>
      </c>
      <c r="T63" s="59">
        <f t="shared" si="34"/>
        <v>368.64132082233505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80.356491745966508</v>
      </c>
      <c r="AA63" s="21">
        <f>EXP(-LN(2)/25)*AA62+(1-EXP(-LN(2)/25))/(LN(2)/25)*Calculateur!V63*Calculateur!X63*VLOOKUP('Données projet'!$B$9,Paramètres!$A$1:$I$89,3,0)*0.475*44/12</f>
        <v>29.570891740943704</v>
      </c>
      <c r="AB63" s="21">
        <f>EXP(-LN(2)/2)*AB62+(1-EXP(-LN(2)/2))/(LN(2)/2)*V63*Y63*VLOOKUP('Données projet'!$B$9,Paramètres!$A$1:$I$89,3,0)*0.475*44/12</f>
        <v>3.3380500528977457</v>
      </c>
      <c r="AC63" s="22">
        <f t="shared" si="3"/>
        <v>113.26543353980796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64.313511576943739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-2.2737367544323206E-13</v>
      </c>
      <c r="AJ63" s="13">
        <f>AI63*VLOOKUP('Données projet'!$B$10,Paramètres!$A$1:$I$89,3,0)*VLOOKUP('Données projet'!$B$10,Paramètres!$A$1:$I$89,5,0)</f>
        <v>-1.064108801074326E-13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280.35802808205239</v>
      </c>
      <c r="AO63" s="59">
        <f t="shared" si="36"/>
        <v>249.32129349927175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93.257477235706602</v>
      </c>
      <c r="AV63" s="21">
        <f>EXP(-LN(2)/25)*AV62+(1-EXP(-LN(2)/25))/(LN(2)/25)*Calculateur!AQ63*Calculateur!AS63*VLOOKUP('Données projet'!$B$10,Paramètres!$A$1:$I$89,3,0)*0.475*44/12</f>
        <v>44.791973670616699</v>
      </c>
      <c r="AW63" s="21">
        <f>EXP(-LN(2)/2)*AW62+(1-EXP(-LN(2)/2))/(LN(2)/2)*AQ63*AT63*VLOOKUP('Données projet'!$B$10,Paramètres!$A$1:$I$89,3,0)*0.475*44/12</f>
        <v>13.312298630683978</v>
      </c>
      <c r="AX63" s="21">
        <f t="shared" si="6"/>
        <v>151.36174953700728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64.313511576943739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634</v>
      </c>
      <c r="BB63" s="12">
        <f>VLOOKUP(A63,'Données projet'!$A$87:$I$107,9,0)</f>
        <v>20</v>
      </c>
      <c r="BC63" s="12">
        <f t="array" ref="BC63">INDEX(BB:BB,MIN(IF(ISNUMBER(BB63:BB259),ROW(BB63:BB259),"")))</f>
        <v>20</v>
      </c>
      <c r="BD63" s="12">
        <f>IF('Données projet'!$A$88&gt;35,BD62+BC63-BL62,IF(A63&lt;'Données projet'!$A$88,$BA$205^A63,IF(A63='Données projet'!$A$88,'Données projet'!$B$88,BD62+BC63-BL62)))</f>
        <v>633.99999999999989</v>
      </c>
      <c r="BE63" s="13">
        <f>BD63*VLOOKUP('Données projet'!$B$11,Paramètres!$A$1:$I$89,3,0)*VLOOKUP('Données projet'!$B$11,Paramètres!$A$1:$I$89,5,0)</f>
        <v>280.22799999999995</v>
      </c>
      <c r="BF63" s="13">
        <f t="shared" si="37"/>
        <v>67.015189552564891</v>
      </c>
      <c r="BG63" s="20">
        <f t="shared" si="7"/>
        <v>604.78188847071704</v>
      </c>
      <c r="BH63" s="59">
        <f t="shared" si="8"/>
        <v>877.26476425284409</v>
      </c>
      <c r="BI63" s="59">
        <f ca="1">AVERAGE(OFFSET($BH$3,0,0,'Données projet'!$E$11+1,1))-AVERAGE(OFFSET($H$3,0,0,'Données projet'!$E$11+1,1))</f>
        <v>409.91320873873292</v>
      </c>
      <c r="BJ63" s="59">
        <f t="shared" si="38"/>
        <v>347.86310581860698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53</v>
      </c>
      <c r="BM63" s="16">
        <f>IF(ISNA(VLOOKUP(A63,'Données projet'!$A$87:$I$107,5,0)),0%,VLOOKUP(A63,'Données projet'!$A$87:$I$107,5,0)*VLOOKUP('Données projet'!$B$11,Paramètres!$A$1:$I$89,7,0))</f>
        <v>0.33</v>
      </c>
      <c r="BN63" s="16">
        <f>IF(ISNA(VLOOKUP(A63,'Données projet'!$A$87:$I$107,6,0)),0%,VLOOKUP(A63,'Données projet'!$A$87:$I$107,6,0)*VLOOKUP('Données projet'!$B$11,Paramètres!$A$1:$I$89,7,0))</f>
        <v>0.11000000000000001</v>
      </c>
      <c r="BO63" s="16">
        <f>IF(ISNA(VLOOKUP(A63,'Données projet'!$A$87:$I$107,7,0)),0%,VLOOKUP(A63,'Données projet'!$A$87:$I$107,7,0))</f>
        <v>0.2</v>
      </c>
      <c r="BP63" s="21">
        <f>EXP(-LN(2)/35)*BP62+(1-EXP(-LN(2)/35))/(LN(2)/35)*BL63*BM63*VLOOKUP('Données projet'!$B$11,Paramètres!$A$1:$I$89,3,0)*0.475*44/12</f>
        <v>51.867166882441772</v>
      </c>
      <c r="BQ63" s="21">
        <f>EXP(-LN(2)/25)*BQ62+(1-EXP(-LN(2)/25))/(LN(2)/25)*Calculateur!BL63*Calculateur!BN63*VLOOKUP('Données projet'!$B$11,Paramètres!$A$1:$I$89,3,0)*0.475*44/12</f>
        <v>26.834870964064738</v>
      </c>
      <c r="BR63" s="21">
        <f>EXP(-LN(2)/2)*BR62+(1-EXP(-LN(2)/2))/(LN(2)/2)*BL63*BO63*VLOOKUP('Données projet'!$B$11,Paramètres!$A$1:$I$89,3,0)*0.475*44/12</f>
        <v>6.6124266823694278</v>
      </c>
      <c r="BS63" s="22">
        <f t="shared" si="9"/>
        <v>85.314464528875945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64.313511576943739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64.313511576943739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64.313511576943739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64.313511576943739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64.313511576943739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64.313511576943739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64.313511576943739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3.25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11.916666666666666</v>
      </c>
      <c r="H64" s="67">
        <f t="shared" si="1"/>
        <v>209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64.412159438000202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18.617142857142849</v>
      </c>
      <c r="N64" s="13">
        <f>IF('Données projet'!$A$36&gt;35,N63+M64-V63,IF(A64&lt;'Données projet'!$A$36,$K$205^A64,IF(A64='Données projet'!$A$36,'Données projet'!$B$36,N63+M64-V63)))</f>
        <v>532.44571428571453</v>
      </c>
      <c r="O64" s="13">
        <f>N64*VLOOKUP('Données projet'!$B$9,Paramètres!$A$1:$I$89,3,0)*VLOOKUP('Données projet'!$B$9,Paramètres!$A$1:$I$89,5,0)</f>
        <v>297.63715428571442</v>
      </c>
      <c r="P64" s="13">
        <f t="shared" si="33"/>
        <v>70.680892526366577</v>
      </c>
      <c r="Q64" s="20">
        <f t="shared" si="53"/>
        <v>641.48726486437431</v>
      </c>
      <c r="R64" s="59">
        <f t="shared" si="0"/>
        <v>914.33184947037512</v>
      </c>
      <c r="S64" s="59">
        <f ca="1">AVERAGE(OFFSET($R$3,0,0,'Données projet'!$E$9+1,1))-AVERAGE(OFFSET($H$3,0,0,'Données projet'!$E$9+1,1))</f>
        <v>399.91876225849921</v>
      </c>
      <c r="T64" s="59">
        <f t="shared" si="34"/>
        <v>368.64132082233505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78.780749955448471</v>
      </c>
      <c r="AA64" s="21">
        <f>EXP(-LN(2)/25)*AA63+(1-EXP(-LN(2)/25))/(LN(2)/25)*Calculateur!V64*Calculateur!X64*VLOOKUP('Données projet'!$B$9,Paramètres!$A$1:$I$89,3,0)*0.475*44/12</f>
        <v>28.762274151221987</v>
      </c>
      <c r="AB64" s="21">
        <f>EXP(-LN(2)/2)*AB63+(1-EXP(-LN(2)/2))/(LN(2)/2)*V64*Y64*VLOOKUP('Données projet'!$B$9,Paramètres!$A$1:$I$89,3,0)*0.475*44/12</f>
        <v>2.3603578283441098</v>
      </c>
      <c r="AC64" s="22">
        <f t="shared" si="3"/>
        <v>109.90338193501456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64.412159438000202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-2.2737367544323206E-13</v>
      </c>
      <c r="AJ64" s="13">
        <f>AI64*VLOOKUP('Données projet'!$B$10,Paramètres!$A$1:$I$89,3,0)*VLOOKUP('Données projet'!$B$10,Paramètres!$A$1:$I$89,5,0)</f>
        <v>-1.064108801074326E-13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280.35802808205239</v>
      </c>
      <c r="AO64" s="59">
        <f t="shared" si="36"/>
        <v>249.32129349927175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91.428754988558936</v>
      </c>
      <c r="AV64" s="21">
        <f>EXP(-LN(2)/25)*AV63+(1-EXP(-LN(2)/25))/(LN(2)/25)*Calculateur!AQ64*Calculateur!AS64*VLOOKUP('Données projet'!$B$10,Paramètres!$A$1:$I$89,3,0)*0.475*44/12</f>
        <v>43.567134795086162</v>
      </c>
      <c r="AW64" s="21">
        <f>EXP(-LN(2)/2)*AW63+(1-EXP(-LN(2)/2))/(LN(2)/2)*AQ64*AT64*VLOOKUP('Données projet'!$B$10,Paramètres!$A$1:$I$89,3,0)*0.475*44/12</f>
        <v>9.413216634937033</v>
      </c>
      <c r="AX64" s="21">
        <f t="shared" si="6"/>
        <v>144.40910641858216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64.412159438000202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18.600000000000001</v>
      </c>
      <c r="BD64" s="12">
        <f>IF('Données projet'!$A$88&gt;35,BD63+BC64-BL63,IF(A64&lt;'Données projet'!$A$88,$BA$205^A64,IF(A64='Données projet'!$A$88,'Données projet'!$B$88,BD63+BC64-BL63)))</f>
        <v>599.59999999999991</v>
      </c>
      <c r="BE64" s="13">
        <f>BD64*VLOOKUP('Données projet'!$B$11,Paramètres!$A$1:$I$89,3,0)*VLOOKUP('Données projet'!$B$11,Paramètres!$A$1:$I$89,5,0)</f>
        <v>265.02319999999997</v>
      </c>
      <c r="BF64" s="13">
        <f t="shared" si="37"/>
        <v>63.791925803293047</v>
      </c>
      <c r="BG64" s="20">
        <f t="shared" si="7"/>
        <v>572.68634410740208</v>
      </c>
      <c r="BH64" s="59">
        <f t="shared" si="8"/>
        <v>845.53092871340277</v>
      </c>
      <c r="BI64" s="59">
        <f ca="1">AVERAGE(OFFSET($BH$3,0,0,'Données projet'!$E$11+1,1))-AVERAGE(OFFSET($H$3,0,0,'Données projet'!$E$11+1,1))</f>
        <v>409.91320873873292</v>
      </c>
      <c r="BJ64" s="59">
        <f t="shared" si="38"/>
        <v>347.86310581860698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50.850083375725106</v>
      </c>
      <c r="BQ64" s="21">
        <f>EXP(-LN(2)/25)*BQ63+(1-EXP(-LN(2)/25))/(LN(2)/25)*Calculateur!BL64*Calculateur!BN64*VLOOKUP('Données projet'!$B$11,Paramètres!$A$1:$I$89,3,0)*0.475*44/12</f>
        <v>26.101070006367856</v>
      </c>
      <c r="BR64" s="21">
        <f>EXP(-LN(2)/2)*BR63+(1-EXP(-LN(2)/2))/(LN(2)/2)*BL64*BO64*VLOOKUP('Données projet'!$B$11,Paramètres!$A$1:$I$89,3,0)*0.475*44/12</f>
        <v>4.6756917472022881</v>
      </c>
      <c r="BS64" s="22">
        <f t="shared" si="9"/>
        <v>81.626845129295262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64.412159438000202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64.412159438000202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64.412159438000202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64.412159438000202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64.412159438000202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64.412159438000202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64.412159438000202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3.25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11.916666666666666</v>
      </c>
      <c r="H65" s="67">
        <f t="shared" si="1"/>
        <v>209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64.509095979210912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18.617142857142849</v>
      </c>
      <c r="N65" s="13">
        <f>IF('Données projet'!$A$36&gt;35,N64+M65-V64,IF(A65&lt;'Données projet'!$A$36,$K$205^A65,IF(A65='Données projet'!$A$36,'Données projet'!$B$36,N64+M65-V64)))</f>
        <v>551.06285714285741</v>
      </c>
      <c r="O65" s="13">
        <f>N65*VLOOKUP('Données projet'!$B$9,Paramètres!$A$1:$I$89,3,0)*VLOOKUP('Données projet'!$B$9,Paramètres!$A$1:$I$89,5,0)</f>
        <v>308.04413714285727</v>
      </c>
      <c r="P65" s="13">
        <f t="shared" si="33"/>
        <v>72.860217822174434</v>
      </c>
      <c r="Q65" s="20">
        <f t="shared" si="53"/>
        <v>663.40841823076346</v>
      </c>
      <c r="R65" s="59">
        <f t="shared" si="0"/>
        <v>936.60843682120344</v>
      </c>
      <c r="S65" s="59">
        <f ca="1">AVERAGE(OFFSET($R$3,0,0,'Données projet'!$E$9+1,1))-AVERAGE(OFFSET($H$3,0,0,'Données projet'!$E$9+1,1))</f>
        <v>399.91876225849921</v>
      </c>
      <c r="T65" s="59">
        <f t="shared" si="34"/>
        <v>368.64132082233505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77.235907500334903</v>
      </c>
      <c r="AA65" s="21">
        <f>EXP(-LN(2)/25)*AA64+(1-EXP(-LN(2)/25))/(LN(2)/25)*Calculateur!V65*Calculateur!X65*VLOOKUP('Données projet'!$B$9,Paramètres!$A$1:$I$89,3,0)*0.475*44/12</f>
        <v>27.975768252014561</v>
      </c>
      <c r="AB65" s="21">
        <f>EXP(-LN(2)/2)*AB64+(1-EXP(-LN(2)/2))/(LN(2)/2)*V65*Y65*VLOOKUP('Données projet'!$B$9,Paramètres!$A$1:$I$89,3,0)*0.475*44/12</f>
        <v>1.6690250264488731</v>
      </c>
      <c r="AC65" s="22">
        <f t="shared" si="3"/>
        <v>106.88070077879834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64.509095979210912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-2.2737367544323206E-13</v>
      </c>
      <c r="AJ65" s="13">
        <f>AI65*VLOOKUP('Données projet'!$B$10,Paramètres!$A$1:$I$89,3,0)*VLOOKUP('Données projet'!$B$10,Paramètres!$A$1:$I$89,5,0)</f>
        <v>-1.064108801074326E-13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280.35802808205239</v>
      </c>
      <c r="AO65" s="59">
        <f t="shared" si="36"/>
        <v>249.32129349927175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89.635892869267394</v>
      </c>
      <c r="AV65" s="21">
        <f>EXP(-LN(2)/25)*AV64+(1-EXP(-LN(2)/25))/(LN(2)/25)*Calculateur!AQ65*Calculateur!AS65*VLOOKUP('Données projet'!$B$10,Paramètres!$A$1:$I$89,3,0)*0.475*44/12</f>
        <v>42.375789203018485</v>
      </c>
      <c r="AW65" s="21">
        <f>EXP(-LN(2)/2)*AW64+(1-EXP(-LN(2)/2))/(LN(2)/2)*AQ65*AT65*VLOOKUP('Données projet'!$B$10,Paramètres!$A$1:$I$89,3,0)*0.475*44/12</f>
        <v>6.6561493153419899</v>
      </c>
      <c r="AX65" s="21">
        <f t="shared" si="6"/>
        <v>138.66783138762787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64.509095979210912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18.600000000000001</v>
      </c>
      <c r="BD65" s="12">
        <f>IF('Données projet'!$A$88&gt;35,BD64+BC65-BL64,IF(A65&lt;'Données projet'!$A$88,$BA$205^A65,IF(A65='Données projet'!$A$88,'Données projet'!$B$88,BD64+BC65-BL64)))</f>
        <v>618.19999999999993</v>
      </c>
      <c r="BE65" s="13">
        <f>BD65*VLOOKUP('Données projet'!$B$11,Paramètres!$A$1:$I$89,3,0)*VLOOKUP('Données projet'!$B$11,Paramètres!$A$1:$I$89,5,0)</f>
        <v>273.24439999999998</v>
      </c>
      <c r="BF65" s="13">
        <f t="shared" si="37"/>
        <v>65.537333458790869</v>
      </c>
      <c r="BG65" s="20">
        <f t="shared" si="7"/>
        <v>590.04485244072748</v>
      </c>
      <c r="BH65" s="59">
        <f t="shared" si="8"/>
        <v>863.24487103116758</v>
      </c>
      <c r="BI65" s="59">
        <f ca="1">AVERAGE(OFFSET($BH$3,0,0,'Données projet'!$E$11+1,1))-AVERAGE(OFFSET($H$3,0,0,'Données projet'!$E$11+1,1))</f>
        <v>409.91320873873292</v>
      </c>
      <c r="BJ65" s="59">
        <f t="shared" si="38"/>
        <v>347.86310581860698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49.852944256215473</v>
      </c>
      <c r="BQ65" s="21">
        <f>EXP(-LN(2)/25)*BQ64+(1-EXP(-LN(2)/25))/(LN(2)/25)*Calculateur!BL65*Calculateur!BN65*VLOOKUP('Données projet'!$B$11,Paramètres!$A$1:$I$89,3,0)*0.475*44/12</f>
        <v>25.387334874448111</v>
      </c>
      <c r="BR65" s="21">
        <f>EXP(-LN(2)/2)*BR64+(1-EXP(-LN(2)/2))/(LN(2)/2)*BL65*BO65*VLOOKUP('Données projet'!$B$11,Paramètres!$A$1:$I$89,3,0)*0.475*44/12</f>
        <v>3.3062133411847148</v>
      </c>
      <c r="BS65" s="22">
        <f t="shared" si="9"/>
        <v>78.546492471848296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64.509095979210912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64.509095979210912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64.509095979210912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64.509095979210912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64.509095979210912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64.509095979210912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64.509095979210912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3.25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11.916666666666666</v>
      </c>
      <c r="H66" s="67">
        <f t="shared" si="1"/>
        <v>209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64.60435088814927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569.67999999999995</v>
      </c>
      <c r="L66" s="12">
        <f>VLOOKUP(A66,'Données projet'!$A$35:$I$55,9,0)</f>
        <v>18.617142857142849</v>
      </c>
      <c r="M66" s="12">
        <f t="array" ref="M66">INDEX(L:L,MIN(IF(ISNUMBER(L66:L262),ROW(L66:L262),"")))</f>
        <v>18.617142857142849</v>
      </c>
      <c r="N66" s="13">
        <f>IF('Données projet'!$A$36&gt;35,N65+M66-V65,IF(A66&lt;'Données projet'!$A$36,$K$205^A66,IF(A66='Données projet'!$A$36,'Données projet'!$B$36,N65+M66-V65)))</f>
        <v>569.68000000000029</v>
      </c>
      <c r="O66" s="13">
        <f>N66*VLOOKUP('Données projet'!$B$9,Paramètres!$A$1:$I$89,3,0)*VLOOKUP('Données projet'!$B$9,Paramètres!$A$1:$I$89,5,0)</f>
        <v>318.45112000000017</v>
      </c>
      <c r="P66" s="13">
        <f t="shared" si="33"/>
        <v>75.030988106995281</v>
      </c>
      <c r="Q66" s="20">
        <f t="shared" si="53"/>
        <v>685.31467161968374</v>
      </c>
      <c r="R66" s="59">
        <f t="shared" si="0"/>
        <v>958.86395820956432</v>
      </c>
      <c r="S66" s="59">
        <f ca="1">AVERAGE(OFFSET($R$3,0,0,'Données projet'!$E$9+1,1))-AVERAGE(OFFSET($H$3,0,0,'Données projet'!$E$9+1,1))</f>
        <v>399.91876225849921</v>
      </c>
      <c r="T66" s="59">
        <f t="shared" si="34"/>
        <v>368.64132082233505</v>
      </c>
      <c r="U66" s="15">
        <f>IF(ISNA(VLOOKUP(A66,'Données projet'!$A$35:$I$55,3,0)),0,VLOOKUP(A66,'Données projet'!$A$35:$I$55,3,0))</f>
        <v>7</v>
      </c>
      <c r="V66" s="15">
        <f>IF(ISNA(VLOOKUP(A66,'Données projet'!$A$35:$I$55,4,0)),0,VLOOKUP(A66,'Données projet'!$A$35:$I$55,4,0))</f>
        <v>99.599999999999966</v>
      </c>
      <c r="W66" s="16">
        <f>IF(ISNA(VLOOKUP(A66,'Données projet'!$A$35:$I$55,5,0)),0%,VLOOKUP(A66,'Données projet'!$A$35:$I$55,5,0)*VLOOKUP('Données projet'!$B$9,Paramètres!$A$1:$I$89,7,0))</f>
        <v>0.33</v>
      </c>
      <c r="X66" s="16">
        <f>IF(ISNA(VLOOKUP(A66,'Données projet'!$A$35:$I$55,6,0)),0%,VLOOKUP(A66,'Données projet'!$A$35:$I$55,6,0)*VLOOKUP('Données projet'!$B$9,Paramètres!$A$1:$I$89,7,0))</f>
        <v>0.11000000000000001</v>
      </c>
      <c r="Y66" s="16">
        <f>IF(ISNA(VLOOKUP(A66,'Données projet'!$A$35:$I$55,7,0)),0%,VLOOKUP(A66,'Données projet'!$A$35:$I$55,7,0))</f>
        <v>0.2</v>
      </c>
      <c r="Z66" s="21">
        <f>EXP(-LN(2)/35)*Z65+(1-EXP(-LN(2)/35))/(LN(2)/35)*V66*W66*VLOOKUP('Données projet'!$B$9,Paramètres!$A$1:$I$89,3,0)*0.475*44/12</f>
        <v>100.09460843496048</v>
      </c>
      <c r="AA66" s="21">
        <f>EXP(-LN(2)/25)*AA65+(1-EXP(-LN(2)/25))/(LN(2)/25)*Calculateur!V66*Calculateur!X66*VLOOKUP('Données projet'!$B$9,Paramètres!$A$1:$I$89,3,0)*0.475*44/12</f>
        <v>35.303197131108604</v>
      </c>
      <c r="AB66" s="21">
        <f>EXP(-LN(2)/2)*AB65+(1-EXP(-LN(2)/2))/(LN(2)/2)*V66*Y66*VLOOKUP('Données projet'!$B$9,Paramètres!$A$1:$I$89,3,0)*0.475*44/12</f>
        <v>13.787902572172555</v>
      </c>
      <c r="AC66" s="22">
        <f t="shared" si="3"/>
        <v>149.18570813824164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64.60435088814927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-2.2737367544323206E-13</v>
      </c>
      <c r="AJ66" s="13">
        <f>AI66*VLOOKUP('Données projet'!$B$10,Paramètres!$A$1:$I$89,3,0)*VLOOKUP('Données projet'!$B$10,Paramètres!$A$1:$I$89,5,0)</f>
        <v>-1.064108801074326E-13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280.35802808205239</v>
      </c>
      <c r="AO66" s="59">
        <f t="shared" si="36"/>
        <v>249.32129349927175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87.878187682597243</v>
      </c>
      <c r="AV66" s="21">
        <f>EXP(-LN(2)/25)*AV65+(1-EXP(-LN(2)/25))/(LN(2)/25)*Calculateur!AQ66*Calculateur!AS66*VLOOKUP('Données projet'!$B$10,Paramètres!$A$1:$I$89,3,0)*0.475*44/12</f>
        <v>41.217021018816041</v>
      </c>
      <c r="AW66" s="21">
        <f>EXP(-LN(2)/2)*AW65+(1-EXP(-LN(2)/2))/(LN(2)/2)*AQ66*AT66*VLOOKUP('Données projet'!$B$10,Paramètres!$A$1:$I$89,3,0)*0.475*44/12</f>
        <v>4.7066083174685165</v>
      </c>
      <c r="AX66" s="21">
        <f t="shared" si="6"/>
        <v>133.80181701888182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64.60435088814927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18.600000000000001</v>
      </c>
      <c r="BD66" s="12">
        <f>IF('Données projet'!$A$88&gt;35,BD65+BC66-BL65,IF(A66&lt;'Données projet'!$A$88,$BA$205^A66,IF(A66='Données projet'!$A$88,'Données projet'!$B$88,BD65+BC66-BL65)))</f>
        <v>636.79999999999995</v>
      </c>
      <c r="BE66" s="13">
        <f>BD66*VLOOKUP('Données projet'!$B$11,Paramètres!$A$1:$I$89,3,0)*VLOOKUP('Données projet'!$B$11,Paramètres!$A$1:$I$89,5,0)</f>
        <v>281.46559999999999</v>
      </c>
      <c r="BF66" s="13">
        <f t="shared" si="37"/>
        <v>67.276638122675294</v>
      </c>
      <c r="BG66" s="20">
        <f t="shared" si="7"/>
        <v>607.39273139699276</v>
      </c>
      <c r="BH66" s="59">
        <f t="shared" si="8"/>
        <v>880.94201798687345</v>
      </c>
      <c r="BI66" s="59">
        <f ca="1">AVERAGE(OFFSET($BH$3,0,0,'Données projet'!$E$11+1,1))-AVERAGE(OFFSET($H$3,0,0,'Données projet'!$E$11+1,1))</f>
        <v>409.91320873873292</v>
      </c>
      <c r="BJ66" s="59">
        <f t="shared" si="38"/>
        <v>347.86310581860698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48.87535842664461</v>
      </c>
      <c r="BQ66" s="21">
        <f>EXP(-LN(2)/25)*BQ65+(1-EXP(-LN(2)/25))/(LN(2)/25)*Calculateur!BL66*Calculateur!BN66*VLOOKUP('Données projet'!$B$11,Paramètres!$A$1:$I$89,3,0)*0.475*44/12</f>
        <v>24.693116867244409</v>
      </c>
      <c r="BR66" s="21">
        <f>EXP(-LN(2)/2)*BR65+(1-EXP(-LN(2)/2))/(LN(2)/2)*BL66*BO66*VLOOKUP('Données projet'!$B$11,Paramètres!$A$1:$I$89,3,0)*0.475*44/12</f>
        <v>2.3378458736011445</v>
      </c>
      <c r="BS66" s="22">
        <f t="shared" si="9"/>
        <v>75.906321167490162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64.60435088814927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64.60435088814927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64.60435088814927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64.60435088814927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64.60435088814927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64.60435088814927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64.60435088814927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3.25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11.916666666666666</v>
      </c>
      <c r="H67" s="67">
        <f t="shared" si="1"/>
        <v>209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64.697953337375623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16.682857142857149</v>
      </c>
      <c r="N67" s="13">
        <f>IF('Données projet'!$A$36&gt;35,N66+M67-V66,IF(A67&lt;'Données projet'!$A$36,$K$205^A67,IF(A67='Données projet'!$A$36,'Données projet'!$B$36,N66+M67-V66)))</f>
        <v>486.76285714285751</v>
      </c>
      <c r="O67" s="13">
        <f>N67*VLOOKUP('Données projet'!$B$9,Paramètres!$A$1:$I$89,3,0)*VLOOKUP('Données projet'!$B$9,Paramètres!$A$1:$I$89,5,0)</f>
        <v>272.10043714285734</v>
      </c>
      <c r="P67" s="13">
        <f t="shared" si="33"/>
        <v>65.294833817604186</v>
      </c>
      <c r="Q67" s="20">
        <f t="shared" ref="Q67:Q98" si="54">(O67+P67)*0.475*44/12</f>
        <v>587.63009692280377</v>
      </c>
      <c r="R67" s="59">
        <f t="shared" ref="R67:R130" si="55">Q67+(I67+J67)*44/12</f>
        <v>861.52259249318104</v>
      </c>
      <c r="S67" s="59">
        <f ca="1">AVERAGE(OFFSET($R$3,0,0,'Données projet'!$E$9+1,1))-AVERAGE(OFFSET($H$3,0,0,'Données projet'!$E$9+1,1))</f>
        <v>399.91876225849921</v>
      </c>
      <c r="T67" s="59">
        <f t="shared" si="34"/>
        <v>368.64132082233505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98.131814215233689</v>
      </c>
      <c r="AA67" s="21">
        <f>EXP(-LN(2)/25)*AA66+(1-EXP(-LN(2)/25))/(LN(2)/25)*Calculateur!V67*Calculateur!X67*VLOOKUP('Données projet'!$B$9,Paramètres!$A$1:$I$89,3,0)*0.475*44/12</f>
        <v>34.337829349043986</v>
      </c>
      <c r="AB67" s="21">
        <f>EXP(-LN(2)/2)*AB66+(1-EXP(-LN(2)/2))/(LN(2)/2)*V67*Y67*VLOOKUP('Données projet'!$B$9,Paramètres!$A$1:$I$89,3,0)*0.475*44/12</f>
        <v>9.749519407122655</v>
      </c>
      <c r="AC67" s="22">
        <f t="shared" si="3"/>
        <v>142.21916297140032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64.697953337375623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-2.2737367544323206E-13</v>
      </c>
      <c r="AJ67" s="13">
        <f>AI67*VLOOKUP('Données projet'!$B$10,Paramètres!$A$1:$I$89,3,0)*VLOOKUP('Données projet'!$B$10,Paramètres!$A$1:$I$89,5,0)</f>
        <v>-1.064108801074326E-13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280.35802808205239</v>
      </c>
      <c r="AO67" s="59">
        <f t="shared" si="36"/>
        <v>249.32129349927175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86.154950022543403</v>
      </c>
      <c r="AV67" s="21">
        <f>EXP(-LN(2)/25)*AV66+(1-EXP(-LN(2)/25))/(LN(2)/25)*Calculateur!AQ67*Calculateur!AS67*VLOOKUP('Données projet'!$B$10,Paramètres!$A$1:$I$89,3,0)*0.475*44/12</f>
        <v>40.089939411547583</v>
      </c>
      <c r="AW67" s="21">
        <f>EXP(-LN(2)/2)*AW66+(1-EXP(-LN(2)/2))/(LN(2)/2)*AQ67*AT67*VLOOKUP('Données projet'!$B$10,Paramètres!$A$1:$I$89,3,0)*0.475*44/12</f>
        <v>3.328074657670995</v>
      </c>
      <c r="AX67" s="21">
        <f t="shared" si="6"/>
        <v>129.57296409176197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64.697953337375623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18.600000000000001</v>
      </c>
      <c r="BD67" s="12">
        <f>IF('Données projet'!$A$88&gt;35,BD66+BC67-BL66,IF(A67&lt;'Données projet'!$A$88,$BA$205^A67,IF(A67='Données projet'!$A$88,'Données projet'!$B$88,BD66+BC67-BL66)))</f>
        <v>655.4</v>
      </c>
      <c r="BE67" s="13">
        <f>BD67*VLOOKUP('Données projet'!$B$11,Paramètres!$A$1:$I$89,3,0)*VLOOKUP('Données projet'!$B$11,Paramètres!$A$1:$I$89,5,0)</f>
        <v>289.68680000000001</v>
      </c>
      <c r="BF67" s="13">
        <f t="shared" si="37"/>
        <v>69.010038523202823</v>
      </c>
      <c r="BG67" s="20">
        <f t="shared" si="7"/>
        <v>624.73032709457823</v>
      </c>
      <c r="BH67" s="59">
        <f t="shared" si="8"/>
        <v>898.62282266495549</v>
      </c>
      <c r="BI67" s="59">
        <f ca="1">AVERAGE(OFFSET($BH$3,0,0,'Données projet'!$E$11+1,1))-AVERAGE(OFFSET($H$3,0,0,'Données projet'!$E$11+1,1))</f>
        <v>409.91320873873292</v>
      </c>
      <c r="BJ67" s="59">
        <f t="shared" si="38"/>
        <v>347.86310581860698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47.916942458923153</v>
      </c>
      <c r="BQ67" s="21">
        <f>EXP(-LN(2)/25)*BQ66+(1-EXP(-LN(2)/25))/(LN(2)/25)*Calculateur!BL67*Calculateur!BN67*VLOOKUP('Données projet'!$B$11,Paramètres!$A$1:$I$89,3,0)*0.475*44/12</f>
        <v>24.017882287955032</v>
      </c>
      <c r="BR67" s="21">
        <f>EXP(-LN(2)/2)*BR66+(1-EXP(-LN(2)/2))/(LN(2)/2)*BL67*BO67*VLOOKUP('Données projet'!$B$11,Paramètres!$A$1:$I$89,3,0)*0.475*44/12</f>
        <v>1.6531066705923576</v>
      </c>
      <c r="BS67" s="22">
        <f t="shared" si="9"/>
        <v>73.587931417470529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64.697953337375623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64.697953337375623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64.697953337375623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64.697953337375623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64.697953337375623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64.697953337375623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64.697953337375623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3.25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11.916666666666666</v>
      </c>
      <c r="H68" s="67">
        <f t="shared" ref="H68:H131" si="56">(B68+E68+F68)*44/12+(C68+D68)*0.475*44/12</f>
        <v>209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64.789931993371596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16.682857142857149</v>
      </c>
      <c r="N68" s="13">
        <f>IF('Données projet'!$A$36&gt;35,N67+M68-V67,IF(A68&lt;'Données projet'!$A$36,$K$205^A68,IF(A68='Données projet'!$A$36,'Données projet'!$B$36,N67+M68-V67)))</f>
        <v>503.44571428571464</v>
      </c>
      <c r="O68" s="13">
        <f>N68*VLOOKUP('Données projet'!$B$9,Paramètres!$A$1:$I$89,3,0)*VLOOKUP('Données projet'!$B$9,Paramètres!$A$1:$I$89,5,0)</f>
        <v>281.42615428571452</v>
      </c>
      <c r="P68" s="13">
        <f t="shared" si="33"/>
        <v>67.268307105467983</v>
      </c>
      <c r="Q68" s="20">
        <f t="shared" si="54"/>
        <v>607.30952025630938</v>
      </c>
      <c r="R68" s="59">
        <f t="shared" si="55"/>
        <v>881.53927089867193</v>
      </c>
      <c r="S68" s="59">
        <f ca="1">AVERAGE(OFFSET($R$3,0,0,'Données projet'!$E$9+1,1))-AVERAGE(OFFSET($H$3,0,0,'Données projet'!$E$9+1,1))</f>
        <v>399.91876225849921</v>
      </c>
      <c r="T68" s="59">
        <f t="shared" si="34"/>
        <v>368.64132082233505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96.207509192969482</v>
      </c>
      <c r="AA68" s="21">
        <f>EXP(-LN(2)/25)*AA67+(1-EXP(-LN(2)/25))/(LN(2)/25)*Calculateur!V68*Calculateur!X68*VLOOKUP('Données projet'!$B$9,Paramètres!$A$1:$I$89,3,0)*0.475*44/12</f>
        <v>33.398859599746416</v>
      </c>
      <c r="AB68" s="21">
        <f>EXP(-LN(2)/2)*AB67+(1-EXP(-LN(2)/2))/(LN(2)/2)*V68*Y68*VLOOKUP('Données projet'!$B$9,Paramètres!$A$1:$I$89,3,0)*0.475*44/12</f>
        <v>6.8939512860862786</v>
      </c>
      <c r="AC68" s="22">
        <f t="shared" ref="AC68:AC131" si="57">SUM(Z68:AB68)</f>
        <v>136.50032007880219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64.789931993371596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-2.2737367544323206E-13</v>
      </c>
      <c r="AJ68" s="13">
        <f>AI68*VLOOKUP('Données projet'!$B$10,Paramètres!$A$1:$I$89,3,0)*VLOOKUP('Données projet'!$B$10,Paramètres!$A$1:$I$89,5,0)</f>
        <v>-1.064108801074326E-13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280.35802808205239</v>
      </c>
      <c r="AO68" s="59">
        <f t="shared" si="36"/>
        <v>249.32129349927175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84.465504001932018</v>
      </c>
      <c r="AV68" s="21">
        <f>EXP(-LN(2)/25)*AV67+(1-EXP(-LN(2)/25))/(LN(2)/25)*Calculateur!AQ68*Calculateur!AS68*VLOOKUP('Données projet'!$B$10,Paramètres!$A$1:$I$89,3,0)*0.475*44/12</f>
        <v>38.99367791010053</v>
      </c>
      <c r="AW68" s="21">
        <f>EXP(-LN(2)/2)*AW67+(1-EXP(-LN(2)/2))/(LN(2)/2)*AQ68*AT68*VLOOKUP('Données projet'!$B$10,Paramètres!$A$1:$I$89,3,0)*0.475*44/12</f>
        <v>2.3533041587342582</v>
      </c>
      <c r="AX68" s="21">
        <f t="shared" ref="AX68:AX131" si="60">SUM(AU68:AW68)</f>
        <v>125.81248607076681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64.789931993371596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674</v>
      </c>
      <c r="BB68" s="12">
        <f>VLOOKUP(A68,'Données projet'!$A$87:$I$107,9,0)</f>
        <v>18.600000000000001</v>
      </c>
      <c r="BC68" s="12">
        <f t="array" ref="BC68">INDEX(BB:BB,MIN(IF(ISNUMBER(BB68:BB264),ROW(BB68:BB264),"")))</f>
        <v>18.600000000000001</v>
      </c>
      <c r="BD68" s="12">
        <f>IF('Données projet'!$A$88&gt;35,BD67+BC68-BL67,IF(A68&lt;'Données projet'!$A$88,$BA$205^A68,IF(A68='Données projet'!$A$88,'Données projet'!$B$88,BD67+BC68-BL67)))</f>
        <v>674</v>
      </c>
      <c r="BE68" s="13">
        <f>BD68*VLOOKUP('Données projet'!$B$11,Paramètres!$A$1:$I$89,3,0)*VLOOKUP('Données projet'!$B$11,Paramètres!$A$1:$I$89,5,0)</f>
        <v>297.90800000000002</v>
      </c>
      <c r="BF68" s="13">
        <f t="shared" si="37"/>
        <v>70.737721467342539</v>
      </c>
      <c r="BG68" s="20">
        <f t="shared" ref="BG68:BG131" si="61">(BE68+BF68)*0.475*44/12</f>
        <v>642.05796488895498</v>
      </c>
      <c r="BH68" s="59">
        <f t="shared" ref="BH68:BH131" si="62">BG68+(AY68+AZ68)*44/12</f>
        <v>916.28771553131742</v>
      </c>
      <c r="BI68" s="59">
        <f ca="1">AVERAGE(OFFSET($BH$3,0,0,'Données projet'!$E$11+1,1))-AVERAGE(OFFSET($H$3,0,0,'Données projet'!$E$11+1,1))</f>
        <v>409.91320873873292</v>
      </c>
      <c r="BJ68" s="59">
        <f t="shared" si="38"/>
        <v>347.86310581860698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48</v>
      </c>
      <c r="BM68" s="16">
        <f>IF(ISNA(VLOOKUP(A68,'Données projet'!$A$87:$I$107,5,0)),0%,VLOOKUP(A68,'Données projet'!$A$87:$I$107,5,0)*VLOOKUP('Données projet'!$B$11,Paramètres!$A$1:$I$89,7,0))</f>
        <v>0.33</v>
      </c>
      <c r="BN68" s="16">
        <f>IF(ISNA(VLOOKUP(A68,'Données projet'!$A$87:$I$107,6,0)),0%,VLOOKUP(A68,'Données projet'!$A$87:$I$107,6,0)*VLOOKUP('Données projet'!$B$11,Paramètres!$A$1:$I$89,7,0))</f>
        <v>0.11000000000000001</v>
      </c>
      <c r="BO68" s="16">
        <f>IF(ISNA(VLOOKUP(A68,'Données projet'!$A$87:$I$107,7,0)),0%,VLOOKUP(A68,'Données projet'!$A$87:$I$107,7,0))</f>
        <v>0.2</v>
      </c>
      <c r="BP68" s="21">
        <f>EXP(-LN(2)/35)*BP67+(1-EXP(-LN(2)/35))/(LN(2)/35)*BL68*BM68*VLOOKUP('Données projet'!$B$11,Paramètres!$A$1:$I$89,3,0)*0.475*44/12</f>
        <v>56.264969634332445</v>
      </c>
      <c r="BQ68" s="21">
        <f>EXP(-LN(2)/25)*BQ67+(1-EXP(-LN(2)/25))/(LN(2)/25)*Calculateur!BL68*Calculateur!BN68*VLOOKUP('Données projet'!$B$11,Paramètres!$A$1:$I$89,3,0)*0.475*44/12</f>
        <v>26.444805426026917</v>
      </c>
      <c r="BR68" s="21">
        <f>EXP(-LN(2)/2)*BR67+(1-EXP(-LN(2)/2))/(LN(2)/2)*BL68*BO68*VLOOKUP('Données projet'!$B$11,Paramètres!$A$1:$I$89,3,0)*0.475*44/12</f>
        <v>5.9732110216648726</v>
      </c>
      <c r="BS68" s="22">
        <f t="shared" ref="BS68:BS131" si="63">SUM(BP68:BR68)</f>
        <v>88.682986082024229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64.789931993371596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64.789931993371596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64.789931993371596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64.789931993371596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64.789931993371596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64.789931993371596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64.789931993371596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3.25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11.916666666666666</v>
      </c>
      <c r="H69" s="67">
        <f t="shared" si="56"/>
        <v>209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64.880315025319533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16.682857142857149</v>
      </c>
      <c r="N69" s="13">
        <f>IF('Données projet'!$A$36&gt;35,N68+M69-V68,IF(A69&lt;'Données projet'!$A$36,$K$205^A69,IF(A69='Données projet'!$A$36,'Données projet'!$B$36,N68+M69-V68)))</f>
        <v>520.12857142857183</v>
      </c>
      <c r="O69" s="13">
        <f>N69*VLOOKUP('Données projet'!$B$9,Paramètres!$A$1:$I$89,3,0)*VLOOKUP('Données projet'!$B$9,Paramètres!$A$1:$I$89,5,0)</f>
        <v>290.75187142857169</v>
      </c>
      <c r="P69" s="13">
        <f t="shared" ref="P69:P132" si="87">EXP(-1.0587+0.8836*LN(O69)+0.284)</f>
        <v>69.23418152913365</v>
      </c>
      <c r="Q69" s="20">
        <f t="shared" si="54"/>
        <v>626.97570890133682</v>
      </c>
      <c r="R69" s="59">
        <f t="shared" si="55"/>
        <v>901.53686399417506</v>
      </c>
      <c r="S69" s="59">
        <f ca="1">AVERAGE(OFFSET($R$3,0,0,'Données projet'!$E$9+1,1))-AVERAGE(OFFSET($H$3,0,0,'Données projet'!$E$9+1,1))</f>
        <v>399.91876225849921</v>
      </c>
      <c r="T69" s="59">
        <f t="shared" ref="T69:T132" si="88">$T$3</f>
        <v>368.64132082233505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94.320938618481705</v>
      </c>
      <c r="AA69" s="21">
        <f>EXP(-LN(2)/25)*AA68+(1-EXP(-LN(2)/25))/(LN(2)/25)*Calculateur!V69*Calculateur!X69*VLOOKUP('Données projet'!$B$9,Paramètres!$A$1:$I$89,3,0)*0.475*44/12</f>
        <v>32.485566027621658</v>
      </c>
      <c r="AB69" s="21">
        <f>EXP(-LN(2)/2)*AB68+(1-EXP(-LN(2)/2))/(LN(2)/2)*V69*Y69*VLOOKUP('Données projet'!$B$9,Paramètres!$A$1:$I$89,3,0)*0.475*44/12</f>
        <v>4.8747597035613284</v>
      </c>
      <c r="AC69" s="22">
        <f t="shared" si="57"/>
        <v>131.6812643496647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64.880315025319533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-2.2737367544323206E-13</v>
      </c>
      <c r="AJ69" s="13">
        <f>AI69*VLOOKUP('Données projet'!$B$10,Paramètres!$A$1:$I$89,3,0)*VLOOKUP('Données projet'!$B$10,Paramètres!$A$1:$I$89,5,0)</f>
        <v>-1.064108801074326E-13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280.35802808205239</v>
      </c>
      <c r="AO69" s="59">
        <f t="shared" ref="AO69:AO132" si="90">$AO$3</f>
        <v>249.32129349927175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82.809186987324509</v>
      </c>
      <c r="AV69" s="21">
        <f>EXP(-LN(2)/25)*AV68+(1-EXP(-LN(2)/25))/(LN(2)/25)*Calculateur!AQ69*Calculateur!AS69*VLOOKUP('Données projet'!$B$10,Paramètres!$A$1:$I$89,3,0)*0.475*44/12</f>
        <v>37.927393737060434</v>
      </c>
      <c r="AW69" s="21">
        <f>EXP(-LN(2)/2)*AW68+(1-EXP(-LN(2)/2))/(LN(2)/2)*AQ69*AT69*VLOOKUP('Données projet'!$B$10,Paramètres!$A$1:$I$89,3,0)*0.475*44/12</f>
        <v>1.6640373288354975</v>
      </c>
      <c r="AX69" s="21">
        <f t="shared" si="60"/>
        <v>122.40061805322043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64.880315025319533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17.2</v>
      </c>
      <c r="BD69" s="12">
        <f>IF('Données projet'!$A$88&gt;35,BD68+BC69-BL68,IF(A69&lt;'Données projet'!$A$88,$BA$205^A69,IF(A69='Données projet'!$A$88,'Données projet'!$B$88,BD68+BC69-BL68)))</f>
        <v>643.20000000000005</v>
      </c>
      <c r="BE69" s="13">
        <f>BD69*VLOOKUP('Données projet'!$B$11,Paramètres!$A$1:$I$89,3,0)*VLOOKUP('Données projet'!$B$11,Paramètres!$A$1:$I$89,5,0)</f>
        <v>284.29440000000005</v>
      </c>
      <c r="BF69" s="13">
        <f t="shared" ref="BF69:BF132" si="91">EXP(-1.0587+0.8836*LN(BE69)+0.284)</f>
        <v>67.873733555704575</v>
      </c>
      <c r="BG69" s="20">
        <f t="shared" si="61"/>
        <v>613.3594992761856</v>
      </c>
      <c r="BH69" s="59">
        <f t="shared" si="62"/>
        <v>887.92065436902385</v>
      </c>
      <c r="BI69" s="59">
        <f ca="1">AVERAGE(OFFSET($BH$3,0,0,'Données projet'!$E$11+1,1))-AVERAGE(OFFSET($H$3,0,0,'Données projet'!$E$11+1,1))</f>
        <v>409.91320873873292</v>
      </c>
      <c r="BJ69" s="59">
        <f t="shared" ref="BJ69:BJ132" si="92">$BJ$3</f>
        <v>347.86310581860698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55.16164789804602</v>
      </c>
      <c r="BQ69" s="21">
        <f>EXP(-LN(2)/25)*BQ68+(1-EXP(-LN(2)/25))/(LN(2)/25)*Calculateur!BL69*Calculateur!BN69*VLOOKUP('Données projet'!$B$11,Paramètres!$A$1:$I$89,3,0)*0.475*44/12</f>
        <v>25.721670830980333</v>
      </c>
      <c r="BR69" s="21">
        <f>EXP(-LN(2)/2)*BR68+(1-EXP(-LN(2)/2))/(LN(2)/2)*BL69*BO69*VLOOKUP('Données projet'!$B$11,Paramètres!$A$1:$I$89,3,0)*0.475*44/12</f>
        <v>4.2236980188774575</v>
      </c>
      <c r="BS69" s="22">
        <f t="shared" si="63"/>
        <v>85.107016747903813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64.880315025319533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64.880315025319533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64.880315025319533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64.880315025319533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64.880315025319533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64.880315025319533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64.880315025319533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3.25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11.916666666666666</v>
      </c>
      <c r="H70" s="67">
        <f t="shared" si="56"/>
        <v>209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64.969130113729364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16.682857142857149</v>
      </c>
      <c r="N70" s="13">
        <f>IF('Données projet'!$A$36&gt;35,N69+M70-V69,IF(A70&lt;'Données projet'!$A$36,$K$205^A70,IF(A70='Données projet'!$A$36,'Données projet'!$B$36,N69+M70-V69)))</f>
        <v>536.81142857142902</v>
      </c>
      <c r="O70" s="13">
        <f>N70*VLOOKUP('Données projet'!$B$9,Paramètres!$A$1:$I$89,3,0)*VLOOKUP('Données projet'!$B$9,Paramètres!$A$1:$I$89,5,0)</f>
        <v>300.07758857142881</v>
      </c>
      <c r="P70" s="13">
        <f t="shared" si="87"/>
        <v>71.19272877566128</v>
      </c>
      <c r="Q70" s="20">
        <f t="shared" si="54"/>
        <v>646.62913604618188</v>
      </c>
      <c r="R70" s="59">
        <f t="shared" si="55"/>
        <v>921.51594646318949</v>
      </c>
      <c r="S70" s="59">
        <f ca="1">AVERAGE(OFFSET($R$3,0,0,'Données projet'!$E$9+1,1))-AVERAGE(OFFSET($H$3,0,0,'Données projet'!$E$9+1,1))</f>
        <v>399.91876225849921</v>
      </c>
      <c r="T70" s="59">
        <f t="shared" si="88"/>
        <v>368.64132082233505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92.471362542265211</v>
      </c>
      <c r="AA70" s="21">
        <f>EXP(-LN(2)/25)*AA69+(1-EXP(-LN(2)/25))/(LN(2)/25)*Calculateur!V70*Calculateur!X70*VLOOKUP('Données projet'!$B$9,Paramètres!$A$1:$I$89,3,0)*0.475*44/12</f>
        <v>31.597246516254675</v>
      </c>
      <c r="AB70" s="21">
        <f>EXP(-LN(2)/2)*AB69+(1-EXP(-LN(2)/2))/(LN(2)/2)*V70*Y70*VLOOKUP('Données projet'!$B$9,Paramètres!$A$1:$I$89,3,0)*0.475*44/12</f>
        <v>3.4469756430431397</v>
      </c>
      <c r="AC70" s="22">
        <f t="shared" si="57"/>
        <v>127.51558470156303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64.969130113729364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-2.2737367544323206E-13</v>
      </c>
      <c r="AJ70" s="13">
        <f>AI70*VLOOKUP('Données projet'!$B$10,Paramètres!$A$1:$I$89,3,0)*VLOOKUP('Données projet'!$B$10,Paramètres!$A$1:$I$89,5,0)</f>
        <v>-1.064108801074326E-13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280.35802808205239</v>
      </c>
      <c r="AO70" s="59">
        <f t="shared" si="90"/>
        <v>249.32129349927175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81.185349339119824</v>
      </c>
      <c r="AV70" s="21">
        <f>EXP(-LN(2)/25)*AV69+(1-EXP(-LN(2)/25))/(LN(2)/25)*Calculateur!AQ70*Calculateur!AS70*VLOOKUP('Données projet'!$B$10,Paramètres!$A$1:$I$89,3,0)*0.475*44/12</f>
        <v>36.890267160805564</v>
      </c>
      <c r="AW70" s="21">
        <f>EXP(-LN(2)/2)*AW69+(1-EXP(-LN(2)/2))/(LN(2)/2)*AQ70*AT70*VLOOKUP('Données projet'!$B$10,Paramètres!$A$1:$I$89,3,0)*0.475*44/12</f>
        <v>1.1766520793671291</v>
      </c>
      <c r="AX70" s="21">
        <f t="shared" si="60"/>
        <v>119.25226857929252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64.969130113729364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17.2</v>
      </c>
      <c r="BD70" s="12">
        <f>IF('Données projet'!$A$88&gt;35,BD69+BC70-BL69,IF(A70&lt;'Données projet'!$A$88,$BA$205^A70,IF(A70='Données projet'!$A$88,'Données projet'!$B$88,BD69+BC70-BL69)))</f>
        <v>660.40000000000009</v>
      </c>
      <c r="BE70" s="13">
        <f>BD70*VLOOKUP('Données projet'!$B$11,Paramètres!$A$1:$I$89,3,0)*VLOOKUP('Données projet'!$B$11,Paramètres!$A$1:$I$89,5,0)</f>
        <v>291.8968000000001</v>
      </c>
      <c r="BF70" s="13">
        <f t="shared" si="91"/>
        <v>69.475023818152522</v>
      </c>
      <c r="BG70" s="20">
        <f t="shared" si="61"/>
        <v>629.38925981661589</v>
      </c>
      <c r="BH70" s="59">
        <f t="shared" si="62"/>
        <v>904.27607023362361</v>
      </c>
      <c r="BI70" s="59">
        <f ca="1">AVERAGE(OFFSET($BH$3,0,0,'Données projet'!$E$11+1,1))-AVERAGE(OFFSET($H$3,0,0,'Données projet'!$E$11+1,1))</f>
        <v>409.91320873873292</v>
      </c>
      <c r="BJ70" s="59">
        <f t="shared" si="92"/>
        <v>347.86310581860698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54.079961628048359</v>
      </c>
      <c r="BQ70" s="21">
        <f>EXP(-LN(2)/25)*BQ69+(1-EXP(-LN(2)/25))/(LN(2)/25)*Calculateur!BL70*Calculateur!BN70*VLOOKUP('Données projet'!$B$11,Paramètres!$A$1:$I$89,3,0)*0.475*44/12</f>
        <v>25.018310389463295</v>
      </c>
      <c r="BR70" s="21">
        <f>EXP(-LN(2)/2)*BR69+(1-EXP(-LN(2)/2))/(LN(2)/2)*BL70*BO70*VLOOKUP('Données projet'!$B$11,Paramètres!$A$1:$I$89,3,0)*0.475*44/12</f>
        <v>2.9866055108324367</v>
      </c>
      <c r="BS70" s="22">
        <f t="shared" si="63"/>
        <v>82.08487752834408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64.969130113729364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64.969130113729364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64.969130113729364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64.969130113729364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64.969130113729364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64.969130113729364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64.969130113729364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3.25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11.916666666666666</v>
      </c>
      <c r="H71" s="67">
        <f t="shared" si="56"/>
        <v>209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65.056404458916063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16.682857142857149</v>
      </c>
      <c r="N71" s="13">
        <f>IF('Données projet'!$A$36&gt;35,N70+M71-V70,IF(A71&lt;'Données projet'!$A$36,$K$205^A71,IF(A71='Données projet'!$A$36,'Données projet'!$B$36,N70+M71-V70)))</f>
        <v>553.49428571428621</v>
      </c>
      <c r="O71" s="13">
        <f>N71*VLOOKUP('Données projet'!$B$9,Paramètres!$A$1:$I$89,3,0)*VLOOKUP('Données projet'!$B$9,Paramètres!$A$1:$I$89,5,0)</f>
        <v>309.40330571428598</v>
      </c>
      <c r="P71" s="13">
        <f t="shared" si="87"/>
        <v>73.144202686055834</v>
      </c>
      <c r="Q71" s="20">
        <f t="shared" si="54"/>
        <v>666.27024379726197</v>
      </c>
      <c r="R71" s="59">
        <f t="shared" si="55"/>
        <v>941.47706014662094</v>
      </c>
      <c r="S71" s="59">
        <f ca="1">AVERAGE(OFFSET($R$3,0,0,'Données projet'!$E$9+1,1))-AVERAGE(OFFSET($H$3,0,0,'Données projet'!$E$9+1,1))</f>
        <v>399.91876225849921</v>
      </c>
      <c r="T71" s="59">
        <f t="shared" si="88"/>
        <v>368.64132082233505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90.658055524773317</v>
      </c>
      <c r="AA71" s="21">
        <f>EXP(-LN(2)/25)*AA70+(1-EXP(-LN(2)/25))/(LN(2)/25)*Calculateur!V71*Calculateur!X71*VLOOKUP('Données projet'!$B$9,Paramètres!$A$1:$I$89,3,0)*0.475*44/12</f>
        <v>30.733218148640713</v>
      </c>
      <c r="AB71" s="21">
        <f>EXP(-LN(2)/2)*AB70+(1-EXP(-LN(2)/2))/(LN(2)/2)*V71*Y71*VLOOKUP('Données projet'!$B$9,Paramètres!$A$1:$I$89,3,0)*0.475*44/12</f>
        <v>2.4373798517806646</v>
      </c>
      <c r="AC71" s="22">
        <f t="shared" si="57"/>
        <v>123.8286535251947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65.056404458916063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-2.2737367544323206E-13</v>
      </c>
      <c r="AJ71" s="13">
        <f>AI71*VLOOKUP('Données projet'!$B$10,Paramètres!$A$1:$I$89,3,0)*VLOOKUP('Données projet'!$B$10,Paramètres!$A$1:$I$89,5,0)</f>
        <v>-1.064108801074326E-13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280.35802808205239</v>
      </c>
      <c r="AO71" s="59">
        <f t="shared" si="90"/>
        <v>249.32129349927175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79.593354156753264</v>
      </c>
      <c r="AV71" s="21">
        <f>EXP(-LN(2)/25)*AV70+(1-EXP(-LN(2)/25))/(LN(2)/25)*Calculateur!AQ71*Calculateur!AS71*VLOOKUP('Données projet'!$B$10,Paramètres!$A$1:$I$89,3,0)*0.475*44/12</f>
        <v>35.8815008653185</v>
      </c>
      <c r="AW71" s="21">
        <f>EXP(-LN(2)/2)*AW70+(1-EXP(-LN(2)/2))/(LN(2)/2)*AQ71*AT71*VLOOKUP('Données projet'!$B$10,Paramètres!$A$1:$I$89,3,0)*0.475*44/12</f>
        <v>0.83201866441774874</v>
      </c>
      <c r="AX71" s="21">
        <f t="shared" si="60"/>
        <v>116.30687368648951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65.056404458916063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17.2</v>
      </c>
      <c r="BD71" s="12">
        <f>IF('Données projet'!$A$88&gt;35,BD70+BC71-BL70,IF(A71&lt;'Données projet'!$A$88,$BA$205^A71,IF(A71='Données projet'!$A$88,'Données projet'!$B$88,BD70+BC71-BL70)))</f>
        <v>677.60000000000014</v>
      </c>
      <c r="BE71" s="13">
        <f>BD71*VLOOKUP('Données projet'!$B$11,Paramètres!$A$1:$I$89,3,0)*VLOOKUP('Données projet'!$B$11,Paramètres!$A$1:$I$89,5,0)</f>
        <v>299.49920000000009</v>
      </c>
      <c r="BF71" s="13">
        <f t="shared" si="91"/>
        <v>71.071466353381297</v>
      </c>
      <c r="BG71" s="20">
        <f t="shared" si="61"/>
        <v>645.41057723213919</v>
      </c>
      <c r="BH71" s="59">
        <f t="shared" si="62"/>
        <v>920.61739358149816</v>
      </c>
      <c r="BI71" s="59">
        <f ca="1">AVERAGE(OFFSET($BH$3,0,0,'Données projet'!$E$11+1,1))-AVERAGE(OFFSET($H$3,0,0,'Données projet'!$E$11+1,1))</f>
        <v>409.91320873873292</v>
      </c>
      <c r="BJ71" s="59">
        <f t="shared" si="92"/>
        <v>347.86310581860698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53.019486566041877</v>
      </c>
      <c r="BQ71" s="21">
        <f>EXP(-LN(2)/25)*BQ70+(1-EXP(-LN(2)/25))/(LN(2)/25)*Calculateur!BL71*Calculateur!BN71*VLOOKUP('Données projet'!$B$11,Paramètres!$A$1:$I$89,3,0)*0.475*44/12</f>
        <v>24.334183376207658</v>
      </c>
      <c r="BR71" s="21">
        <f>EXP(-LN(2)/2)*BR70+(1-EXP(-LN(2)/2))/(LN(2)/2)*BL71*BO71*VLOOKUP('Données projet'!$B$11,Paramètres!$A$1:$I$89,3,0)*0.475*44/12</f>
        <v>2.1118490094387288</v>
      </c>
      <c r="BS71" s="22">
        <f t="shared" si="63"/>
        <v>79.465518951688267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65.056404458916063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65.056404458916063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65.056404458916063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65.056404458916063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65.056404458916063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65.056404458916063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65.056404458916063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3.25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11.916666666666666</v>
      </c>
      <c r="H72" s="67">
        <f t="shared" si="56"/>
        <v>209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65.142164789329982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16.682857142857149</v>
      </c>
      <c r="N72" s="13">
        <f>IF('Données projet'!$A$36&gt;35,N71+M72-V71,IF(A72&lt;'Données projet'!$A$36,$K$205^A72,IF(A72='Données projet'!$A$36,'Données projet'!$B$36,N71+M72-V71)))</f>
        <v>570.17714285714339</v>
      </c>
      <c r="O72" s="13">
        <f>N72*VLOOKUP('Données projet'!$B$9,Paramètres!$A$1:$I$89,3,0)*VLOOKUP('Données projet'!$B$9,Paramètres!$A$1:$I$89,5,0)</f>
        <v>318.72902285714315</v>
      </c>
      <c r="P72" s="13">
        <f t="shared" si="87"/>
        <v>75.088840929664514</v>
      </c>
      <c r="Q72" s="20">
        <f t="shared" si="54"/>
        <v>685.89944609535667</v>
      </c>
      <c r="R72" s="59">
        <f t="shared" si="55"/>
        <v>961.42071698956659</v>
      </c>
      <c r="S72" s="59">
        <f ca="1">AVERAGE(OFFSET($R$3,0,0,'Données projet'!$E$9+1,1))-AVERAGE(OFFSET($H$3,0,0,'Données projet'!$E$9+1,1))</f>
        <v>399.91876225849921</v>
      </c>
      <c r="T72" s="59">
        <f t="shared" si="88"/>
        <v>368.64132082233505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88.880306351886361</v>
      </c>
      <c r="AA72" s="21">
        <f>EXP(-LN(2)/25)*AA71+(1-EXP(-LN(2)/25))/(LN(2)/25)*Calculateur!V72*Calculateur!X72*VLOOKUP('Données projet'!$B$9,Paramètres!$A$1:$I$89,3,0)*0.475*44/12</f>
        <v>29.892816682176431</v>
      </c>
      <c r="AB72" s="21">
        <f>EXP(-LN(2)/2)*AB71+(1-EXP(-LN(2)/2))/(LN(2)/2)*V72*Y72*VLOOKUP('Données projet'!$B$9,Paramètres!$A$1:$I$89,3,0)*0.475*44/12</f>
        <v>1.7234878215215701</v>
      </c>
      <c r="AC72" s="22">
        <f t="shared" si="57"/>
        <v>120.49661085558436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65.142164789329982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-2.2737367544323206E-13</v>
      </c>
      <c r="AJ72" s="13">
        <f>AI72*VLOOKUP('Données projet'!$B$10,Paramètres!$A$1:$I$89,3,0)*VLOOKUP('Données projet'!$B$10,Paramètres!$A$1:$I$89,5,0)</f>
        <v>-1.064108801074326E-13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280.35802808205239</v>
      </c>
      <c r="AO72" s="59">
        <f t="shared" si="90"/>
        <v>249.32129349927175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78.032577028891737</v>
      </c>
      <c r="AV72" s="21">
        <f>EXP(-LN(2)/25)*AV71+(1-EXP(-LN(2)/25))/(LN(2)/25)*Calculateur!AQ72*Calculateur!AS72*VLOOKUP('Données projet'!$B$10,Paramètres!$A$1:$I$89,3,0)*0.475*44/12</f>
        <v>34.900319337230243</v>
      </c>
      <c r="AW72" s="21">
        <f>EXP(-LN(2)/2)*AW71+(1-EXP(-LN(2)/2))/(LN(2)/2)*AQ72*AT72*VLOOKUP('Données projet'!$B$10,Paramètres!$A$1:$I$89,3,0)*0.475*44/12</f>
        <v>0.58832603968356456</v>
      </c>
      <c r="AX72" s="21">
        <f t="shared" si="60"/>
        <v>113.52122240580555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65.142164789329982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17.2</v>
      </c>
      <c r="BD72" s="12">
        <f>IF('Données projet'!$A$88&gt;35,BD71+BC72-BL71,IF(A72&lt;'Données projet'!$A$88,$BA$205^A72,IF(A72='Données projet'!$A$88,'Données projet'!$B$88,BD71+BC72-BL71)))</f>
        <v>694.80000000000018</v>
      </c>
      <c r="BE72" s="13">
        <f>BD72*VLOOKUP('Données projet'!$B$11,Paramètres!$A$1:$I$89,3,0)*VLOOKUP('Données projet'!$B$11,Paramètres!$A$1:$I$89,5,0)</f>
        <v>307.10160000000013</v>
      </c>
      <c r="BF72" s="13">
        <f t="shared" si="91"/>
        <v>72.663198365143572</v>
      </c>
      <c r="BG72" s="20">
        <f t="shared" si="61"/>
        <v>661.42369048595856</v>
      </c>
      <c r="BH72" s="59">
        <f t="shared" si="62"/>
        <v>936.94496138016848</v>
      </c>
      <c r="BI72" s="59">
        <f ca="1">AVERAGE(OFFSET($BH$3,0,0,'Données projet'!$E$11+1,1))-AVERAGE(OFFSET($H$3,0,0,'Données projet'!$E$11+1,1))</f>
        <v>409.91320873873292</v>
      </c>
      <c r="BJ72" s="59">
        <f t="shared" si="92"/>
        <v>347.86310581860698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51.979806773175419</v>
      </c>
      <c r="BQ72" s="21">
        <f>EXP(-LN(2)/25)*BQ71+(1-EXP(-LN(2)/25))/(LN(2)/25)*Calculateur!BL72*Calculateur!BN72*VLOOKUP('Données projet'!$B$11,Paramètres!$A$1:$I$89,3,0)*0.475*44/12</f>
        <v>23.668763852106174</v>
      </c>
      <c r="BR72" s="21">
        <f>EXP(-LN(2)/2)*BR71+(1-EXP(-LN(2)/2))/(LN(2)/2)*BL72*BO72*VLOOKUP('Données projet'!$B$11,Paramètres!$A$1:$I$89,3,0)*0.475*44/12</f>
        <v>1.4933027554162184</v>
      </c>
      <c r="BS72" s="22">
        <f t="shared" si="63"/>
        <v>77.141873380697817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65.142164789329982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65.142164789329982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65.142164789329982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65.142164789329982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65.142164789329982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65.142164789329982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65.142164789329982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3.25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11.916666666666666</v>
      </c>
      <c r="H73" s="67">
        <f t="shared" si="56"/>
        <v>209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65.226437369742598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586.86</v>
      </c>
      <c r="L73" s="12">
        <f>VLOOKUP(A73,'Données projet'!$A$35:$I$55,9,0)</f>
        <v>16.682857142857149</v>
      </c>
      <c r="M73" s="12">
        <f t="array" ref="M73">INDEX(L:L,MIN(IF(ISNUMBER(L73:L269),ROW(L73:L269),"")))</f>
        <v>16.682857142857149</v>
      </c>
      <c r="N73" s="13">
        <f>IF('Données projet'!$A$36&gt;35,N72+M73-V72,IF(A73&lt;'Données projet'!$A$36,$K$205^A73,IF(A73='Données projet'!$A$36,'Données projet'!$B$36,N72+M73-V72)))</f>
        <v>586.86000000000058</v>
      </c>
      <c r="O73" s="13">
        <f>N73*VLOOKUP('Données projet'!$B$9,Paramètres!$A$1:$I$89,3,0)*VLOOKUP('Données projet'!$B$9,Paramètres!$A$1:$I$89,5,0)</f>
        <v>328.05474000000032</v>
      </c>
      <c r="P73" s="13">
        <f t="shared" si="87"/>
        <v>77.026866477102189</v>
      </c>
      <c r="Q73" s="20">
        <f t="shared" si="54"/>
        <v>705.51713128095355</v>
      </c>
      <c r="R73" s="59">
        <f t="shared" si="55"/>
        <v>981.34740163667641</v>
      </c>
      <c r="S73" s="59">
        <f ca="1">AVERAGE(OFFSET($R$3,0,0,'Données projet'!$E$9+1,1))-AVERAGE(OFFSET($H$3,0,0,'Données projet'!$E$9+1,1))</f>
        <v>399.91876225849921</v>
      </c>
      <c r="T73" s="59">
        <f t="shared" si="88"/>
        <v>368.64132082233505</v>
      </c>
      <c r="U73" s="15">
        <f>IF(ISNA(VLOOKUP(A73,'Données projet'!$A$35:$I$55,3,0)),0,VLOOKUP(A73,'Données projet'!$A$35:$I$55,3,0))</f>
        <v>8</v>
      </c>
      <c r="V73" s="15">
        <f>IF(ISNA(VLOOKUP(A73,'Données projet'!$A$35:$I$55,4,0)),0,VLOOKUP(A73,'Données projet'!$A$35:$I$55,4,0))</f>
        <v>586.86</v>
      </c>
      <c r="W73" s="16">
        <f>IF(ISNA(VLOOKUP(A73,'Données projet'!$A$35:$I$55,5,0)),0%,VLOOKUP(A73,'Données projet'!$A$35:$I$55,5,0)*VLOOKUP('Données projet'!$B$9,Paramètres!$A$1:$I$89,7,0))</f>
        <v>0.33</v>
      </c>
      <c r="X73" s="16">
        <f>IF(ISNA(VLOOKUP(A73,'Données projet'!$A$35:$I$55,6,0)),0%,VLOOKUP(A73,'Données projet'!$A$35:$I$55,6,0)*VLOOKUP('Données projet'!$B$9,Paramètres!$A$1:$I$89,7,0))</f>
        <v>0.11000000000000001</v>
      </c>
      <c r="Y73" s="16">
        <f>IF(ISNA(VLOOKUP(A73,'Données projet'!$A$35:$I$55,7,0)),0%,VLOOKUP(A73,'Données projet'!$A$35:$I$55,7,0))</f>
        <v>0.2</v>
      </c>
      <c r="Z73" s="21">
        <f>EXP(-LN(2)/35)*Z72+(1-EXP(-LN(2)/35))/(LN(2)/35)*V73*W73*VLOOKUP('Données projet'!$B$9,Paramètres!$A$1:$I$89,3,0)*0.475*44/12</f>
        <v>230.74871773837151</v>
      </c>
      <c r="AA73" s="21">
        <f>EXP(-LN(2)/25)*AA72+(1-EXP(-LN(2)/25))/(LN(2)/25)*Calculateur!V73*Calculateur!X73*VLOOKUP('Données projet'!$B$9,Paramètres!$A$1:$I$89,3,0)*0.475*44/12</f>
        <v>76.757345229402674</v>
      </c>
      <c r="AB73" s="21">
        <f>EXP(-LN(2)/2)*AB72+(1-EXP(-LN(2)/2))/(LN(2)/2)*V73*Y73*VLOOKUP('Données projet'!$B$9,Paramètres!$A$1:$I$89,3,0)*0.475*44/12</f>
        <v>75.505524322819824</v>
      </c>
      <c r="AC73" s="22">
        <f t="shared" si="57"/>
        <v>383.01158729059404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65.226437369742598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-2.2737367544323206E-13</v>
      </c>
      <c r="AJ73" s="13">
        <f>AI73*VLOOKUP('Données projet'!$B$10,Paramètres!$A$1:$I$89,3,0)*VLOOKUP('Données projet'!$B$10,Paramètres!$A$1:$I$89,5,0)</f>
        <v>-1.064108801074326E-13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280.35802808205239</v>
      </c>
      <c r="AO73" s="59">
        <f t="shared" si="90"/>
        <v>249.32129349927175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76.502405788527525</v>
      </c>
      <c r="AV73" s="21">
        <f>EXP(-LN(2)/25)*AV72+(1-EXP(-LN(2)/25))/(LN(2)/25)*Calculateur!AQ73*Calculateur!AS73*VLOOKUP('Données projet'!$B$10,Paramètres!$A$1:$I$89,3,0)*0.475*44/12</f>
        <v>33.945968269625652</v>
      </c>
      <c r="AW73" s="21">
        <f>EXP(-LN(2)/2)*AW72+(1-EXP(-LN(2)/2))/(LN(2)/2)*AQ73*AT73*VLOOKUP('Données projet'!$B$10,Paramètres!$A$1:$I$89,3,0)*0.475*44/12</f>
        <v>0.41600933220887437</v>
      </c>
      <c r="AX73" s="21">
        <f t="shared" si="60"/>
        <v>110.86438339036205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65.226437369742598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712</v>
      </c>
      <c r="BB73" s="12">
        <f>VLOOKUP(A73,'Données projet'!$A$87:$I$107,9,0)</f>
        <v>17.2</v>
      </c>
      <c r="BC73" s="12">
        <f t="array" ref="BC73">INDEX(BB:BB,MIN(IF(ISNUMBER(BB73:BB269),ROW(BB73:BB269),"")))</f>
        <v>17.2</v>
      </c>
      <c r="BD73" s="12">
        <f>IF('Données projet'!$A$88&gt;35,BD72+BC73-BL72,IF(A73&lt;'Données projet'!$A$88,$BA$205^A73,IF(A73='Données projet'!$A$88,'Données projet'!$B$88,BD72+BC73-BL72)))</f>
        <v>712.00000000000023</v>
      </c>
      <c r="BE73" s="13">
        <f>BD73*VLOOKUP('Données projet'!$B$11,Paramètres!$A$1:$I$89,3,0)*VLOOKUP('Données projet'!$B$11,Paramètres!$A$1:$I$89,5,0)</f>
        <v>314.70400000000012</v>
      </c>
      <c r="BF73" s="13">
        <f t="shared" si="91"/>
        <v>74.250349876926123</v>
      </c>
      <c r="BG73" s="20">
        <f t="shared" si="61"/>
        <v>677.42882603564658</v>
      </c>
      <c r="BH73" s="59">
        <f t="shared" si="62"/>
        <v>953.25909639136944</v>
      </c>
      <c r="BI73" s="59">
        <f ca="1">AVERAGE(OFFSET($BH$3,0,0,'Données projet'!$E$11+1,1))-AVERAGE(OFFSET($H$3,0,0,'Données projet'!$E$11+1,1))</f>
        <v>409.91320873873292</v>
      </c>
      <c r="BJ73" s="59">
        <f t="shared" si="92"/>
        <v>347.86310581860698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45</v>
      </c>
      <c r="BM73" s="16">
        <f>IF(ISNA(VLOOKUP(A73,'Données projet'!$A$87:$I$107,5,0)),0%,VLOOKUP(A73,'Données projet'!$A$87:$I$107,5,0)*VLOOKUP('Données projet'!$B$11,Paramètres!$A$1:$I$89,7,0))</f>
        <v>0.33</v>
      </c>
      <c r="BN73" s="16">
        <f>IF(ISNA(VLOOKUP(A73,'Données projet'!$A$87:$I$107,6,0)),0%,VLOOKUP(A73,'Données projet'!$A$87:$I$107,6,0)*VLOOKUP('Données projet'!$B$11,Paramètres!$A$1:$I$89,7,0))</f>
        <v>0.11000000000000001</v>
      </c>
      <c r="BO73" s="16">
        <f>IF(ISNA(VLOOKUP(A73,'Données projet'!$A$87:$I$107,7,0)),0%,VLOOKUP(A73,'Données projet'!$A$87:$I$107,7,0))</f>
        <v>0.2</v>
      </c>
      <c r="BP73" s="21">
        <f>EXP(-LN(2)/35)*BP72+(1-EXP(-LN(2)/35))/(LN(2)/35)*BL73*BM73*VLOOKUP('Données projet'!$B$11,Paramètres!$A$1:$I$89,3,0)*0.475*44/12</f>
        <v>59.667685583073528</v>
      </c>
      <c r="BQ73" s="21">
        <f>EXP(-LN(2)/25)*BQ72+(1-EXP(-LN(2)/25))/(LN(2)/25)*Calculateur!BL73*Calculateur!BN73*VLOOKUP('Données projet'!$B$11,Paramètres!$A$1:$I$89,3,0)*0.475*44/12</f>
        <v>25.912502815148091</v>
      </c>
      <c r="BR73" s="21">
        <f>EXP(-LN(2)/2)*BR72+(1-EXP(-LN(2)/2))/(LN(2)/2)*BL73*BO73*VLOOKUP('Données projet'!$B$11,Paramètres!$A$1:$I$89,3,0)*0.475*44/12</f>
        <v>5.5599445842796458</v>
      </c>
      <c r="BS73" s="22">
        <f t="shared" si="63"/>
        <v>91.140132982501271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65.226437369742598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65.226437369742598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65.226437369742598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65.226437369742598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65.226437369742598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65.226437369742598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65.226437369742598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3.25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11.916666666666666</v>
      </c>
      <c r="H74" s="67">
        <f t="shared" si="56"/>
        <v>209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65.309248009290314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5.6843418860808015E-13</v>
      </c>
      <c r="O74" s="13">
        <f>N74*VLOOKUP('Données projet'!$B$9,Paramètres!$A$1:$I$89,3,0)*VLOOKUP('Données projet'!$B$9,Paramètres!$A$1:$I$89,5,0)</f>
        <v>3.177547114319168E-13</v>
      </c>
      <c r="P74" s="13">
        <f t="shared" si="87"/>
        <v>4.1725404435445377E-12</v>
      </c>
      <c r="Q74" s="20">
        <f t="shared" si="54"/>
        <v>7.820597394917325E-12</v>
      </c>
      <c r="R74" s="59">
        <f t="shared" si="55"/>
        <v>276.13390936740569</v>
      </c>
      <c r="S74" s="59">
        <f ca="1">AVERAGE(OFFSET($R$3,0,0,'Données projet'!$E$9+1,1))-AVERAGE(OFFSET($H$3,0,0,'Données projet'!$E$9+1,1))</f>
        <v>399.91876225849921</v>
      </c>
      <c r="T74" s="59">
        <f t="shared" si="88"/>
        <v>368.64132082233505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226.22387612634267</v>
      </c>
      <c r="AA74" s="21">
        <f>EXP(-LN(2)/25)*AA73+(1-EXP(-LN(2)/25))/(LN(2)/25)*Calculateur!V74*Calculateur!X74*VLOOKUP('Données projet'!$B$9,Paramètres!$A$1:$I$89,3,0)*0.475*44/12</f>
        <v>74.658411587611297</v>
      </c>
      <c r="AB74" s="21">
        <f>EXP(-LN(2)/2)*AB73+(1-EXP(-LN(2)/2))/(LN(2)/2)*V74*Y74*VLOOKUP('Données projet'!$B$9,Paramètres!$A$1:$I$89,3,0)*0.475*44/12</f>
        <v>53.390468265711704</v>
      </c>
      <c r="AC74" s="22">
        <f t="shared" si="57"/>
        <v>354.2727559796657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65.309248009290314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-2.2737367544323206E-13</v>
      </c>
      <c r="AJ74" s="13">
        <f>AI74*VLOOKUP('Données projet'!$B$10,Paramètres!$A$1:$I$89,3,0)*VLOOKUP('Données projet'!$B$10,Paramètres!$A$1:$I$89,5,0)</f>
        <v>-1.064108801074326E-13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280.35802808205239</v>
      </c>
      <c r="AO74" s="59">
        <f t="shared" si="90"/>
        <v>249.32129349927175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75.002240272874559</v>
      </c>
      <c r="AV74" s="21">
        <f>EXP(-LN(2)/25)*AV73+(1-EXP(-LN(2)/25))/(LN(2)/25)*Calculateur!AQ74*Calculateur!AS74*VLOOKUP('Données projet'!$B$10,Paramètres!$A$1:$I$89,3,0)*0.475*44/12</f>
        <v>33.017713982151854</v>
      </c>
      <c r="AW74" s="21">
        <f>EXP(-LN(2)/2)*AW73+(1-EXP(-LN(2)/2))/(LN(2)/2)*AQ74*AT74*VLOOKUP('Données projet'!$B$10,Paramètres!$A$1:$I$89,3,0)*0.475*44/12</f>
        <v>0.29416301984178228</v>
      </c>
      <c r="AX74" s="21">
        <f t="shared" si="60"/>
        <v>108.3141172748682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65.309248009290314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15.8</v>
      </c>
      <c r="BD74" s="12">
        <f>IF('Données projet'!$A$88&gt;35,BD73+BC74-BL73,IF(A74&lt;'Données projet'!$A$88,$BA$205^A74,IF(A74='Données projet'!$A$88,'Données projet'!$B$88,BD73+BC74-BL73)))</f>
        <v>682.80000000000018</v>
      </c>
      <c r="BE74" s="13">
        <f>BD74*VLOOKUP('Données projet'!$B$11,Paramètres!$A$1:$I$89,3,0)*VLOOKUP('Données projet'!$B$11,Paramètres!$A$1:$I$89,5,0)</f>
        <v>301.7976000000001</v>
      </c>
      <c r="BF74" s="13">
        <f t="shared" si="91"/>
        <v>71.553178355215891</v>
      </c>
      <c r="BG74" s="20">
        <f t="shared" si="61"/>
        <v>650.25260563533459</v>
      </c>
      <c r="BH74" s="59">
        <f t="shared" si="62"/>
        <v>926.38651500273249</v>
      </c>
      <c r="BI74" s="59">
        <f ca="1">AVERAGE(OFFSET($BH$3,0,0,'Données projet'!$E$11+1,1))-AVERAGE(OFFSET($H$3,0,0,'Données projet'!$E$11+1,1))</f>
        <v>409.91320873873292</v>
      </c>
      <c r="BJ74" s="59">
        <f t="shared" si="92"/>
        <v>347.86310581860698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58.497638662484086</v>
      </c>
      <c r="BQ74" s="21">
        <f>EXP(-LN(2)/25)*BQ73+(1-EXP(-LN(2)/25))/(LN(2)/25)*Calculateur!BL74*Calculateur!BN74*VLOOKUP('Données projet'!$B$11,Paramètres!$A$1:$I$89,3,0)*0.475*44/12</f>
        <v>25.203924062988566</v>
      </c>
      <c r="BR74" s="21">
        <f>EXP(-LN(2)/2)*BR73+(1-EXP(-LN(2)/2))/(LN(2)/2)*BL74*BO74*VLOOKUP('Données projet'!$B$11,Paramètres!$A$1:$I$89,3,0)*0.475*44/12</f>
        <v>3.9314745185655577</v>
      </c>
      <c r="BS74" s="22">
        <f t="shared" si="63"/>
        <v>87.633037244038206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65.309248009290314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65.309248009290314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65.309248009290314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65.309248009290314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65.309248009290314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65.309248009290314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65.309248009290314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3.25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11.916666666666666</v>
      </c>
      <c r="H75" s="67">
        <f t="shared" si="56"/>
        <v>209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65.390622069378736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5.6843418860808015E-13</v>
      </c>
      <c r="O75" s="13">
        <f>N75*VLOOKUP('Données projet'!$B$9,Paramètres!$A$1:$I$89,3,0)*VLOOKUP('Données projet'!$B$9,Paramètres!$A$1:$I$89,5,0)</f>
        <v>3.177547114319168E-13</v>
      </c>
      <c r="P75" s="13">
        <f t="shared" si="87"/>
        <v>4.1725404435445377E-12</v>
      </c>
      <c r="Q75" s="20">
        <f t="shared" si="54"/>
        <v>7.820597394917325E-12</v>
      </c>
      <c r="R75" s="59">
        <f t="shared" si="55"/>
        <v>276.43228092106318</v>
      </c>
      <c r="S75" s="59">
        <f ca="1">AVERAGE(OFFSET($R$3,0,0,'Données projet'!$E$9+1,1))-AVERAGE(OFFSET($H$3,0,0,'Données projet'!$E$9+1,1))</f>
        <v>399.91876225849921</v>
      </c>
      <c r="T75" s="59">
        <f t="shared" si="88"/>
        <v>368.64132082233505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221.78776389844484</v>
      </c>
      <c r="AA75" s="21">
        <f>EXP(-LN(2)/25)*AA74+(1-EXP(-LN(2)/25))/(LN(2)/25)*Calculateur!V75*Calculateur!X75*VLOOKUP('Données projet'!$B$9,Paramètres!$A$1:$I$89,3,0)*0.475*44/12</f>
        <v>72.61687339663284</v>
      </c>
      <c r="AB75" s="21">
        <f>EXP(-LN(2)/2)*AB74+(1-EXP(-LN(2)/2))/(LN(2)/2)*V75*Y75*VLOOKUP('Données projet'!$B$9,Paramètres!$A$1:$I$89,3,0)*0.475*44/12</f>
        <v>37.752762161409919</v>
      </c>
      <c r="AC75" s="22">
        <f t="shared" si="57"/>
        <v>332.15739945648761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65.390622069378736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-2.2737367544323206E-13</v>
      </c>
      <c r="AJ75" s="13">
        <f>AI75*VLOOKUP('Données projet'!$B$10,Paramètres!$A$1:$I$89,3,0)*VLOOKUP('Données projet'!$B$10,Paramètres!$A$1:$I$89,5,0)</f>
        <v>-1.064108801074326E-13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280.35802808205239</v>
      </c>
      <c r="AO75" s="59">
        <f t="shared" si="90"/>
        <v>249.32129349927175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73.531492087972936</v>
      </c>
      <c r="AV75" s="21">
        <f>EXP(-LN(2)/25)*AV74+(1-EXP(-LN(2)/25))/(LN(2)/25)*Calculateur!AQ75*Calculateur!AS75*VLOOKUP('Données projet'!$B$10,Paramètres!$A$1:$I$89,3,0)*0.475*44/12</f>
        <v>32.114842856983799</v>
      </c>
      <c r="AW75" s="21">
        <f>EXP(-LN(2)/2)*AW74+(1-EXP(-LN(2)/2))/(LN(2)/2)*AQ75*AT75*VLOOKUP('Données projet'!$B$10,Paramètres!$A$1:$I$89,3,0)*0.475*44/12</f>
        <v>0.20800466610443719</v>
      </c>
      <c r="AX75" s="21">
        <f t="shared" si="60"/>
        <v>105.85433961106118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65.390622069378736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15.8</v>
      </c>
      <c r="BD75" s="12">
        <f>IF('Données projet'!$A$88&gt;35,BD74+BC75-BL74,IF(A75&lt;'Données projet'!$A$88,$BA$205^A75,IF(A75='Données projet'!$A$88,'Données projet'!$B$88,BD74+BC75-BL74)))</f>
        <v>698.60000000000014</v>
      </c>
      <c r="BE75" s="13">
        <f>BD75*VLOOKUP('Données projet'!$B$11,Paramètres!$A$1:$I$89,3,0)*VLOOKUP('Données projet'!$B$11,Paramètres!$A$1:$I$89,5,0)</f>
        <v>308.78120000000007</v>
      </c>
      <c r="BF75" s="13">
        <f t="shared" si="91"/>
        <v>73.014237894388074</v>
      </c>
      <c r="BG75" s="20">
        <f t="shared" si="61"/>
        <v>664.96038766605932</v>
      </c>
      <c r="BH75" s="59">
        <f t="shared" si="62"/>
        <v>941.39266858711471</v>
      </c>
      <c r="BI75" s="59">
        <f ca="1">AVERAGE(OFFSET($BH$3,0,0,'Données projet'!$E$11+1,1))-AVERAGE(OFFSET($H$3,0,0,'Données projet'!$E$11+1,1))</f>
        <v>409.91320873873292</v>
      </c>
      <c r="BJ75" s="59">
        <f t="shared" si="92"/>
        <v>347.86310581860698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57.350535648349243</v>
      </c>
      <c r="BQ75" s="21">
        <f>EXP(-LN(2)/25)*BQ74+(1-EXP(-LN(2)/25))/(LN(2)/25)*Calculateur!BL75*Calculateur!BN75*VLOOKUP('Données projet'!$B$11,Paramètres!$A$1:$I$89,3,0)*0.475*44/12</f>
        <v>24.514721434069383</v>
      </c>
      <c r="BR75" s="21">
        <f>EXP(-LN(2)/2)*BR74+(1-EXP(-LN(2)/2))/(LN(2)/2)*BL75*BO75*VLOOKUP('Données projet'!$B$11,Paramètres!$A$1:$I$89,3,0)*0.475*44/12</f>
        <v>2.7799722921398233</v>
      </c>
      <c r="BS75" s="22">
        <f t="shared" si="63"/>
        <v>84.64522937455844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65.390622069378736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65.390622069378736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65.390622069378736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65.390622069378736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65.390622069378736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65.390622069378736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65.390622069378736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3.25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11.916666666666666</v>
      </c>
      <c r="H76" s="67">
        <f t="shared" si="56"/>
        <v>209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65.470584471449769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5.6843418860808015E-13</v>
      </c>
      <c r="O76" s="13">
        <f>N76*VLOOKUP('Données projet'!$B$9,Paramètres!$A$1:$I$89,3,0)*VLOOKUP('Données projet'!$B$9,Paramètres!$A$1:$I$89,5,0)</f>
        <v>3.177547114319168E-13</v>
      </c>
      <c r="P76" s="13">
        <f t="shared" si="87"/>
        <v>4.1725404435445377E-12</v>
      </c>
      <c r="Q76" s="20">
        <f t="shared" si="54"/>
        <v>7.820597394917325E-12</v>
      </c>
      <c r="R76" s="59">
        <f t="shared" si="55"/>
        <v>276.72547639532365</v>
      </c>
      <c r="S76" s="59">
        <f ca="1">AVERAGE(OFFSET($R$3,0,0,'Données projet'!$E$9+1,1))-AVERAGE(OFFSET($H$3,0,0,'Données projet'!$E$9+1,1))</f>
        <v>399.91876225849921</v>
      </c>
      <c r="T76" s="59">
        <f t="shared" si="88"/>
        <v>368.64132082233505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217.4386411255748</v>
      </c>
      <c r="AA76" s="21">
        <f>EXP(-LN(2)/25)*AA75+(1-EXP(-LN(2)/25))/(LN(2)/25)*Calculateur!V76*Calculateur!X76*VLOOKUP('Données projet'!$B$9,Paramètres!$A$1:$I$89,3,0)*0.475*44/12</f>
        <v>70.631161174846511</v>
      </c>
      <c r="AB76" s="21">
        <f>EXP(-LN(2)/2)*AB75+(1-EXP(-LN(2)/2))/(LN(2)/2)*V76*Y76*VLOOKUP('Données projet'!$B$9,Paramètres!$A$1:$I$89,3,0)*0.475*44/12</f>
        <v>26.695234132855855</v>
      </c>
      <c r="AC76" s="22">
        <f t="shared" si="57"/>
        <v>314.76503643327715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65.470584471449769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-2.2737367544323206E-13</v>
      </c>
      <c r="AJ76" s="13">
        <f>AI76*VLOOKUP('Données projet'!$B$10,Paramètres!$A$1:$I$89,3,0)*VLOOKUP('Données projet'!$B$10,Paramètres!$A$1:$I$89,5,0)</f>
        <v>-1.064108801074326E-13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280.35802808205239</v>
      </c>
      <c r="AO76" s="59">
        <f t="shared" si="90"/>
        <v>249.32129349927175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72.089584377909418</v>
      </c>
      <c r="AV76" s="21">
        <f>EXP(-LN(2)/25)*AV75+(1-EXP(-LN(2)/25))/(LN(2)/25)*Calculateur!AQ76*Calculateur!AS76*VLOOKUP('Données projet'!$B$10,Paramètres!$A$1:$I$89,3,0)*0.475*44/12</f>
        <v>31.236660790213392</v>
      </c>
      <c r="AW76" s="21">
        <f>EXP(-LN(2)/2)*AW75+(1-EXP(-LN(2)/2))/(LN(2)/2)*AQ76*AT76*VLOOKUP('Données projet'!$B$10,Paramètres!$A$1:$I$89,3,0)*0.475*44/12</f>
        <v>0.14708150992089114</v>
      </c>
      <c r="AX76" s="21">
        <f t="shared" si="60"/>
        <v>103.4733266780437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65.470584471449769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15.8</v>
      </c>
      <c r="BD76" s="12">
        <f>IF('Données projet'!$A$88&gt;35,BD75+BC76-BL75,IF(A76&lt;'Données projet'!$A$88,$BA$205^A76,IF(A76='Données projet'!$A$88,'Données projet'!$B$88,BD75+BC76-BL75)))</f>
        <v>714.40000000000009</v>
      </c>
      <c r="BE76" s="13">
        <f>BD76*VLOOKUP('Données projet'!$B$11,Paramètres!$A$1:$I$89,3,0)*VLOOKUP('Données projet'!$B$11,Paramètres!$A$1:$I$89,5,0)</f>
        <v>315.76480000000009</v>
      </c>
      <c r="BF76" s="13">
        <f t="shared" si="91"/>
        <v>74.471455790571639</v>
      </c>
      <c r="BG76" s="20">
        <f t="shared" si="61"/>
        <v>679.6614788352457</v>
      </c>
      <c r="BH76" s="59">
        <f t="shared" si="62"/>
        <v>956.38695523056151</v>
      </c>
      <c r="BI76" s="59">
        <f ca="1">AVERAGE(OFFSET($BH$3,0,0,'Données projet'!$E$11+1,1))-AVERAGE(OFFSET($H$3,0,0,'Données projet'!$E$11+1,1))</f>
        <v>409.91320873873292</v>
      </c>
      <c r="BJ76" s="59">
        <f t="shared" si="92"/>
        <v>347.86310581860698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56.225926624657838</v>
      </c>
      <c r="BQ76" s="21">
        <f>EXP(-LN(2)/25)*BQ75+(1-EXP(-LN(2)/25))/(LN(2)/25)*Calculateur!BL76*Calculateur!BN76*VLOOKUP('Données projet'!$B$11,Paramètres!$A$1:$I$89,3,0)*0.475*44/12</f>
        <v>23.844365087281584</v>
      </c>
      <c r="BR76" s="21">
        <f>EXP(-LN(2)/2)*BR75+(1-EXP(-LN(2)/2))/(LN(2)/2)*BL76*BO76*VLOOKUP('Données projet'!$B$11,Paramètres!$A$1:$I$89,3,0)*0.475*44/12</f>
        <v>1.9657372592827791</v>
      </c>
      <c r="BS76" s="22">
        <f t="shared" si="63"/>
        <v>82.036028971222194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65.470584471449769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65.470584471449769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65.470584471449769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65.470584471449769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65.470584471449769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65.470584471449769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65.470584471449769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3.25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11.916666666666666</v>
      </c>
      <c r="H77" s="67">
        <f t="shared" si="56"/>
        <v>209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65.549159704614013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5.6843418860808015E-13</v>
      </c>
      <c r="O77" s="13">
        <f>N77*VLOOKUP('Données projet'!$B$9,Paramètres!$A$1:$I$89,3,0)*VLOOKUP('Données projet'!$B$9,Paramètres!$A$1:$I$89,5,0)</f>
        <v>3.177547114319168E-13</v>
      </c>
      <c r="P77" s="13">
        <f t="shared" si="87"/>
        <v>4.1725404435445377E-12</v>
      </c>
      <c r="Q77" s="20">
        <f t="shared" si="54"/>
        <v>7.820597394917325E-12</v>
      </c>
      <c r="R77" s="59">
        <f t="shared" si="55"/>
        <v>277.01358558359254</v>
      </c>
      <c r="S77" s="59">
        <f ca="1">AVERAGE(OFFSET($R$3,0,0,'Données projet'!$E$9+1,1))-AVERAGE(OFFSET($H$3,0,0,'Données projet'!$E$9+1,1))</f>
        <v>399.91876225849921</v>
      </c>
      <c r="T77" s="59">
        <f t="shared" si="88"/>
        <v>368.64132082233505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213.17480199757779</v>
      </c>
      <c r="AA77" s="21">
        <f>EXP(-LN(2)/25)*AA76+(1-EXP(-LN(2)/25))/(LN(2)/25)*Calculateur!V77*Calculateur!X77*VLOOKUP('Données projet'!$B$9,Paramètres!$A$1:$I$89,3,0)*0.475*44/12</f>
        <v>68.699748358188998</v>
      </c>
      <c r="AB77" s="21">
        <f>EXP(-LN(2)/2)*AB76+(1-EXP(-LN(2)/2))/(LN(2)/2)*V77*Y77*VLOOKUP('Données projet'!$B$9,Paramètres!$A$1:$I$89,3,0)*0.475*44/12</f>
        <v>18.876381080704963</v>
      </c>
      <c r="AC77" s="22">
        <f t="shared" si="57"/>
        <v>300.75093143647177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65.549159704614013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-2.2737367544323206E-13</v>
      </c>
      <c r="AJ77" s="13">
        <f>AI77*VLOOKUP('Données projet'!$B$10,Paramètres!$A$1:$I$89,3,0)*VLOOKUP('Données projet'!$B$10,Paramètres!$A$1:$I$89,5,0)</f>
        <v>-1.064108801074326E-13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280.35802808205239</v>
      </c>
      <c r="AO77" s="59">
        <f t="shared" si="90"/>
        <v>249.32129349927175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70.675951598563373</v>
      </c>
      <c r="AV77" s="21">
        <f>EXP(-LN(2)/25)*AV76+(1-EXP(-LN(2)/25))/(LN(2)/25)*Calculateur!AQ77*Calculateur!AS77*VLOOKUP('Données projet'!$B$10,Paramètres!$A$1:$I$89,3,0)*0.475*44/12</f>
        <v>30.382492658240409</v>
      </c>
      <c r="AW77" s="21">
        <f>EXP(-LN(2)/2)*AW76+(1-EXP(-LN(2)/2))/(LN(2)/2)*AQ77*AT77*VLOOKUP('Données projet'!$B$10,Paramètres!$A$1:$I$89,3,0)*0.475*44/12</f>
        <v>0.10400233305221859</v>
      </c>
      <c r="AX77" s="21">
        <f t="shared" si="60"/>
        <v>101.162446589856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65.549159704614013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15.8</v>
      </c>
      <c r="BD77" s="12">
        <f>IF('Données projet'!$A$88&gt;35,BD76+BC77-BL76,IF(A77&lt;'Données projet'!$A$88,$BA$205^A77,IF(A77='Données projet'!$A$88,'Données projet'!$B$88,BD76+BC77-BL76)))</f>
        <v>730.2</v>
      </c>
      <c r="BE77" s="13">
        <f>BD77*VLOOKUP('Données projet'!$B$11,Paramètres!$A$1:$I$89,3,0)*VLOOKUP('Données projet'!$B$11,Paramètres!$A$1:$I$89,5,0)</f>
        <v>322.74840000000006</v>
      </c>
      <c r="BF77" s="13">
        <f t="shared" si="91"/>
        <v>75.924926790688417</v>
      </c>
      <c r="BG77" s="20">
        <f t="shared" si="61"/>
        <v>694.35604416044907</v>
      </c>
      <c r="BH77" s="59">
        <f t="shared" si="62"/>
        <v>971.36962974403377</v>
      </c>
      <c r="BI77" s="59">
        <f ca="1">AVERAGE(OFFSET($BH$3,0,0,'Données projet'!$E$11+1,1))-AVERAGE(OFFSET($H$3,0,0,'Données projet'!$E$11+1,1))</f>
        <v>409.91320873873292</v>
      </c>
      <c r="BJ77" s="59">
        <f t="shared" si="92"/>
        <v>347.86310581860698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55.123370497977248</v>
      </c>
      <c r="BQ77" s="21">
        <f>EXP(-LN(2)/25)*BQ76+(1-EXP(-LN(2)/25))/(LN(2)/25)*Calculateur!BL77*Calculateur!BN77*VLOOKUP('Données projet'!$B$11,Paramètres!$A$1:$I$89,3,0)*0.475*44/12</f>
        <v>23.192339670049208</v>
      </c>
      <c r="BR77" s="21">
        <f>EXP(-LN(2)/2)*BR76+(1-EXP(-LN(2)/2))/(LN(2)/2)*BL77*BO77*VLOOKUP('Données projet'!$B$11,Paramètres!$A$1:$I$89,3,0)*0.475*44/12</f>
        <v>1.3899861460699119</v>
      </c>
      <c r="BS77" s="22">
        <f t="shared" si="63"/>
        <v>79.705696314096372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65.549159704614013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65.549159704614013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65.549159704614013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65.549159704614013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65.549159704614013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65.549159704614013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65.549159704614013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3.25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11.916666666666666</v>
      </c>
      <c r="H78" s="67">
        <f t="shared" si="56"/>
        <v>209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65.626371833150756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5.6843418860808015E-13</v>
      </c>
      <c r="O78" s="13">
        <f>N78*VLOOKUP('Données projet'!$B$9,Paramètres!$A$1:$I$89,3,0)*VLOOKUP('Données projet'!$B$9,Paramètres!$A$1:$I$89,5,0)</f>
        <v>3.177547114319168E-13</v>
      </c>
      <c r="P78" s="13">
        <f t="shared" si="87"/>
        <v>4.1725404435445377E-12</v>
      </c>
      <c r="Q78" s="20">
        <f t="shared" si="54"/>
        <v>7.820597394917325E-12</v>
      </c>
      <c r="R78" s="59">
        <f t="shared" si="55"/>
        <v>277.29669672156064</v>
      </c>
      <c r="S78" s="59">
        <f ca="1">AVERAGE(OFFSET($R$3,0,0,'Données projet'!$E$9+1,1))-AVERAGE(OFFSET($H$3,0,0,'Données projet'!$E$9+1,1))</f>
        <v>399.91876225849921</v>
      </c>
      <c r="T78" s="59">
        <f t="shared" si="88"/>
        <v>368.64132082233505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208.99457415419573</v>
      </c>
      <c r="AA78" s="21">
        <f>EXP(-LN(2)/25)*AA77+(1-EXP(-LN(2)/25))/(LN(2)/25)*Calculateur!V78*Calculateur!X78*VLOOKUP('Données projet'!$B$9,Paramètres!$A$1:$I$89,3,0)*0.475*44/12</f>
        <v>66.821150126571567</v>
      </c>
      <c r="AB78" s="21">
        <f>EXP(-LN(2)/2)*AB77+(1-EXP(-LN(2)/2))/(LN(2)/2)*V78*Y78*VLOOKUP('Données projet'!$B$9,Paramètres!$A$1:$I$89,3,0)*0.475*44/12</f>
        <v>13.347617066427931</v>
      </c>
      <c r="AC78" s="22">
        <f t="shared" si="57"/>
        <v>289.16334134719523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65.626371833150756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-2.2737367544323206E-13</v>
      </c>
      <c r="AJ78" s="13">
        <f>AI78*VLOOKUP('Données projet'!$B$10,Paramètres!$A$1:$I$89,3,0)*VLOOKUP('Données projet'!$B$10,Paramètres!$A$1:$I$89,5,0)</f>
        <v>-1.064108801074326E-13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280.35802808205239</v>
      </c>
      <c r="AO78" s="59">
        <f t="shared" si="90"/>
        <v>249.32129349927175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69.290039295789455</v>
      </c>
      <c r="AV78" s="21">
        <f>EXP(-LN(2)/25)*AV77+(1-EXP(-LN(2)/25))/(LN(2)/25)*Calculateur!AQ78*Calculateur!AS78*VLOOKUP('Données projet'!$B$10,Paramètres!$A$1:$I$89,3,0)*0.475*44/12</f>
        <v>29.551681798754977</v>
      </c>
      <c r="AW78" s="21">
        <f>EXP(-LN(2)/2)*AW77+(1-EXP(-LN(2)/2))/(LN(2)/2)*AQ78*AT78*VLOOKUP('Données projet'!$B$10,Paramètres!$A$1:$I$89,3,0)*0.475*44/12</f>
        <v>7.354075496044557E-2</v>
      </c>
      <c r="AX78" s="21">
        <f t="shared" si="60"/>
        <v>98.915261849504873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65.626371833150756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746</v>
      </c>
      <c r="BB78" s="12">
        <f>VLOOKUP(A78,'Données projet'!$A$87:$I$107,9,0)</f>
        <v>15.8</v>
      </c>
      <c r="BC78" s="12">
        <f t="array" ref="BC78">INDEX(BB:BB,MIN(IF(ISNUMBER(BB78:BB274),ROW(BB78:BB274),"")))</f>
        <v>15.8</v>
      </c>
      <c r="BD78" s="12">
        <f>IF('Données projet'!$A$88&gt;35,BD77+BC78-BL77,IF(A78&lt;'Données projet'!$A$88,$BA$205^A78,IF(A78='Données projet'!$A$88,'Données projet'!$B$88,BD77+BC78-BL77)))</f>
        <v>746</v>
      </c>
      <c r="BE78" s="13">
        <f>BD78*VLOOKUP('Données projet'!$B$11,Paramètres!$A$1:$I$89,3,0)*VLOOKUP('Données projet'!$B$11,Paramètres!$A$1:$I$89,5,0)</f>
        <v>329.73200000000003</v>
      </c>
      <c r="BF78" s="13">
        <f t="shared" si="91"/>
        <v>77.374741307218997</v>
      </c>
      <c r="BG78" s="20">
        <f t="shared" si="61"/>
        <v>709.04424111007302</v>
      </c>
      <c r="BH78" s="59">
        <f t="shared" si="62"/>
        <v>986.34093783162575</v>
      </c>
      <c r="BI78" s="59">
        <f ca="1">AVERAGE(OFFSET($BH$3,0,0,'Données projet'!$E$11+1,1))-AVERAGE(OFFSET($H$3,0,0,'Données projet'!$E$11+1,1))</f>
        <v>409.91320873873292</v>
      </c>
      <c r="BJ78" s="59">
        <f t="shared" si="92"/>
        <v>347.86310581860698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43</v>
      </c>
      <c r="BM78" s="16">
        <f>IF(ISNA(VLOOKUP(A78,'Données projet'!$A$87:$I$107,5,0)),0%,VLOOKUP(A78,'Données projet'!$A$87:$I$107,5,0)*VLOOKUP('Données projet'!$B$11,Paramètres!$A$1:$I$89,7,0))</f>
        <v>0.33</v>
      </c>
      <c r="BN78" s="16">
        <f>IF(ISNA(VLOOKUP(A78,'Données projet'!$A$87:$I$107,6,0)),0%,VLOOKUP(A78,'Données projet'!$A$87:$I$107,6,0)*VLOOKUP('Données projet'!$B$11,Paramètres!$A$1:$I$89,7,0))</f>
        <v>0.11000000000000001</v>
      </c>
      <c r="BO78" s="16">
        <f>IF(ISNA(VLOOKUP(A78,'Données projet'!$A$87:$I$107,7,0)),0%,VLOOKUP(A78,'Données projet'!$A$87:$I$107,7,0))</f>
        <v>0.2</v>
      </c>
      <c r="BP78" s="21">
        <f>EXP(-LN(2)/35)*BP77+(1-EXP(-LN(2)/35))/(LN(2)/35)*BL78*BM78*VLOOKUP('Données projet'!$B$11,Paramètres!$A$1:$I$89,3,0)*0.475*44/12</f>
        <v>62.362620557675719</v>
      </c>
      <c r="BQ78" s="21">
        <f>EXP(-LN(2)/25)*BQ77+(1-EXP(-LN(2)/25))/(LN(2)/25)*Calculateur!BL78*Calculateur!BN78*VLOOKUP('Données projet'!$B$11,Paramètres!$A$1:$I$89,3,0)*0.475*44/12</f>
        <v>25.32061925272513</v>
      </c>
      <c r="BR78" s="21">
        <f>EXP(-LN(2)/2)*BR77+(1-EXP(-LN(2)/2))/(LN(2)/2)*BL78*BO78*VLOOKUP('Données projet'!$B$11,Paramètres!$A$1:$I$89,3,0)*0.475*44/12</f>
        <v>5.2867100389989927</v>
      </c>
      <c r="BS78" s="22">
        <f t="shared" si="63"/>
        <v>92.969949849399839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65.626371833150756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65.626371833150756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65.626371833150756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65.626371833150756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65.626371833150756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65.626371833150756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65.626371833150756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3.25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11.916666666666666</v>
      </c>
      <c r="H79" s="67">
        <f t="shared" si="56"/>
        <v>209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65.702244503877864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5.6843418860808015E-13</v>
      </c>
      <c r="O79" s="13">
        <f>N79*VLOOKUP('Données projet'!$B$9,Paramètres!$A$1:$I$89,3,0)*VLOOKUP('Données projet'!$B$9,Paramètres!$A$1:$I$89,5,0)</f>
        <v>3.177547114319168E-13</v>
      </c>
      <c r="P79" s="13">
        <f t="shared" si="87"/>
        <v>4.1725404435445377E-12</v>
      </c>
      <c r="Q79" s="20">
        <f t="shared" si="54"/>
        <v>7.820597394917325E-12</v>
      </c>
      <c r="R79" s="59">
        <f t="shared" si="55"/>
        <v>277.57489651422668</v>
      </c>
      <c r="S79" s="59">
        <f ca="1">AVERAGE(OFFSET($R$3,0,0,'Données projet'!$E$9+1,1))-AVERAGE(OFFSET($H$3,0,0,'Données projet'!$E$9+1,1))</f>
        <v>399.91876225849921</v>
      </c>
      <c r="T79" s="59">
        <f t="shared" si="88"/>
        <v>368.64132082233505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204.89631802913516</v>
      </c>
      <c r="AA79" s="21">
        <f>EXP(-LN(2)/25)*AA78+(1-EXP(-LN(2)/25))/(LN(2)/25)*Calculateur!V79*Calculateur!X79*VLOOKUP('Données projet'!$B$9,Paramètres!$A$1:$I$89,3,0)*0.475*44/12</f>
        <v>64.993922262388907</v>
      </c>
      <c r="AB79" s="21">
        <f>EXP(-LN(2)/2)*AB78+(1-EXP(-LN(2)/2))/(LN(2)/2)*V79*Y79*VLOOKUP('Données projet'!$B$9,Paramètres!$A$1:$I$89,3,0)*0.475*44/12</f>
        <v>9.4381905403524833</v>
      </c>
      <c r="AC79" s="22">
        <f t="shared" si="57"/>
        <v>279.32843083187652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65.702244503877864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-2.2737367544323206E-13</v>
      </c>
      <c r="AJ79" s="13">
        <f>AI79*VLOOKUP('Données projet'!$B$10,Paramètres!$A$1:$I$89,3,0)*VLOOKUP('Données projet'!$B$10,Paramètres!$A$1:$I$89,5,0)</f>
        <v>-1.064108801074326E-13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280.35802808205239</v>
      </c>
      <c r="AO79" s="59">
        <f t="shared" si="90"/>
        <v>249.32129349927175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67.931303887949895</v>
      </c>
      <c r="AV79" s="21">
        <f>EXP(-LN(2)/25)*AV78+(1-EXP(-LN(2)/25))/(LN(2)/25)*Calculateur!AQ79*Calculateur!AS79*VLOOKUP('Données projet'!$B$10,Paramètres!$A$1:$I$89,3,0)*0.475*44/12</f>
        <v>28.743589505912617</v>
      </c>
      <c r="AW79" s="21">
        <f>EXP(-LN(2)/2)*AW78+(1-EXP(-LN(2)/2))/(LN(2)/2)*AQ79*AT79*VLOOKUP('Données projet'!$B$10,Paramètres!$A$1:$I$89,3,0)*0.475*44/12</f>
        <v>5.2001166526109296E-2</v>
      </c>
      <c r="AX79" s="21">
        <f t="shared" si="60"/>
        <v>96.726894560388615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65.702244503877864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14.6</v>
      </c>
      <c r="BD79" s="12">
        <f>IF('Données projet'!$A$88&gt;35,BD78+BC79-BL78,IF(A79&lt;'Données projet'!$A$88,$BA$205^A79,IF(A79='Données projet'!$A$88,'Données projet'!$B$88,BD78+BC79-BL78)))</f>
        <v>717.6</v>
      </c>
      <c r="BE79" s="13">
        <f>BD79*VLOOKUP('Données projet'!$B$11,Paramètres!$A$1:$I$89,3,0)*VLOOKUP('Données projet'!$B$11,Paramètres!$A$1:$I$89,5,0)</f>
        <v>317.17920000000004</v>
      </c>
      <c r="BF79" s="13">
        <f t="shared" si="91"/>
        <v>74.766129261581426</v>
      </c>
      <c r="BG79" s="20">
        <f t="shared" si="61"/>
        <v>682.63811513058772</v>
      </c>
      <c r="BH79" s="59">
        <f t="shared" si="62"/>
        <v>960.21301164480656</v>
      </c>
      <c r="BI79" s="59">
        <f ca="1">AVERAGE(OFFSET($BH$3,0,0,'Données projet'!$E$11+1,1))-AVERAGE(OFFSET($H$3,0,0,'Données projet'!$E$11+1,1))</f>
        <v>409.91320873873292</v>
      </c>
      <c r="BJ79" s="59">
        <f t="shared" si="92"/>
        <v>347.86310581860698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61.139727605982351</v>
      </c>
      <c r="BQ79" s="21">
        <f>EXP(-LN(2)/25)*BQ78+(1-EXP(-LN(2)/25))/(LN(2)/25)*Calculateur!BL79*Calculateur!BN79*VLOOKUP('Données projet'!$B$11,Paramètres!$A$1:$I$89,3,0)*0.475*44/12</f>
        <v>24.628225587705867</v>
      </c>
      <c r="BR79" s="21">
        <f>EXP(-LN(2)/2)*BR78+(1-EXP(-LN(2)/2))/(LN(2)/2)*BL79*BO79*VLOOKUP('Données projet'!$B$11,Paramètres!$A$1:$I$89,3,0)*0.475*44/12</f>
        <v>3.738268518743185</v>
      </c>
      <c r="BS79" s="22">
        <f t="shared" si="63"/>
        <v>89.506221712431397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65.702244503877864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65.702244503877864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65.702244503877864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65.702244503877864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65.702244503877864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65.702244503877864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65.702244503877864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3.25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11.916666666666666</v>
      </c>
      <c r="H80" s="67">
        <f t="shared" si="56"/>
        <v>209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65.776800953393717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5.6843418860808015E-13</v>
      </c>
      <c r="O80" s="13">
        <f>N80*VLOOKUP('Données projet'!$B$9,Paramètres!$A$1:$I$89,3,0)*VLOOKUP('Données projet'!$B$9,Paramètres!$A$1:$I$89,5,0)</f>
        <v>3.177547114319168E-13</v>
      </c>
      <c r="P80" s="13">
        <f t="shared" si="87"/>
        <v>4.1725404435445377E-12</v>
      </c>
      <c r="Q80" s="20">
        <f t="shared" si="54"/>
        <v>7.820597394917325E-12</v>
      </c>
      <c r="R80" s="59">
        <f t="shared" si="55"/>
        <v>277.84827016245146</v>
      </c>
      <c r="S80" s="59">
        <f ca="1">AVERAGE(OFFSET($R$3,0,0,'Données projet'!$E$9+1,1))-AVERAGE(OFFSET($H$3,0,0,'Données projet'!$E$9+1,1))</f>
        <v>399.91876225849921</v>
      </c>
      <c r="T80" s="59">
        <f t="shared" si="88"/>
        <v>368.64132082233505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200.87842620699763</v>
      </c>
      <c r="AA80" s="21">
        <f>EXP(-LN(2)/25)*AA79+(1-EXP(-LN(2)/25))/(LN(2)/25)*Calculateur!V80*Calculateur!X80*VLOOKUP('Données projet'!$B$9,Paramètres!$A$1:$I$89,3,0)*0.475*44/12</f>
        <v>63.216660040242054</v>
      </c>
      <c r="AB80" s="21">
        <f>EXP(-LN(2)/2)*AB79+(1-EXP(-LN(2)/2))/(LN(2)/2)*V80*Y80*VLOOKUP('Données projet'!$B$9,Paramètres!$A$1:$I$89,3,0)*0.475*44/12</f>
        <v>6.6738085332139665</v>
      </c>
      <c r="AC80" s="22">
        <f t="shared" si="57"/>
        <v>270.76889478045365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65.776800953393717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-2.2737367544323206E-13</v>
      </c>
      <c r="AJ80" s="13">
        <f>AI80*VLOOKUP('Données projet'!$B$10,Paramètres!$A$1:$I$89,3,0)*VLOOKUP('Données projet'!$B$10,Paramètres!$A$1:$I$89,5,0)</f>
        <v>-1.064108801074326E-13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280.35802808205239</v>
      </c>
      <c r="AO80" s="59">
        <f t="shared" si="90"/>
        <v>249.32129349927175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66.599212452711299</v>
      </c>
      <c r="AV80" s="21">
        <f>EXP(-LN(2)/25)*AV79+(1-EXP(-LN(2)/25))/(LN(2)/25)*Calculateur!AQ80*Calculateur!AS80*VLOOKUP('Données projet'!$B$10,Paramètres!$A$1:$I$89,3,0)*0.475*44/12</f>
        <v>27.95759453931376</v>
      </c>
      <c r="AW80" s="21">
        <f>EXP(-LN(2)/2)*AW79+(1-EXP(-LN(2)/2))/(LN(2)/2)*AQ80*AT80*VLOOKUP('Données projet'!$B$10,Paramètres!$A$1:$I$89,3,0)*0.475*44/12</f>
        <v>3.6770377480222785E-2</v>
      </c>
      <c r="AX80" s="21">
        <f t="shared" si="60"/>
        <v>94.593577369505283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65.776800953393717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14.6</v>
      </c>
      <c r="BD80" s="12">
        <f>IF('Données projet'!$A$88&gt;35,BD79+BC80-BL79,IF(A80&lt;'Données projet'!$A$88,$BA$205^A80,IF(A80='Données projet'!$A$88,'Données projet'!$B$88,BD79+BC80-BL79)))</f>
        <v>732.2</v>
      </c>
      <c r="BE80" s="13">
        <f>BD80*VLOOKUP('Données projet'!$B$11,Paramètres!$A$1:$I$89,3,0)*VLOOKUP('Données projet'!$B$11,Paramètres!$A$1:$I$89,5,0)</f>
        <v>323.63240000000008</v>
      </c>
      <c r="BF80" s="13">
        <f t="shared" si="91"/>
        <v>76.108647913461411</v>
      </c>
      <c r="BG80" s="20">
        <f t="shared" si="61"/>
        <v>696.21565844927864</v>
      </c>
      <c r="BH80" s="59">
        <f t="shared" si="62"/>
        <v>974.0639286117223</v>
      </c>
      <c r="BI80" s="59">
        <f ca="1">AVERAGE(OFFSET($BH$3,0,0,'Données projet'!$E$11+1,1))-AVERAGE(OFFSET($H$3,0,0,'Données projet'!$E$11+1,1))</f>
        <v>409.91320873873292</v>
      </c>
      <c r="BJ80" s="59">
        <f t="shared" si="92"/>
        <v>347.86310581860698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59.940814839180639</v>
      </c>
      <c r="BQ80" s="21">
        <f>EXP(-LN(2)/25)*BQ79+(1-EXP(-LN(2)/25))/(LN(2)/25)*Calculateur!BL80*Calculateur!BN80*VLOOKUP('Données projet'!$B$11,Paramètres!$A$1:$I$89,3,0)*0.475*44/12</f>
        <v>23.954765463867954</v>
      </c>
      <c r="BR80" s="21">
        <f>EXP(-LN(2)/2)*BR79+(1-EXP(-LN(2)/2))/(LN(2)/2)*BL80*BO80*VLOOKUP('Données projet'!$B$11,Paramètres!$A$1:$I$89,3,0)*0.475*44/12</f>
        <v>2.6433550194994968</v>
      </c>
      <c r="BS80" s="22">
        <f t="shared" si="63"/>
        <v>86.538935322548085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65.776800953393717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65.776800953393717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65.776800953393717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65.776800953393717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65.776800953393717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65.776800953393717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65.776800953393717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3.25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11.916666666666666</v>
      </c>
      <c r="H81" s="67">
        <f t="shared" si="56"/>
        <v>209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65.850064015193738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5.6843418860808015E-13</v>
      </c>
      <c r="O81" s="13">
        <f>N81*VLOOKUP('Données projet'!$B$9,Paramètres!$A$1:$I$89,3,0)*VLOOKUP('Données projet'!$B$9,Paramètres!$A$1:$I$89,5,0)</f>
        <v>3.177547114319168E-13</v>
      </c>
      <c r="P81" s="13">
        <f t="shared" si="87"/>
        <v>4.1725404435445377E-12</v>
      </c>
      <c r="Q81" s="20">
        <f t="shared" si="54"/>
        <v>7.820597394917325E-12</v>
      </c>
      <c r="R81" s="59">
        <f t="shared" si="55"/>
        <v>278.11690138905152</v>
      </c>
      <c r="S81" s="59">
        <f ca="1">AVERAGE(OFFSET($R$3,0,0,'Données projet'!$E$9+1,1))-AVERAGE(OFFSET($H$3,0,0,'Données projet'!$E$9+1,1))</f>
        <v>399.91876225849921</v>
      </c>
      <c r="T81" s="59">
        <f t="shared" si="88"/>
        <v>368.64132082233505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196.93932279282018</v>
      </c>
      <c r="AA81" s="21">
        <f>EXP(-LN(2)/25)*AA80+(1-EXP(-LN(2)/25))/(LN(2)/25)*Calculateur!V81*Calculateur!X81*VLOOKUP('Données projet'!$B$9,Paramètres!$A$1:$I$89,3,0)*0.475*44/12</f>
        <v>61.487997147021964</v>
      </c>
      <c r="AB81" s="21">
        <f>EXP(-LN(2)/2)*AB80+(1-EXP(-LN(2)/2))/(LN(2)/2)*V81*Y81*VLOOKUP('Données projet'!$B$9,Paramètres!$A$1:$I$89,3,0)*0.475*44/12</f>
        <v>4.7190952701762425</v>
      </c>
      <c r="AC81" s="22">
        <f t="shared" si="57"/>
        <v>263.1464152100184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65.850064015193738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-2.2737367544323206E-13</v>
      </c>
      <c r="AJ81" s="13">
        <f>AI81*VLOOKUP('Données projet'!$B$10,Paramètres!$A$1:$I$89,3,0)*VLOOKUP('Données projet'!$B$10,Paramètres!$A$1:$I$89,5,0)</f>
        <v>-1.064108801074326E-13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280.35802808205239</v>
      </c>
      <c r="AO81" s="59">
        <f t="shared" si="90"/>
        <v>249.32129349927175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65.293242518022183</v>
      </c>
      <c r="AV81" s="21">
        <f>EXP(-LN(2)/25)*AV80+(1-EXP(-LN(2)/25))/(LN(2)/25)*Calculateur!AQ81*Calculateur!AS81*VLOOKUP('Données projet'!$B$10,Paramètres!$A$1:$I$89,3,0)*0.475*44/12</f>
        <v>27.193092646410225</v>
      </c>
      <c r="AW81" s="21">
        <f>EXP(-LN(2)/2)*AW80+(1-EXP(-LN(2)/2))/(LN(2)/2)*AQ81*AT81*VLOOKUP('Données projet'!$B$10,Paramètres!$A$1:$I$89,3,0)*0.475*44/12</f>
        <v>2.6000583263054648E-2</v>
      </c>
      <c r="AX81" s="21">
        <f t="shared" si="60"/>
        <v>92.51233574769546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65.850064015193738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14.6</v>
      </c>
      <c r="BD81" s="12">
        <f>IF('Données projet'!$A$88&gt;35,BD80+BC81-BL80,IF(A81&lt;'Données projet'!$A$88,$BA$205^A81,IF(A81='Données projet'!$A$88,'Données projet'!$B$88,BD80+BC81-BL80)))</f>
        <v>746.80000000000007</v>
      </c>
      <c r="BE81" s="13">
        <f>BD81*VLOOKUP('Données projet'!$B$11,Paramètres!$A$1:$I$89,3,0)*VLOOKUP('Données projet'!$B$11,Paramètres!$A$1:$I$89,5,0)</f>
        <v>330.08560000000006</v>
      </c>
      <c r="BF81" s="13">
        <f t="shared" si="91"/>
        <v>77.448053967870919</v>
      </c>
      <c r="BG81" s="20">
        <f t="shared" si="61"/>
        <v>709.78778066070856</v>
      </c>
      <c r="BH81" s="59">
        <f t="shared" si="62"/>
        <v>987.90468204975218</v>
      </c>
      <c r="BI81" s="59">
        <f ca="1">AVERAGE(OFFSET($BH$3,0,0,'Données projet'!$E$11+1,1))-AVERAGE(OFFSET($H$3,0,0,'Données projet'!$E$11+1,1))</f>
        <v>409.91320873873292</v>
      </c>
      <c r="BJ81" s="59">
        <f t="shared" si="92"/>
        <v>347.86310581860698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58.765412020471331</v>
      </c>
      <c r="BQ81" s="21">
        <f>EXP(-LN(2)/25)*BQ80+(1-EXP(-LN(2)/25))/(LN(2)/25)*Calculateur!BL81*Calculateur!BN81*VLOOKUP('Données projet'!$B$11,Paramètres!$A$1:$I$89,3,0)*0.475*44/12</f>
        <v>23.299721142532118</v>
      </c>
      <c r="BR81" s="21">
        <f>EXP(-LN(2)/2)*BR80+(1-EXP(-LN(2)/2))/(LN(2)/2)*BL81*BO81*VLOOKUP('Données projet'!$B$11,Paramètres!$A$1:$I$89,3,0)*0.475*44/12</f>
        <v>1.8691342593715929</v>
      </c>
      <c r="BS81" s="22">
        <f t="shared" si="63"/>
        <v>83.934267422375044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65.850064015193738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65.850064015193738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65.850064015193738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65.850064015193738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65.850064015193738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65.850064015193738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65.850064015193738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3.25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11.916666666666666</v>
      </c>
      <c r="H82" s="67">
        <f t="shared" si="56"/>
        <v>209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65.922056126663193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5.6843418860808015E-13</v>
      </c>
      <c r="O82" s="13">
        <f>N82*VLOOKUP('Données projet'!$B$9,Paramètres!$A$1:$I$89,3,0)*VLOOKUP('Données projet'!$B$9,Paramètres!$A$1:$I$89,5,0)</f>
        <v>3.177547114319168E-13</v>
      </c>
      <c r="P82" s="13">
        <f t="shared" si="87"/>
        <v>4.1725404435445377E-12</v>
      </c>
      <c r="Q82" s="20">
        <f t="shared" si="54"/>
        <v>7.820597394917325E-12</v>
      </c>
      <c r="R82" s="59">
        <f t="shared" si="55"/>
        <v>278.38087246443956</v>
      </c>
      <c r="S82" s="59">
        <f ca="1">AVERAGE(OFFSET($R$3,0,0,'Données projet'!$E$9+1,1))-AVERAGE(OFFSET($H$3,0,0,'Données projet'!$E$9+1,1))</f>
        <v>399.91876225849921</v>
      </c>
      <c r="T82" s="59">
        <f t="shared" si="88"/>
        <v>368.64132082233505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193.0774627939789</v>
      </c>
      <c r="AA82" s="21">
        <f>EXP(-LN(2)/25)*AA81+(1-EXP(-LN(2)/25))/(LN(2)/25)*Calculateur!V82*Calculateur!X82*VLOOKUP('Données projet'!$B$9,Paramètres!$A$1:$I$89,3,0)*0.475*44/12</f>
        <v>59.806604631523413</v>
      </c>
      <c r="AB82" s="21">
        <f>EXP(-LN(2)/2)*AB81+(1-EXP(-LN(2)/2))/(LN(2)/2)*V82*Y82*VLOOKUP('Données projet'!$B$9,Paramètres!$A$1:$I$89,3,0)*0.475*44/12</f>
        <v>3.3369042666069841</v>
      </c>
      <c r="AC82" s="22">
        <f t="shared" si="57"/>
        <v>256.22097169210929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65.922056126663193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-2.2737367544323206E-13</v>
      </c>
      <c r="AJ82" s="13">
        <f>AI82*VLOOKUP('Données projet'!$B$10,Paramètres!$A$1:$I$89,3,0)*VLOOKUP('Données projet'!$B$10,Paramètres!$A$1:$I$89,5,0)</f>
        <v>-1.064108801074326E-13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280.35802808205239</v>
      </c>
      <c r="AO82" s="59">
        <f t="shared" si="90"/>
        <v>249.32129349927175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64.012881857189313</v>
      </c>
      <c r="AV82" s="21">
        <f>EXP(-LN(2)/25)*AV81+(1-EXP(-LN(2)/25))/(LN(2)/25)*Calculateur!AQ82*Calculateur!AS82*VLOOKUP('Données projet'!$B$10,Paramètres!$A$1:$I$89,3,0)*0.475*44/12</f>
        <v>26.449496097971547</v>
      </c>
      <c r="AW82" s="21">
        <f>EXP(-LN(2)/2)*AW81+(1-EXP(-LN(2)/2))/(LN(2)/2)*AQ82*AT82*VLOOKUP('Données projet'!$B$10,Paramètres!$A$1:$I$89,3,0)*0.475*44/12</f>
        <v>1.8385188740111393E-2</v>
      </c>
      <c r="AX82" s="21">
        <f t="shared" si="60"/>
        <v>90.480763143900973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65.922056126663193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14.6</v>
      </c>
      <c r="BD82" s="12">
        <f>IF('Données projet'!$A$88&gt;35,BD81+BC82-BL81,IF(A82&lt;'Données projet'!$A$88,$BA$205^A82,IF(A82='Données projet'!$A$88,'Données projet'!$B$88,BD81+BC82-BL81)))</f>
        <v>761.40000000000009</v>
      </c>
      <c r="BE82" s="13">
        <f>BD82*VLOOKUP('Données projet'!$B$11,Paramètres!$A$1:$I$89,3,0)*VLOOKUP('Données projet'!$B$11,Paramètres!$A$1:$I$89,5,0)</f>
        <v>336.53880000000004</v>
      </c>
      <c r="BF82" s="13">
        <f t="shared" si="91"/>
        <v>78.784415290943599</v>
      </c>
      <c r="BG82" s="20">
        <f t="shared" si="61"/>
        <v>723.35459996506006</v>
      </c>
      <c r="BH82" s="59">
        <f t="shared" si="62"/>
        <v>1001.7354724294918</v>
      </c>
      <c r="BI82" s="59">
        <f ca="1">AVERAGE(OFFSET($BH$3,0,0,'Données projet'!$E$11+1,1))-AVERAGE(OFFSET($H$3,0,0,'Données projet'!$E$11+1,1))</f>
        <v>409.91320873873292</v>
      </c>
      <c r="BJ82" s="59">
        <f t="shared" si="92"/>
        <v>347.86310581860698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57.613058134111981</v>
      </c>
      <c r="BQ82" s="21">
        <f>EXP(-LN(2)/25)*BQ81+(1-EXP(-LN(2)/25))/(LN(2)/25)*Calculateur!BL82*Calculateur!BN82*VLOOKUP('Données projet'!$B$11,Paramètres!$A$1:$I$89,3,0)*0.475*44/12</f>
        <v>22.662589042610495</v>
      </c>
      <c r="BR82" s="21">
        <f>EXP(-LN(2)/2)*BR81+(1-EXP(-LN(2)/2))/(LN(2)/2)*BL82*BO82*VLOOKUP('Données projet'!$B$11,Paramètres!$A$1:$I$89,3,0)*0.475*44/12</f>
        <v>1.3216775097497486</v>
      </c>
      <c r="BS82" s="22">
        <f t="shared" si="63"/>
        <v>81.59732468647222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65.922056126663193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65.922056126663193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65.922056126663193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65.922056126663193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65.922056126663193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65.922056126663193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65.922056126663193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3.25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11.916666666666666</v>
      </c>
      <c r="H83" s="67">
        <f t="shared" si="56"/>
        <v>209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65.992799335948888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5.6843418860808015E-13</v>
      </c>
      <c r="O83" s="13">
        <f>N83*VLOOKUP('Données projet'!$B$9,Paramètres!$A$1:$I$89,3,0)*VLOOKUP('Données projet'!$B$9,Paramètres!$A$1:$I$89,5,0)</f>
        <v>3.177547114319168E-13</v>
      </c>
      <c r="P83" s="13">
        <f t="shared" si="87"/>
        <v>4.1725404435445377E-12</v>
      </c>
      <c r="Q83" s="20">
        <f t="shared" si="54"/>
        <v>7.820597394917325E-12</v>
      </c>
      <c r="R83" s="59">
        <f t="shared" si="55"/>
        <v>278.64026423182042</v>
      </c>
      <c r="S83" s="59">
        <f ca="1">AVERAGE(OFFSET($R$3,0,0,'Données projet'!$E$9+1,1))-AVERAGE(OFFSET($H$3,0,0,'Données projet'!$E$9+1,1))</f>
        <v>399.91876225849921</v>
      </c>
      <c r="T83" s="59">
        <f t="shared" si="88"/>
        <v>368.64132082233505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189.29133151421289</v>
      </c>
      <c r="AA83" s="21">
        <f>EXP(-LN(2)/25)*AA82+(1-EXP(-LN(2)/25))/(LN(2)/25)*Calculateur!V83*Calculateur!X83*VLOOKUP('Données projet'!$B$9,Paramètres!$A$1:$I$89,3,0)*0.475*44/12</f>
        <v>58.171189882781761</v>
      </c>
      <c r="AB83" s="21">
        <f>EXP(-LN(2)/2)*AB82+(1-EXP(-LN(2)/2))/(LN(2)/2)*V83*Y83*VLOOKUP('Données projet'!$B$9,Paramètres!$A$1:$I$89,3,0)*0.475*44/12</f>
        <v>2.3595476350881217</v>
      </c>
      <c r="AC83" s="22">
        <f t="shared" si="57"/>
        <v>249.82206903208277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65.992799335948888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-2.2737367544323206E-13</v>
      </c>
      <c r="AJ83" s="13">
        <f>AI83*VLOOKUP('Données projet'!$B$10,Paramètres!$A$1:$I$89,3,0)*VLOOKUP('Données projet'!$B$10,Paramètres!$A$1:$I$89,5,0)</f>
        <v>-1.064108801074326E-13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280.35802808205239</v>
      </c>
      <c r="AO83" s="59">
        <f t="shared" si="90"/>
        <v>249.32129349927175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62.757628287972487</v>
      </c>
      <c r="AV83" s="21">
        <f>EXP(-LN(2)/25)*AV82+(1-EXP(-LN(2)/25))/(LN(2)/25)*Calculateur!AQ83*Calculateur!AS83*VLOOKUP('Données projet'!$B$10,Paramètres!$A$1:$I$89,3,0)*0.475*44/12</f>
        <v>25.726233236253968</v>
      </c>
      <c r="AW83" s="21">
        <f>EXP(-LN(2)/2)*AW82+(1-EXP(-LN(2)/2))/(LN(2)/2)*AQ83*AT83*VLOOKUP('Données projet'!$B$10,Paramètres!$A$1:$I$89,3,0)*0.475*44/12</f>
        <v>1.3000291631527324E-2</v>
      </c>
      <c r="AX83" s="21">
        <f t="shared" si="60"/>
        <v>88.496861815857983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65.992799335948888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776</v>
      </c>
      <c r="BB83" s="12">
        <f>VLOOKUP(A83,'Données projet'!$A$87:$I$107,9,0)</f>
        <v>14.6</v>
      </c>
      <c r="BC83" s="12">
        <f t="array" ref="BC83">INDEX(BB:BB,MIN(IF(ISNUMBER(BB83:BB279),ROW(BB83:BB279),"")))</f>
        <v>14.6</v>
      </c>
      <c r="BD83" s="12">
        <f>IF('Données projet'!$A$88&gt;35,BD82+BC83-BL82,IF(A83&lt;'Données projet'!$A$88,$BA$205^A83,IF(A83='Données projet'!$A$88,'Données projet'!$B$88,BD82+BC83-BL82)))</f>
        <v>776.00000000000011</v>
      </c>
      <c r="BE83" s="13">
        <f>BD83*VLOOKUP('Données projet'!$B$11,Paramètres!$A$1:$I$89,3,0)*VLOOKUP('Données projet'!$B$11,Paramètres!$A$1:$I$89,5,0)</f>
        <v>342.99200000000008</v>
      </c>
      <c r="BF83" s="13">
        <f t="shared" si="91"/>
        <v>80.117796997208558</v>
      </c>
      <c r="BG83" s="20">
        <f t="shared" si="61"/>
        <v>736.91622977013833</v>
      </c>
      <c r="BH83" s="59">
        <f t="shared" si="62"/>
        <v>1015.5564940019509</v>
      </c>
      <c r="BI83" s="59">
        <f ca="1">AVERAGE(OFFSET($BH$3,0,0,'Données projet'!$E$11+1,1))-AVERAGE(OFFSET($H$3,0,0,'Données projet'!$E$11+1,1))</f>
        <v>409.91320873873292</v>
      </c>
      <c r="BJ83" s="59">
        <f t="shared" si="92"/>
        <v>347.86310581860698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776</v>
      </c>
      <c r="BM83" s="16">
        <f>IF(ISNA(VLOOKUP(A83,'Données projet'!$A$87:$I$107,5,0)),0%,VLOOKUP(A83,'Données projet'!$A$87:$I$107,5,0)*VLOOKUP('Données projet'!$B$11,Paramètres!$A$1:$I$89,7,0))</f>
        <v>0.33</v>
      </c>
      <c r="BN83" s="16">
        <f>IF(ISNA(VLOOKUP(A83,'Données projet'!$A$87:$I$107,6,0)),0%,VLOOKUP(A83,'Données projet'!$A$87:$I$107,6,0)*VLOOKUP('Données projet'!$B$11,Paramètres!$A$1:$I$89,7,0))</f>
        <v>0.11000000000000001</v>
      </c>
      <c r="BO83" s="16">
        <f>IF(ISNA(VLOOKUP(A83,'Données projet'!$A$87:$I$107,7,0)),0%,VLOOKUP(A83,'Données projet'!$A$87:$I$107,7,0))</f>
        <v>0.2</v>
      </c>
      <c r="BP83" s="21">
        <f>EXP(-LN(2)/35)*BP82+(1-EXP(-LN(2)/35))/(LN(2)/35)*BL83*BM83*VLOOKUP('Données projet'!$B$11,Paramètres!$A$1:$I$89,3,0)*0.475*44/12</f>
        <v>206.63362978563688</v>
      </c>
      <c r="BQ83" s="21">
        <f>EXP(-LN(2)/25)*BQ82+(1-EXP(-LN(2)/25))/(LN(2)/25)*Calculateur!BL83*Calculateur!BN83*VLOOKUP('Données projet'!$B$11,Paramètres!$A$1:$I$89,3,0)*0.475*44/12</f>
        <v>71.895922528684935</v>
      </c>
      <c r="BR83" s="21">
        <f>EXP(-LN(2)/2)*BR82+(1-EXP(-LN(2)/2))/(LN(2)/2)*BL83*BO83*VLOOKUP('Données projet'!$B$11,Paramètres!$A$1:$I$89,3,0)*0.475*44/12</f>
        <v>78.603891168325319</v>
      </c>
      <c r="BS83" s="22">
        <f t="shared" si="63"/>
        <v>357.13344348264712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65.992799335948888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65.992799335948888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65.992799335948888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65.992799335948888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65.992799335948888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65.992799335948888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65.992799335948888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3.25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11.916666666666666</v>
      </c>
      <c r="H84" s="67">
        <f t="shared" si="56"/>
        <v>209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66.062315308711618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5.6843418860808015E-13</v>
      </c>
      <c r="O84" s="13">
        <f>N84*VLOOKUP('Données projet'!$B$9,Paramètres!$A$1:$I$89,3,0)*VLOOKUP('Données projet'!$B$9,Paramètres!$A$1:$I$89,5,0)</f>
        <v>3.177547114319168E-13</v>
      </c>
      <c r="P84" s="13">
        <f t="shared" si="87"/>
        <v>4.1725404435445377E-12</v>
      </c>
      <c r="Q84" s="20">
        <f t="shared" si="54"/>
        <v>7.820597394917325E-12</v>
      </c>
      <c r="R84" s="59">
        <f t="shared" si="55"/>
        <v>278.89515613195044</v>
      </c>
      <c r="S84" s="59">
        <f ca="1">AVERAGE(OFFSET($R$3,0,0,'Données projet'!$E$9+1,1))-AVERAGE(OFFSET($H$3,0,0,'Données projet'!$E$9+1,1))</f>
        <v>399.91876225849921</v>
      </c>
      <c r="T84" s="59">
        <f t="shared" si="88"/>
        <v>368.64132082233505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185.57944395953103</v>
      </c>
      <c r="AA84" s="21">
        <f>EXP(-LN(2)/25)*AA83+(1-EXP(-LN(2)/25))/(LN(2)/25)*Calculateur!V84*Calculateur!X84*VLOOKUP('Données projet'!$B$9,Paramètres!$A$1:$I$89,3,0)*0.475*44/12</f>
        <v>56.580495636347166</v>
      </c>
      <c r="AB84" s="21">
        <f>EXP(-LN(2)/2)*AB83+(1-EXP(-LN(2)/2))/(LN(2)/2)*V84*Y84*VLOOKUP('Données projet'!$B$9,Paramètres!$A$1:$I$89,3,0)*0.475*44/12</f>
        <v>1.6684521333034923</v>
      </c>
      <c r="AC84" s="22">
        <f t="shared" si="57"/>
        <v>243.8283917291817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66.062315308711618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-2.2737367544323206E-13</v>
      </c>
      <c r="AJ84" s="13">
        <f>AI84*VLOOKUP('Données projet'!$B$10,Paramètres!$A$1:$I$89,3,0)*VLOOKUP('Données projet'!$B$10,Paramètres!$A$1:$I$89,5,0)</f>
        <v>-1.064108801074326E-13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280.35802808205239</v>
      </c>
      <c r="AO84" s="59">
        <f t="shared" si="90"/>
        <v>249.32129349927175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61.526989475618926</v>
      </c>
      <c r="AV84" s="21">
        <f>EXP(-LN(2)/25)*AV83+(1-EXP(-LN(2)/25))/(LN(2)/25)*Calculateur!AQ84*Calculateur!AS84*VLOOKUP('Données projet'!$B$10,Paramètres!$A$1:$I$89,3,0)*0.475*44/12</f>
        <v>25.022748035524796</v>
      </c>
      <c r="AW84" s="21">
        <f>EXP(-LN(2)/2)*AW83+(1-EXP(-LN(2)/2))/(LN(2)/2)*AQ84*AT84*VLOOKUP('Données projet'!$B$10,Paramètres!$A$1:$I$89,3,0)*0.475*44/12</f>
        <v>9.1925943700556963E-3</v>
      </c>
      <c r="AX84" s="21">
        <f t="shared" si="60"/>
        <v>86.558930105513767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66.062315308711618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1.1368683772161603E-13</v>
      </c>
      <c r="BE84" s="13">
        <f>BD84*VLOOKUP('Données projet'!$B$11,Paramètres!$A$1:$I$89,3,0)*VLOOKUP('Données projet'!$B$11,Paramètres!$A$1:$I$89,5,0)</f>
        <v>5.0249582272954292E-14</v>
      </c>
      <c r="BF84" s="13">
        <f t="shared" si="91"/>
        <v>8.1784820119191593E-13</v>
      </c>
      <c r="BG84" s="20">
        <f t="shared" si="61"/>
        <v>1.5119369728679821E-12</v>
      </c>
      <c r="BH84" s="59">
        <f t="shared" si="62"/>
        <v>278.89515613194413</v>
      </c>
      <c r="BI84" s="59">
        <f ca="1">AVERAGE(OFFSET($BH$3,0,0,'Données projet'!$E$11+1,1))-AVERAGE(OFFSET($H$3,0,0,'Données projet'!$E$11+1,1))</f>
        <v>409.91320873873292</v>
      </c>
      <c r="BJ84" s="59">
        <f t="shared" si="92"/>
        <v>347.86310581860698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202.58167033960987</v>
      </c>
      <c r="BQ84" s="21">
        <f>EXP(-LN(2)/25)*BQ83+(1-EXP(-LN(2)/25))/(LN(2)/25)*Calculateur!BL84*Calculateur!BN84*VLOOKUP('Données projet'!$B$11,Paramètres!$A$1:$I$89,3,0)*0.475*44/12</f>
        <v>69.929924746295796</v>
      </c>
      <c r="BR84" s="21">
        <f>EXP(-LN(2)/2)*BR83+(1-EXP(-LN(2)/2))/(LN(2)/2)*BL84*BO84*VLOOKUP('Données projet'!$B$11,Paramètres!$A$1:$I$89,3,0)*0.475*44/12</f>
        <v>55.581344472772209</v>
      </c>
      <c r="BS84" s="22">
        <f t="shared" si="63"/>
        <v>328.09293955867793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66.062315308711618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66.062315308711618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66.062315308711618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66.062315308711618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66.062315308711618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66.062315308711618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66.062315308711618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3.25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11.916666666666666</v>
      </c>
      <c r="H85" s="67">
        <f t="shared" si="56"/>
        <v>209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66.130625334761334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5.6843418860808015E-13</v>
      </c>
      <c r="O85" s="13">
        <f>N85*VLOOKUP('Données projet'!$B$9,Paramètres!$A$1:$I$89,3,0)*VLOOKUP('Données projet'!$B$9,Paramètres!$A$1:$I$89,5,0)</f>
        <v>3.177547114319168E-13</v>
      </c>
      <c r="P85" s="13">
        <f t="shared" si="87"/>
        <v>4.1725404435445377E-12</v>
      </c>
      <c r="Q85" s="20">
        <f t="shared" si="54"/>
        <v>7.820597394917325E-12</v>
      </c>
      <c r="R85" s="59">
        <f t="shared" si="55"/>
        <v>279.14562622746604</v>
      </c>
      <c r="S85" s="59">
        <f ca="1">AVERAGE(OFFSET($R$3,0,0,'Données projet'!$E$9+1,1))-AVERAGE(OFFSET($H$3,0,0,'Données projet'!$E$9+1,1))</f>
        <v>399.91876225849921</v>
      </c>
      <c r="T85" s="59">
        <f t="shared" si="88"/>
        <v>368.64132082233505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181.94034425576862</v>
      </c>
      <c r="AA85" s="21">
        <f>EXP(-LN(2)/25)*AA84+(1-EXP(-LN(2)/25))/(LN(2)/25)*Calculateur!V85*Calculateur!X85*VLOOKUP('Données projet'!$B$9,Paramètres!$A$1:$I$89,3,0)*0.475*44/12</f>
        <v>55.033299007732303</v>
      </c>
      <c r="AB85" s="21">
        <f>EXP(-LN(2)/2)*AB84+(1-EXP(-LN(2)/2))/(LN(2)/2)*V85*Y85*VLOOKUP('Données projet'!$B$9,Paramètres!$A$1:$I$89,3,0)*0.475*44/12</f>
        <v>1.1797738175440611</v>
      </c>
      <c r="AC85" s="22">
        <f t="shared" si="57"/>
        <v>238.15341708104498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66.130625334761334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-2.2737367544323206E-13</v>
      </c>
      <c r="AJ85" s="13">
        <f>AI85*VLOOKUP('Données projet'!$B$10,Paramètres!$A$1:$I$89,3,0)*VLOOKUP('Données projet'!$B$10,Paramètres!$A$1:$I$89,5,0)</f>
        <v>-1.064108801074326E-13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280.35802808205239</v>
      </c>
      <c r="AO85" s="59">
        <f t="shared" si="90"/>
        <v>249.32129349927175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60.32048273976006</v>
      </c>
      <c r="AV85" s="21">
        <f>EXP(-LN(2)/25)*AV84+(1-EXP(-LN(2)/25))/(LN(2)/25)*Calculateur!AQ85*Calculateur!AS85*VLOOKUP('Données projet'!$B$10,Paramètres!$A$1:$I$89,3,0)*0.475*44/12</f>
        <v>24.33849967460424</v>
      </c>
      <c r="AW85" s="21">
        <f>EXP(-LN(2)/2)*AW84+(1-EXP(-LN(2)/2))/(LN(2)/2)*AQ85*AT85*VLOOKUP('Données projet'!$B$10,Paramètres!$A$1:$I$89,3,0)*0.475*44/12</f>
        <v>6.5001458157636621E-3</v>
      </c>
      <c r="AX85" s="21">
        <f t="shared" si="60"/>
        <v>84.665482560180067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66.130625334761334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1.1368683772161603E-13</v>
      </c>
      <c r="BE85" s="13">
        <f>BD85*VLOOKUP('Données projet'!$B$11,Paramètres!$A$1:$I$89,3,0)*VLOOKUP('Données projet'!$B$11,Paramètres!$A$1:$I$89,5,0)</f>
        <v>5.0249582272954292E-14</v>
      </c>
      <c r="BF85" s="13">
        <f t="shared" si="91"/>
        <v>8.1784820119191593E-13</v>
      </c>
      <c r="BG85" s="20">
        <f t="shared" si="61"/>
        <v>1.5119369728679821E-12</v>
      </c>
      <c r="BH85" s="59">
        <f t="shared" si="62"/>
        <v>279.14562622745973</v>
      </c>
      <c r="BI85" s="59">
        <f ca="1">AVERAGE(OFFSET($BH$3,0,0,'Données projet'!$E$11+1,1))-AVERAGE(OFFSET($H$3,0,0,'Données projet'!$E$11+1,1))</f>
        <v>409.91320873873292</v>
      </c>
      <c r="BJ85" s="59">
        <f t="shared" si="92"/>
        <v>347.86310581860698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198.60916734686825</v>
      </c>
      <c r="BQ85" s="21">
        <f>EXP(-LN(2)/25)*BQ84+(1-EXP(-LN(2)/25))/(LN(2)/25)*Calculateur!BL85*Calculateur!BN85*VLOOKUP('Données projet'!$B$11,Paramètres!$A$1:$I$89,3,0)*0.475*44/12</f>
        <v>68.017687276653419</v>
      </c>
      <c r="BR85" s="21">
        <f>EXP(-LN(2)/2)*BR84+(1-EXP(-LN(2)/2))/(LN(2)/2)*BL85*BO85*VLOOKUP('Données projet'!$B$11,Paramètres!$A$1:$I$89,3,0)*0.475*44/12</f>
        <v>39.301945584162667</v>
      </c>
      <c r="BS85" s="22">
        <f t="shared" si="63"/>
        <v>305.92880020768439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66.130625334761334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66.130625334761334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66.130625334761334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66.130625334761334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66.130625334761334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66.130625334761334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66.130625334761334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3.25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11.916666666666666</v>
      </c>
      <c r="H86" s="67">
        <f t="shared" si="56"/>
        <v>209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66.197750334577435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5.6843418860808015E-13</v>
      </c>
      <c r="O86" s="13">
        <f>N86*VLOOKUP('Données projet'!$B$9,Paramètres!$A$1:$I$89,3,0)*VLOOKUP('Données projet'!$B$9,Paramètres!$A$1:$I$89,5,0)</f>
        <v>3.177547114319168E-13</v>
      </c>
      <c r="P86" s="13">
        <f t="shared" si="87"/>
        <v>4.1725404435445377E-12</v>
      </c>
      <c r="Q86" s="20">
        <f t="shared" si="54"/>
        <v>7.820597394917325E-12</v>
      </c>
      <c r="R86" s="59">
        <f t="shared" si="55"/>
        <v>279.39175122679177</v>
      </c>
      <c r="S86" s="59">
        <f ca="1">AVERAGE(OFFSET($R$3,0,0,'Données projet'!$E$9+1,1))-AVERAGE(OFFSET($H$3,0,0,'Données projet'!$E$9+1,1))</f>
        <v>399.91876225849921</v>
      </c>
      <c r="T86" s="59">
        <f t="shared" si="88"/>
        <v>368.64132082233505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178.37260507756537</v>
      </c>
      <c r="AA86" s="21">
        <f>EXP(-LN(2)/25)*AA85+(1-EXP(-LN(2)/25))/(LN(2)/25)*Calculateur!V86*Calculateur!X86*VLOOKUP('Données projet'!$B$9,Paramètres!$A$1:$I$89,3,0)*0.475*44/12</f>
        <v>53.528410552290445</v>
      </c>
      <c r="AB86" s="21">
        <f>EXP(-LN(2)/2)*AB85+(1-EXP(-LN(2)/2))/(LN(2)/2)*V86*Y86*VLOOKUP('Données projet'!$B$9,Paramètres!$A$1:$I$89,3,0)*0.475*44/12</f>
        <v>0.83422606665174626</v>
      </c>
      <c r="AC86" s="22">
        <f t="shared" si="57"/>
        <v>232.73524169650756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66.197750334577435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-2.2737367544323206E-13</v>
      </c>
      <c r="AJ86" s="13">
        <f>AI86*VLOOKUP('Données projet'!$B$10,Paramètres!$A$1:$I$89,3,0)*VLOOKUP('Données projet'!$B$10,Paramètres!$A$1:$I$89,5,0)</f>
        <v>-1.064108801074326E-13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280.35802808205239</v>
      </c>
      <c r="AO86" s="59">
        <f t="shared" si="90"/>
        <v>249.32129349927175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59.137634865094938</v>
      </c>
      <c r="AV86" s="21">
        <f>EXP(-LN(2)/25)*AV85+(1-EXP(-LN(2)/25))/(LN(2)/25)*Calculateur!AQ86*Calculateur!AS86*VLOOKUP('Données projet'!$B$10,Paramètres!$A$1:$I$89,3,0)*0.475*44/12</f>
        <v>23.672962121096116</v>
      </c>
      <c r="AW86" s="21">
        <f>EXP(-LN(2)/2)*AW85+(1-EXP(-LN(2)/2))/(LN(2)/2)*AQ86*AT86*VLOOKUP('Données projet'!$B$10,Paramètres!$A$1:$I$89,3,0)*0.475*44/12</f>
        <v>4.5962971850278481E-3</v>
      </c>
      <c r="AX86" s="21">
        <f t="shared" si="60"/>
        <v>82.81519328337609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66.197750334577435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1.1368683772161603E-13</v>
      </c>
      <c r="BE86" s="13">
        <f>BD86*VLOOKUP('Données projet'!$B$11,Paramètres!$A$1:$I$89,3,0)*VLOOKUP('Données projet'!$B$11,Paramètres!$A$1:$I$89,5,0)</f>
        <v>5.0249582272954292E-14</v>
      </c>
      <c r="BF86" s="13">
        <f t="shared" si="91"/>
        <v>8.1784820119191593E-13</v>
      </c>
      <c r="BG86" s="20">
        <f t="shared" si="61"/>
        <v>1.5119369728679821E-12</v>
      </c>
      <c r="BH86" s="59">
        <f t="shared" si="62"/>
        <v>279.39175122678546</v>
      </c>
      <c r="BI86" s="59">
        <f ca="1">AVERAGE(OFFSET($BH$3,0,0,'Données projet'!$E$11+1,1))-AVERAGE(OFFSET($H$3,0,0,'Données projet'!$E$11+1,1))</f>
        <v>409.91320873873292</v>
      </c>
      <c r="BJ86" s="59">
        <f t="shared" si="92"/>
        <v>347.86310581860698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194.71456271482668</v>
      </c>
      <c r="BQ86" s="21">
        <f>EXP(-LN(2)/25)*BQ85+(1-EXP(-LN(2)/25))/(LN(2)/25)*Calculateur!BL86*Calculateur!BN86*VLOOKUP('Données projet'!$B$11,Paramètres!$A$1:$I$89,3,0)*0.475*44/12</f>
        <v>66.157740041178613</v>
      </c>
      <c r="BR86" s="21">
        <f>EXP(-LN(2)/2)*BR85+(1-EXP(-LN(2)/2))/(LN(2)/2)*BL86*BO86*VLOOKUP('Données projet'!$B$11,Paramètres!$A$1:$I$89,3,0)*0.475*44/12</f>
        <v>27.790672236386111</v>
      </c>
      <c r="BS86" s="22">
        <f t="shared" si="63"/>
        <v>288.66297499239141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66.197750334577435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66.197750334577435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66.197750334577435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66.197750334577435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66.197750334577435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66.197750334577435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66.197750334577435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3.25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11.916666666666666</v>
      </c>
      <c r="H87" s="67">
        <f t="shared" si="56"/>
        <v>209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66.263710865715737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5.6843418860808015E-13</v>
      </c>
      <c r="O87" s="13">
        <f>N87*VLOOKUP('Données projet'!$B$9,Paramètres!$A$1:$I$89,3,0)*VLOOKUP('Données projet'!$B$9,Paramètres!$A$1:$I$89,5,0)</f>
        <v>3.177547114319168E-13</v>
      </c>
      <c r="P87" s="13">
        <f t="shared" si="87"/>
        <v>4.1725404435445377E-12</v>
      </c>
      <c r="Q87" s="20">
        <f t="shared" si="54"/>
        <v>7.820597394917325E-12</v>
      </c>
      <c r="R87" s="59">
        <f t="shared" si="55"/>
        <v>279.63360650763224</v>
      </c>
      <c r="S87" s="59">
        <f ca="1">AVERAGE(OFFSET($R$3,0,0,'Données projet'!$E$9+1,1))-AVERAGE(OFFSET($H$3,0,0,'Données projet'!$E$9+1,1))</f>
        <v>399.91876225849921</v>
      </c>
      <c r="T87" s="59">
        <f t="shared" si="88"/>
        <v>368.64132082233505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174.87482708854066</v>
      </c>
      <c r="AA87" s="21">
        <f>EXP(-LN(2)/25)*AA86+(1-EXP(-LN(2)/25))/(LN(2)/25)*Calculateur!V87*Calculateur!X87*VLOOKUP('Données projet'!$B$9,Paramètres!$A$1:$I$89,3,0)*0.475*44/12</f>
        <v>52.064673350801293</v>
      </c>
      <c r="AB87" s="21">
        <f>EXP(-LN(2)/2)*AB86+(1-EXP(-LN(2)/2))/(LN(2)/2)*V87*Y87*VLOOKUP('Données projet'!$B$9,Paramètres!$A$1:$I$89,3,0)*0.475*44/12</f>
        <v>0.58988690877203054</v>
      </c>
      <c r="AC87" s="22">
        <f t="shared" si="57"/>
        <v>227.52938734811397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66.263710865715737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-2.2737367544323206E-13</v>
      </c>
      <c r="AJ87" s="13">
        <f>AI87*VLOOKUP('Données projet'!$B$10,Paramètres!$A$1:$I$89,3,0)*VLOOKUP('Données projet'!$B$10,Paramètres!$A$1:$I$89,5,0)</f>
        <v>-1.064108801074326E-13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280.35802808205239</v>
      </c>
      <c r="AO87" s="59">
        <f t="shared" si="90"/>
        <v>249.32129349927175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57.977981915786039</v>
      </c>
      <c r="AV87" s="21">
        <f>EXP(-LN(2)/25)*AV86+(1-EXP(-LN(2)/25))/(LN(2)/25)*Calculateur!AQ87*Calculateur!AS87*VLOOKUP('Données projet'!$B$10,Paramètres!$A$1:$I$89,3,0)*0.475*44/12</f>
        <v>23.025623726987771</v>
      </c>
      <c r="AW87" s="21">
        <f>EXP(-LN(2)/2)*AW86+(1-EXP(-LN(2)/2))/(LN(2)/2)*AQ87*AT87*VLOOKUP('Données projet'!$B$10,Paramètres!$A$1:$I$89,3,0)*0.475*44/12</f>
        <v>3.250072907881831E-3</v>
      </c>
      <c r="AX87" s="21">
        <f t="shared" si="60"/>
        <v>81.006855715681681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66.263710865715737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1.1368683772161603E-13</v>
      </c>
      <c r="BE87" s="13">
        <f>BD87*VLOOKUP('Données projet'!$B$11,Paramètres!$A$1:$I$89,3,0)*VLOOKUP('Données projet'!$B$11,Paramètres!$A$1:$I$89,5,0)</f>
        <v>5.0249582272954292E-14</v>
      </c>
      <c r="BF87" s="13">
        <f t="shared" si="91"/>
        <v>8.1784820119191593E-13</v>
      </c>
      <c r="BG87" s="20">
        <f t="shared" si="61"/>
        <v>1.5119369728679821E-12</v>
      </c>
      <c r="BH87" s="59">
        <f t="shared" si="62"/>
        <v>279.63360650762593</v>
      </c>
      <c r="BI87" s="59">
        <f ca="1">AVERAGE(OFFSET($BH$3,0,0,'Données projet'!$E$11+1,1))-AVERAGE(OFFSET($H$3,0,0,'Données projet'!$E$11+1,1))</f>
        <v>409.91320873873292</v>
      </c>
      <c r="BJ87" s="59">
        <f t="shared" si="92"/>
        <v>347.86310581860698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190.89632890414521</v>
      </c>
      <c r="BQ87" s="21">
        <f>EXP(-LN(2)/25)*BQ86+(1-EXP(-LN(2)/25))/(LN(2)/25)*Calculateur!BL87*Calculateur!BN87*VLOOKUP('Données projet'!$B$11,Paramètres!$A$1:$I$89,3,0)*0.475*44/12</f>
        <v>64.348653160668235</v>
      </c>
      <c r="BR87" s="21">
        <f>EXP(-LN(2)/2)*BR86+(1-EXP(-LN(2)/2))/(LN(2)/2)*BL87*BO87*VLOOKUP('Données projet'!$B$11,Paramètres!$A$1:$I$89,3,0)*0.475*44/12</f>
        <v>19.650972792081337</v>
      </c>
      <c r="BS87" s="22">
        <f t="shared" si="63"/>
        <v>274.89595485689478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66.263710865715737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66.263710865715737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66.263710865715737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66.263710865715737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66.263710865715737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66.263710865715737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66.263710865715737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3.25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11.916666666666666</v>
      </c>
      <c r="H88" s="67">
        <f t="shared" si="56"/>
        <v>209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66.328527129104458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5.6843418860808015E-13</v>
      </c>
      <c r="O88" s="13">
        <f>N88*VLOOKUP('Données projet'!$B$9,Paramètres!$A$1:$I$89,3,0)*VLOOKUP('Données projet'!$B$9,Paramètres!$A$1:$I$89,5,0)</f>
        <v>3.177547114319168E-13</v>
      </c>
      <c r="P88" s="13">
        <f t="shared" si="87"/>
        <v>4.1725404435445377E-12</v>
      </c>
      <c r="Q88" s="20">
        <f t="shared" si="54"/>
        <v>7.820597394917325E-12</v>
      </c>
      <c r="R88" s="59">
        <f t="shared" si="55"/>
        <v>279.87126614005751</v>
      </c>
      <c r="S88" s="59">
        <f ca="1">AVERAGE(OFFSET($R$3,0,0,'Données projet'!$E$9+1,1))-AVERAGE(OFFSET($H$3,0,0,'Données projet'!$E$9+1,1))</f>
        <v>399.91876225849921</v>
      </c>
      <c r="T88" s="59">
        <f t="shared" si="88"/>
        <v>368.64132082233505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171.4456383924468</v>
      </c>
      <c r="AA88" s="21">
        <f>EXP(-LN(2)/25)*AA87+(1-EXP(-LN(2)/25))/(LN(2)/25)*Calculateur!V88*Calculateur!X88*VLOOKUP('Données projet'!$B$9,Paramètres!$A$1:$I$89,3,0)*0.475*44/12</f>
        <v>50.640962120061452</v>
      </c>
      <c r="AB88" s="21">
        <f>EXP(-LN(2)/2)*AB87+(1-EXP(-LN(2)/2))/(LN(2)/2)*V88*Y88*VLOOKUP('Données projet'!$B$9,Paramètres!$A$1:$I$89,3,0)*0.475*44/12</f>
        <v>0.41711303332587313</v>
      </c>
      <c r="AC88" s="22">
        <f t="shared" si="57"/>
        <v>222.50371354583413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66.328527129104458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-2.2737367544323206E-13</v>
      </c>
      <c r="AJ88" s="13">
        <f>AI88*VLOOKUP('Données projet'!$B$10,Paramètres!$A$1:$I$89,3,0)*VLOOKUP('Données projet'!$B$10,Paramètres!$A$1:$I$89,5,0)</f>
        <v>-1.064108801074326E-13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280.35802808205239</v>
      </c>
      <c r="AO88" s="59">
        <f t="shared" si="90"/>
        <v>249.32129349927175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56.841069053494628</v>
      </c>
      <c r="AV88" s="21">
        <f>EXP(-LN(2)/25)*AV87+(1-EXP(-LN(2)/25))/(LN(2)/25)*Calculateur!AQ88*Calculateur!AS88*VLOOKUP('Données projet'!$B$10,Paramètres!$A$1:$I$89,3,0)*0.475*44/12</f>
        <v>22.395986835308364</v>
      </c>
      <c r="AW88" s="21">
        <f>EXP(-LN(2)/2)*AW87+(1-EXP(-LN(2)/2))/(LN(2)/2)*AQ88*AT88*VLOOKUP('Données projet'!$B$10,Paramètres!$A$1:$I$89,3,0)*0.475*44/12</f>
        <v>2.2981485925139241E-3</v>
      </c>
      <c r="AX88" s="21">
        <f t="shared" si="60"/>
        <v>79.239354037395501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66.328527129104458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1.1368683772161603E-13</v>
      </c>
      <c r="BE88" s="13">
        <f>BD88*VLOOKUP('Données projet'!$B$11,Paramètres!$A$1:$I$89,3,0)*VLOOKUP('Données projet'!$B$11,Paramètres!$A$1:$I$89,5,0)</f>
        <v>5.0249582272954292E-14</v>
      </c>
      <c r="BF88" s="13">
        <f t="shared" si="91"/>
        <v>8.1784820119191593E-13</v>
      </c>
      <c r="BG88" s="20">
        <f t="shared" si="61"/>
        <v>1.5119369728679821E-12</v>
      </c>
      <c r="BH88" s="59">
        <f t="shared" si="62"/>
        <v>279.8712661400512</v>
      </c>
      <c r="BI88" s="59">
        <f ca="1">AVERAGE(OFFSET($BH$3,0,0,'Données projet'!$E$11+1,1))-AVERAGE(OFFSET($H$3,0,0,'Données projet'!$E$11+1,1))</f>
        <v>409.91320873873292</v>
      </c>
      <c r="BJ88" s="59">
        <f t="shared" si="92"/>
        <v>347.86310581860698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187.15296832959854</v>
      </c>
      <c r="BQ88" s="21">
        <f>EXP(-LN(2)/25)*BQ87+(1-EXP(-LN(2)/25))/(LN(2)/25)*Calculateur!BL88*Calculateur!BN88*VLOOKUP('Données projet'!$B$11,Paramètres!$A$1:$I$89,3,0)*0.475*44/12</f>
        <v>62.589035856041164</v>
      </c>
      <c r="BR88" s="21">
        <f>EXP(-LN(2)/2)*BR87+(1-EXP(-LN(2)/2))/(LN(2)/2)*BL88*BO88*VLOOKUP('Données projet'!$B$11,Paramètres!$A$1:$I$89,3,0)*0.475*44/12</f>
        <v>13.895336118193057</v>
      </c>
      <c r="BS88" s="22">
        <f t="shared" si="63"/>
        <v>263.63734030383273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66.328527129104458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66.328527129104458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66.328527129104458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66.328527129104458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66.328527129104458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66.328527129104458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66.328527129104458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3.25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11.916666666666666</v>
      </c>
      <c r="H89" s="67">
        <f t="shared" si="56"/>
        <v>209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66.392218975230833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5.6843418860808015E-13</v>
      </c>
      <c r="O89" s="13">
        <f>N89*VLOOKUP('Données projet'!$B$9,Paramètres!$A$1:$I$89,3,0)*VLOOKUP('Données projet'!$B$9,Paramètres!$A$1:$I$89,5,0)</f>
        <v>3.177547114319168E-13</v>
      </c>
      <c r="P89" s="13">
        <f t="shared" si="87"/>
        <v>4.1725404435445377E-12</v>
      </c>
      <c r="Q89" s="20">
        <f t="shared" si="54"/>
        <v>7.820597394917325E-12</v>
      </c>
      <c r="R89" s="59">
        <f t="shared" si="55"/>
        <v>280.10480290918753</v>
      </c>
      <c r="S89" s="59">
        <f ca="1">AVERAGE(OFFSET($R$3,0,0,'Données projet'!$E$9+1,1))-AVERAGE(OFFSET($H$3,0,0,'Données projet'!$E$9+1,1))</f>
        <v>399.91876225849921</v>
      </c>
      <c r="T89" s="59">
        <f t="shared" si="88"/>
        <v>368.64132082233505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168.08369399508476</v>
      </c>
      <c r="AA89" s="21">
        <f>EXP(-LN(2)/25)*AA88+(1-EXP(-LN(2)/25))/(LN(2)/25)*Calculateur!V89*Calculateur!X89*VLOOKUP('Données projet'!$B$9,Paramètres!$A$1:$I$89,3,0)*0.475*44/12</f>
        <v>49.256182347795914</v>
      </c>
      <c r="AB89" s="21">
        <f>EXP(-LN(2)/2)*AB88+(1-EXP(-LN(2)/2))/(LN(2)/2)*V89*Y89*VLOOKUP('Données projet'!$B$9,Paramètres!$A$1:$I$89,3,0)*0.475*44/12</f>
        <v>0.29494345438601527</v>
      </c>
      <c r="AC89" s="22">
        <f t="shared" si="57"/>
        <v>217.63481979726669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66.392218975230833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-2.2737367544323206E-13</v>
      </c>
      <c r="AJ89" s="13">
        <f>AI89*VLOOKUP('Données projet'!$B$10,Paramètres!$A$1:$I$89,3,0)*VLOOKUP('Données projet'!$B$10,Paramètres!$A$1:$I$89,5,0)</f>
        <v>-1.064108801074326E-13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280.35802808205239</v>
      </c>
      <c r="AO89" s="59">
        <f t="shared" si="90"/>
        <v>249.32129349927175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55.72645035898438</v>
      </c>
      <c r="AV89" s="21">
        <f>EXP(-LN(2)/25)*AV88+(1-EXP(-LN(2)/25))/(LN(2)/25)*Calculateur!AQ89*Calculateur!AS89*VLOOKUP('Données projet'!$B$10,Paramètres!$A$1:$I$89,3,0)*0.475*44/12</f>
        <v>21.783567397543095</v>
      </c>
      <c r="AW89" s="21">
        <f>EXP(-LN(2)/2)*AW88+(1-EXP(-LN(2)/2))/(LN(2)/2)*AQ89*AT89*VLOOKUP('Données projet'!$B$10,Paramètres!$A$1:$I$89,3,0)*0.475*44/12</f>
        <v>1.6250364539409155E-3</v>
      </c>
      <c r="AX89" s="21">
        <f t="shared" si="60"/>
        <v>77.511642792981419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66.392218975230833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1.1368683772161603E-13</v>
      </c>
      <c r="BE89" s="13">
        <f>BD89*VLOOKUP('Données projet'!$B$11,Paramètres!$A$1:$I$89,3,0)*VLOOKUP('Données projet'!$B$11,Paramètres!$A$1:$I$89,5,0)</f>
        <v>5.0249582272954292E-14</v>
      </c>
      <c r="BF89" s="13">
        <f t="shared" si="91"/>
        <v>8.1784820119191593E-13</v>
      </c>
      <c r="BG89" s="20">
        <f t="shared" si="61"/>
        <v>1.5119369728679821E-12</v>
      </c>
      <c r="BH89" s="59">
        <f t="shared" si="62"/>
        <v>280.10480290918122</v>
      </c>
      <c r="BI89" s="59">
        <f ca="1">AVERAGE(OFFSET($BH$3,0,0,'Données projet'!$E$11+1,1))-AVERAGE(OFFSET($H$3,0,0,'Données projet'!$E$11+1,1))</f>
        <v>409.91320873873292</v>
      </c>
      <c r="BJ89" s="59">
        <f t="shared" si="92"/>
        <v>347.86310581860698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183.48301277269422</v>
      </c>
      <c r="BQ89" s="21">
        <f>EXP(-LN(2)/25)*BQ88+(1-EXP(-LN(2)/25))/(LN(2)/25)*Calculateur!BL89*Calculateur!BN89*VLOOKUP('Données projet'!$B$11,Paramètres!$A$1:$I$89,3,0)*0.475*44/12</f>
        <v>60.877535379143374</v>
      </c>
      <c r="BR89" s="21">
        <f>EXP(-LN(2)/2)*BR88+(1-EXP(-LN(2)/2))/(LN(2)/2)*BL89*BO89*VLOOKUP('Données projet'!$B$11,Paramètres!$A$1:$I$89,3,0)*0.475*44/12</f>
        <v>9.8254863960406702</v>
      </c>
      <c r="BS89" s="22">
        <f t="shared" si="63"/>
        <v>254.18603454787828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66.392218975230833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66.392218975230833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66.392218975230833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66.392218975230833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66.392218975230833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66.392218975230833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66.392218975230833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3.25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11.916666666666666</v>
      </c>
      <c r="H90" s="67">
        <f t="shared" si="56"/>
        <v>209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66.454805910220529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5.6843418860808015E-13</v>
      </c>
      <c r="O90" s="13">
        <f>N90*VLOOKUP('Données projet'!$B$9,Paramètres!$A$1:$I$89,3,0)*VLOOKUP('Données projet'!$B$9,Paramètres!$A$1:$I$89,5,0)</f>
        <v>3.177547114319168E-13</v>
      </c>
      <c r="P90" s="13">
        <f t="shared" si="87"/>
        <v>4.1725404435445377E-12</v>
      </c>
      <c r="Q90" s="20">
        <f t="shared" si="54"/>
        <v>7.820597394917325E-12</v>
      </c>
      <c r="R90" s="59">
        <f t="shared" si="55"/>
        <v>280.33428833748309</v>
      </c>
      <c r="S90" s="59">
        <f ca="1">AVERAGE(OFFSET($R$3,0,0,'Données projet'!$E$9+1,1))-AVERAGE(OFFSET($H$3,0,0,'Données projet'!$E$9+1,1))</f>
        <v>399.91876225849921</v>
      </c>
      <c r="T90" s="59">
        <f t="shared" si="88"/>
        <v>368.64132082233505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164.78767527677138</v>
      </c>
      <c r="AA90" s="21">
        <f>EXP(-LN(2)/25)*AA89+(1-EXP(-LN(2)/25))/(LN(2)/25)*Calculateur!V90*Calculateur!X90*VLOOKUP('Données projet'!$B$9,Paramètres!$A$1:$I$89,3,0)*0.475*44/12</f>
        <v>47.909269451225384</v>
      </c>
      <c r="AB90" s="21">
        <f>EXP(-LN(2)/2)*AB89+(1-EXP(-LN(2)/2))/(LN(2)/2)*V90*Y90*VLOOKUP('Données projet'!$B$9,Paramètres!$A$1:$I$89,3,0)*0.475*44/12</f>
        <v>0.20855651666293656</v>
      </c>
      <c r="AC90" s="22">
        <f t="shared" si="57"/>
        <v>212.90550124465969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66.454805910220529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-2.2737367544323206E-13</v>
      </c>
      <c r="AJ90" s="13">
        <f>AI90*VLOOKUP('Données projet'!$B$10,Paramètres!$A$1:$I$89,3,0)*VLOOKUP('Données projet'!$B$10,Paramètres!$A$1:$I$89,5,0)</f>
        <v>-1.064108801074326E-13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280.35802808205239</v>
      </c>
      <c r="AO90" s="59">
        <f t="shared" si="90"/>
        <v>249.32129349927175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54.633688657223203</v>
      </c>
      <c r="AV90" s="21">
        <f>EXP(-LN(2)/25)*AV89+(1-EXP(-LN(2)/25))/(LN(2)/25)*Calculateur!AQ90*Calculateur!AS90*VLOOKUP('Données projet'!$B$10,Paramètres!$A$1:$I$89,3,0)*0.475*44/12</f>
        <v>21.187894601509257</v>
      </c>
      <c r="AW90" s="21">
        <f>EXP(-LN(2)/2)*AW89+(1-EXP(-LN(2)/2))/(LN(2)/2)*AQ90*AT90*VLOOKUP('Données projet'!$B$10,Paramètres!$A$1:$I$89,3,0)*0.475*44/12</f>
        <v>1.149074296256962E-3</v>
      </c>
      <c r="AX90" s="21">
        <f t="shared" si="60"/>
        <v>75.822732333028711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66.454805910220529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1.1368683772161603E-13</v>
      </c>
      <c r="BE90" s="13">
        <f>BD90*VLOOKUP('Données projet'!$B$11,Paramètres!$A$1:$I$89,3,0)*VLOOKUP('Données projet'!$B$11,Paramètres!$A$1:$I$89,5,0)</f>
        <v>5.0249582272954292E-14</v>
      </c>
      <c r="BF90" s="13">
        <f t="shared" si="91"/>
        <v>8.1784820119191593E-13</v>
      </c>
      <c r="BG90" s="20">
        <f t="shared" si="61"/>
        <v>1.5119369728679821E-12</v>
      </c>
      <c r="BH90" s="59">
        <f t="shared" si="62"/>
        <v>280.33428833747678</v>
      </c>
      <c r="BI90" s="59">
        <f ca="1">AVERAGE(OFFSET($BH$3,0,0,'Données projet'!$E$11+1,1))-AVERAGE(OFFSET($H$3,0,0,'Données projet'!$E$11+1,1))</f>
        <v>409.91320873873292</v>
      </c>
      <c r="BJ90" s="59">
        <f t="shared" si="92"/>
        <v>347.86310581860698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179.88502280580894</v>
      </c>
      <c r="BQ90" s="21">
        <f>EXP(-LN(2)/25)*BQ89+(1-EXP(-LN(2)/25))/(LN(2)/25)*Calculateur!BL90*Calculateur!BN90*VLOOKUP('Données projet'!$B$11,Paramètres!$A$1:$I$89,3,0)*0.475*44/12</f>
        <v>59.212835972790252</v>
      </c>
      <c r="BR90" s="21">
        <f>EXP(-LN(2)/2)*BR89+(1-EXP(-LN(2)/2))/(LN(2)/2)*BL90*BO90*VLOOKUP('Données projet'!$B$11,Paramètres!$A$1:$I$89,3,0)*0.475*44/12</f>
        <v>6.9476680590965305</v>
      </c>
      <c r="BS90" s="22">
        <f t="shared" si="63"/>
        <v>246.04552683769575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66.454805910220529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66.454805910220529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66.454805910220529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66.454805910220529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66.454805910220529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66.454805910220529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66.454805910220529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3.25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11.916666666666666</v>
      </c>
      <c r="H91" s="67">
        <f t="shared" si="56"/>
        <v>209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66.516307101811606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5.6843418860808015E-13</v>
      </c>
      <c r="O91" s="13">
        <f>N91*VLOOKUP('Données projet'!$B$9,Paramètres!$A$1:$I$89,3,0)*VLOOKUP('Données projet'!$B$9,Paramètres!$A$1:$I$89,5,0)</f>
        <v>3.177547114319168E-13</v>
      </c>
      <c r="P91" s="13">
        <f t="shared" si="87"/>
        <v>4.1725404435445377E-12</v>
      </c>
      <c r="Q91" s="20">
        <f t="shared" si="54"/>
        <v>7.820597394917325E-12</v>
      </c>
      <c r="R91" s="59">
        <f t="shared" si="55"/>
        <v>280.5597927066504</v>
      </c>
      <c r="S91" s="59">
        <f ca="1">AVERAGE(OFFSET($R$3,0,0,'Données projet'!$E$9+1,1))-AVERAGE(OFFSET($H$3,0,0,'Données projet'!$E$9+1,1))</f>
        <v>399.91876225849921</v>
      </c>
      <c r="T91" s="59">
        <f t="shared" si="88"/>
        <v>368.64132082233505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161.55628947515123</v>
      </c>
      <c r="AA91" s="21">
        <f>EXP(-LN(2)/25)*AA90+(1-EXP(-LN(2)/25))/(LN(2)/25)*Calculateur!V91*Calculateur!X91*VLOOKUP('Données projet'!$B$9,Paramètres!$A$1:$I$89,3,0)*0.475*44/12</f>
        <v>46.599187958642645</v>
      </c>
      <c r="AB91" s="21">
        <f>EXP(-LN(2)/2)*AB90+(1-EXP(-LN(2)/2))/(LN(2)/2)*V91*Y91*VLOOKUP('Données projet'!$B$9,Paramètres!$A$1:$I$89,3,0)*0.475*44/12</f>
        <v>0.14747172719300763</v>
      </c>
      <c r="AC91" s="22">
        <f t="shared" si="57"/>
        <v>208.30294916098688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66.516307101811606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-2.2737367544323206E-13</v>
      </c>
      <c r="AJ91" s="13">
        <f>AI91*VLOOKUP('Données projet'!$B$10,Paramètres!$A$1:$I$89,3,0)*VLOOKUP('Données projet'!$B$10,Paramètres!$A$1:$I$89,5,0)</f>
        <v>-1.064108801074326E-13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280.35802808205239</v>
      </c>
      <c r="AO91" s="59">
        <f t="shared" si="90"/>
        <v>249.32129349927175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53.562355345914739</v>
      </c>
      <c r="AV91" s="21">
        <f>EXP(-LN(2)/25)*AV90+(1-EXP(-LN(2)/25))/(LN(2)/25)*Calculateur!AQ91*Calculateur!AS91*VLOOKUP('Données projet'!$B$10,Paramètres!$A$1:$I$89,3,0)*0.475*44/12</f>
        <v>20.608510509408035</v>
      </c>
      <c r="AW91" s="21">
        <f>EXP(-LN(2)/2)*AW90+(1-EXP(-LN(2)/2))/(LN(2)/2)*AQ91*AT91*VLOOKUP('Données projet'!$B$10,Paramètres!$A$1:$I$89,3,0)*0.475*44/12</f>
        <v>8.1251822697045776E-4</v>
      </c>
      <c r="AX91" s="21">
        <f t="shared" si="60"/>
        <v>74.171678373549739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66.516307101811606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1.1368683772161603E-13</v>
      </c>
      <c r="BE91" s="13">
        <f>BD91*VLOOKUP('Données projet'!$B$11,Paramètres!$A$1:$I$89,3,0)*VLOOKUP('Données projet'!$B$11,Paramètres!$A$1:$I$89,5,0)</f>
        <v>5.0249582272954292E-14</v>
      </c>
      <c r="BF91" s="13">
        <f t="shared" si="91"/>
        <v>8.1784820119191593E-13</v>
      </c>
      <c r="BG91" s="20">
        <f t="shared" si="61"/>
        <v>1.5119369728679821E-12</v>
      </c>
      <c r="BH91" s="59">
        <f t="shared" si="62"/>
        <v>280.55979270664409</v>
      </c>
      <c r="BI91" s="59">
        <f ca="1">AVERAGE(OFFSET($BH$3,0,0,'Données projet'!$E$11+1,1))-AVERAGE(OFFSET($H$3,0,0,'Données projet'!$E$11+1,1))</f>
        <v>409.91320873873292</v>
      </c>
      <c r="BJ91" s="59">
        <f t="shared" si="92"/>
        <v>347.86310581860698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176.35758722761707</v>
      </c>
      <c r="BQ91" s="21">
        <f>EXP(-LN(2)/25)*BQ90+(1-EXP(-LN(2)/25))/(LN(2)/25)*Calculateur!BL91*Calculateur!BN91*VLOOKUP('Données projet'!$B$11,Paramètres!$A$1:$I$89,3,0)*0.475*44/12</f>
        <v>57.593657859246591</v>
      </c>
      <c r="BR91" s="21">
        <f>EXP(-LN(2)/2)*BR90+(1-EXP(-LN(2)/2))/(LN(2)/2)*BL91*BO91*VLOOKUP('Données projet'!$B$11,Paramètres!$A$1:$I$89,3,0)*0.475*44/12</f>
        <v>4.912743198020336</v>
      </c>
      <c r="BS91" s="22">
        <f t="shared" si="63"/>
        <v>238.86398828488399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66.516307101811606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66.516307101811606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66.516307101811606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66.516307101811606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66.516307101811606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66.516307101811606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66.516307101811606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3.25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11.916666666666666</v>
      </c>
      <c r="H92" s="67">
        <f t="shared" si="56"/>
        <v>209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66.576741385224636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5.6843418860808015E-13</v>
      </c>
      <c r="O92" s="13">
        <f>N92*VLOOKUP('Données projet'!$B$9,Paramètres!$A$1:$I$89,3,0)*VLOOKUP('Données projet'!$B$9,Paramètres!$A$1:$I$89,5,0)</f>
        <v>3.177547114319168E-13</v>
      </c>
      <c r="P92" s="13">
        <f t="shared" si="87"/>
        <v>4.1725404435445377E-12</v>
      </c>
      <c r="Q92" s="20">
        <f t="shared" si="54"/>
        <v>7.820597394917325E-12</v>
      </c>
      <c r="R92" s="59">
        <f t="shared" si="55"/>
        <v>280.78138507916486</v>
      </c>
      <c r="S92" s="59">
        <f ca="1">AVERAGE(OFFSET($R$3,0,0,'Données projet'!$E$9+1,1))-AVERAGE(OFFSET($H$3,0,0,'Données projet'!$E$9+1,1))</f>
        <v>399.91876225849921</v>
      </c>
      <c r="T92" s="59">
        <f t="shared" si="88"/>
        <v>368.64132082233505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158.38826917815013</v>
      </c>
      <c r="AA92" s="21">
        <f>EXP(-LN(2)/25)*AA91+(1-EXP(-LN(2)/25))/(LN(2)/25)*Calculateur!V92*Calculateur!X92*VLOOKUP('Données projet'!$B$9,Paramètres!$A$1:$I$89,3,0)*0.475*44/12</f>
        <v>45.324930713368772</v>
      </c>
      <c r="AB92" s="21">
        <f>EXP(-LN(2)/2)*AB91+(1-EXP(-LN(2)/2))/(LN(2)/2)*V92*Y92*VLOOKUP('Données projet'!$B$9,Paramètres!$A$1:$I$89,3,0)*0.475*44/12</f>
        <v>0.10427825833146828</v>
      </c>
      <c r="AC92" s="22">
        <f t="shared" si="57"/>
        <v>203.81747814985039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66.576741385224636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-2.2737367544323206E-13</v>
      </c>
      <c r="AJ92" s="13">
        <f>AI92*VLOOKUP('Données projet'!$B$10,Paramètres!$A$1:$I$89,3,0)*VLOOKUP('Données projet'!$B$10,Paramètres!$A$1:$I$89,5,0)</f>
        <v>-1.064108801074326E-13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280.35802808205239</v>
      </c>
      <c r="AO92" s="59">
        <f t="shared" si="90"/>
        <v>249.32129349927175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52.512030227392238</v>
      </c>
      <c r="AV92" s="21">
        <f>EXP(-LN(2)/25)*AV91+(1-EXP(-LN(2)/25))/(LN(2)/25)*Calculateur!AQ92*Calculateur!AS92*VLOOKUP('Données projet'!$B$10,Paramètres!$A$1:$I$89,3,0)*0.475*44/12</f>
        <v>20.044969705773806</v>
      </c>
      <c r="AW92" s="21">
        <f>EXP(-LN(2)/2)*AW91+(1-EXP(-LN(2)/2))/(LN(2)/2)*AQ92*AT92*VLOOKUP('Données projet'!$B$10,Paramètres!$A$1:$I$89,3,0)*0.475*44/12</f>
        <v>5.7453714812848102E-4</v>
      </c>
      <c r="AX92" s="21">
        <f t="shared" si="60"/>
        <v>72.557574470314165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66.576741385224636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1.1368683772161603E-13</v>
      </c>
      <c r="BE92" s="13">
        <f>BD92*VLOOKUP('Données projet'!$B$11,Paramètres!$A$1:$I$89,3,0)*VLOOKUP('Données projet'!$B$11,Paramètres!$A$1:$I$89,5,0)</f>
        <v>5.0249582272954292E-14</v>
      </c>
      <c r="BF92" s="13">
        <f t="shared" si="91"/>
        <v>8.1784820119191593E-13</v>
      </c>
      <c r="BG92" s="20">
        <f t="shared" si="61"/>
        <v>1.5119369728679821E-12</v>
      </c>
      <c r="BH92" s="59">
        <f t="shared" si="62"/>
        <v>280.78138507915855</v>
      </c>
      <c r="BI92" s="59">
        <f ca="1">AVERAGE(OFFSET($BH$3,0,0,'Données projet'!$E$11+1,1))-AVERAGE(OFFSET($H$3,0,0,'Données projet'!$E$11+1,1))</f>
        <v>409.91320873873292</v>
      </c>
      <c r="BJ92" s="59">
        <f t="shared" si="92"/>
        <v>347.86310581860698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172.89932250959029</v>
      </c>
      <c r="BQ92" s="21">
        <f>EXP(-LN(2)/25)*BQ91+(1-EXP(-LN(2)/25))/(LN(2)/25)*Calculateur!BL92*Calculateur!BN92*VLOOKUP('Données projet'!$B$11,Paramètres!$A$1:$I$89,3,0)*0.475*44/12</f>
        <v>56.018756256366657</v>
      </c>
      <c r="BR92" s="21">
        <f>EXP(-LN(2)/2)*BR91+(1-EXP(-LN(2)/2))/(LN(2)/2)*BL92*BO92*VLOOKUP('Données projet'!$B$11,Paramètres!$A$1:$I$89,3,0)*0.475*44/12</f>
        <v>3.4738340295482657</v>
      </c>
      <c r="BS92" s="22">
        <f t="shared" si="63"/>
        <v>232.39191279550522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66.576741385224636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66.576741385224636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66.576741385224636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66.576741385224636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66.576741385224636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66.576741385224636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66.576741385224636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3.25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11.916666666666666</v>
      </c>
      <c r="H93" s="67">
        <f t="shared" si="56"/>
        <v>209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66.636127268931276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5.6843418860808015E-13</v>
      </c>
      <c r="O93" s="13">
        <f>N93*VLOOKUP('Données projet'!$B$9,Paramètres!$A$1:$I$89,3,0)*VLOOKUP('Données projet'!$B$9,Paramètres!$A$1:$I$89,5,0)</f>
        <v>3.177547114319168E-13</v>
      </c>
      <c r="P93" s="13">
        <f t="shared" si="87"/>
        <v>4.1725404435445377E-12</v>
      </c>
      <c r="Q93" s="20">
        <f t="shared" si="54"/>
        <v>7.820597394917325E-12</v>
      </c>
      <c r="R93" s="59">
        <f t="shared" si="55"/>
        <v>280.99913331942253</v>
      </c>
      <c r="S93" s="59">
        <f ca="1">AVERAGE(OFFSET($R$3,0,0,'Données projet'!$E$9+1,1))-AVERAGE(OFFSET($H$3,0,0,'Données projet'!$E$9+1,1))</f>
        <v>399.91876225849921</v>
      </c>
      <c r="T93" s="59">
        <f t="shared" si="88"/>
        <v>368.64132082233505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155.28237182687161</v>
      </c>
      <c r="AA93" s="21">
        <f>EXP(-LN(2)/25)*AA92+(1-EXP(-LN(2)/25))/(LN(2)/25)*Calculateur!V93*Calculateur!X93*VLOOKUP('Données projet'!$B$9,Paramètres!$A$1:$I$89,3,0)*0.475*44/12</f>
        <v>44.085518099477191</v>
      </c>
      <c r="AB93" s="21">
        <f>EXP(-LN(2)/2)*AB92+(1-EXP(-LN(2)/2))/(LN(2)/2)*V93*Y93*VLOOKUP('Données projet'!$B$9,Paramètres!$A$1:$I$89,3,0)*0.475*44/12</f>
        <v>7.3735863596503817E-2</v>
      </c>
      <c r="AC93" s="22">
        <f t="shared" si="57"/>
        <v>199.44162578994531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66.636127268931276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-2.2737367544323206E-13</v>
      </c>
      <c r="AJ93" s="13">
        <f>AI93*VLOOKUP('Données projet'!$B$10,Paramètres!$A$1:$I$89,3,0)*VLOOKUP('Données projet'!$B$10,Paramètres!$A$1:$I$89,5,0)</f>
        <v>-1.064108801074326E-13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280.35802808205239</v>
      </c>
      <c r="AO93" s="59">
        <f t="shared" si="90"/>
        <v>249.32129349927175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51.482301343808899</v>
      </c>
      <c r="AV93" s="21">
        <f>EXP(-LN(2)/25)*AV92+(1-EXP(-LN(2)/25))/(LN(2)/25)*Calculateur!AQ93*Calculateur!AS93*VLOOKUP('Données projet'!$B$10,Paramètres!$A$1:$I$89,3,0)*0.475*44/12</f>
        <v>19.496838955050279</v>
      </c>
      <c r="AW93" s="21">
        <f>EXP(-LN(2)/2)*AW92+(1-EXP(-LN(2)/2))/(LN(2)/2)*AQ93*AT93*VLOOKUP('Données projet'!$B$10,Paramètres!$A$1:$I$89,3,0)*0.475*44/12</f>
        <v>4.0625911348522888E-4</v>
      </c>
      <c r="AX93" s="21">
        <f t="shared" si="60"/>
        <v>70.979546557972668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66.636127268931276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1.1368683772161603E-13</v>
      </c>
      <c r="BE93" s="13">
        <f>BD93*VLOOKUP('Données projet'!$B$11,Paramètres!$A$1:$I$89,3,0)*VLOOKUP('Données projet'!$B$11,Paramètres!$A$1:$I$89,5,0)</f>
        <v>5.0249582272954292E-14</v>
      </c>
      <c r="BF93" s="13">
        <f t="shared" si="91"/>
        <v>8.1784820119191593E-13</v>
      </c>
      <c r="BG93" s="20">
        <f t="shared" si="61"/>
        <v>1.5119369728679821E-12</v>
      </c>
      <c r="BH93" s="59">
        <f t="shared" si="62"/>
        <v>280.99913331941622</v>
      </c>
      <c r="BI93" s="59">
        <f ca="1">AVERAGE(OFFSET($BH$3,0,0,'Données projet'!$E$11+1,1))-AVERAGE(OFFSET($H$3,0,0,'Données projet'!$E$11+1,1))</f>
        <v>409.91320873873292</v>
      </c>
      <c r="BJ93" s="59">
        <f t="shared" si="92"/>
        <v>347.86310581860698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169.50887225335083</v>
      </c>
      <c r="BQ93" s="21">
        <f>EXP(-LN(2)/25)*BQ92+(1-EXP(-LN(2)/25))/(LN(2)/25)*Calculateur!BL93*Calculateur!BN93*VLOOKUP('Données projet'!$B$11,Paramètres!$A$1:$I$89,3,0)*0.475*44/12</f>
        <v>54.486920420637951</v>
      </c>
      <c r="BR93" s="21">
        <f>EXP(-LN(2)/2)*BR92+(1-EXP(-LN(2)/2))/(LN(2)/2)*BL93*BO93*VLOOKUP('Données projet'!$B$11,Paramètres!$A$1:$I$89,3,0)*0.475*44/12</f>
        <v>2.4563715990101684</v>
      </c>
      <c r="BS93" s="22">
        <f t="shared" si="63"/>
        <v>226.45216427299894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66.636127268931276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66.636127268931276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66.636127268931276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66.636127268931276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66.636127268931276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66.636127268931276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66.636127268931276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3.25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11.916666666666666</v>
      </c>
      <c r="H94" s="67">
        <f t="shared" si="56"/>
        <v>209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66.69448294032253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5.6843418860808015E-13</v>
      </c>
      <c r="O94" s="13">
        <f>N94*VLOOKUP('Données projet'!$B$9,Paramètres!$A$1:$I$89,3,0)*VLOOKUP('Données projet'!$B$9,Paramètres!$A$1:$I$89,5,0)</f>
        <v>3.177547114319168E-13</v>
      </c>
      <c r="P94" s="13">
        <f t="shared" si="87"/>
        <v>4.1725404435445377E-12</v>
      </c>
      <c r="Q94" s="20">
        <f t="shared" si="54"/>
        <v>7.820597394917325E-12</v>
      </c>
      <c r="R94" s="59">
        <f t="shared" si="55"/>
        <v>281.21310411452379</v>
      </c>
      <c r="S94" s="59">
        <f ca="1">AVERAGE(OFFSET($R$3,0,0,'Données projet'!$E$9+1,1))-AVERAGE(OFFSET($H$3,0,0,'Données projet'!$E$9+1,1))</f>
        <v>399.91876225849921</v>
      </c>
      <c r="T94" s="59">
        <f t="shared" si="88"/>
        <v>368.64132082233505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152.23737922824134</v>
      </c>
      <c r="AA94" s="21">
        <f>EXP(-LN(2)/25)*AA93+(1-EXP(-LN(2)/25))/(LN(2)/25)*Calculateur!V94*Calculateur!X94*VLOOKUP('Données projet'!$B$9,Paramètres!$A$1:$I$89,3,0)*0.475*44/12</f>
        <v>42.879997288690348</v>
      </c>
      <c r="AB94" s="21">
        <f>EXP(-LN(2)/2)*AB93+(1-EXP(-LN(2)/2))/(LN(2)/2)*V94*Y94*VLOOKUP('Données projet'!$B$9,Paramètres!$A$1:$I$89,3,0)*0.475*44/12</f>
        <v>5.2139129165734141E-2</v>
      </c>
      <c r="AC94" s="22">
        <f t="shared" si="57"/>
        <v>195.16951564609744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66.69448294032253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-2.2737367544323206E-13</v>
      </c>
      <c r="AJ94" s="13">
        <f>AI94*VLOOKUP('Données projet'!$B$10,Paramètres!$A$1:$I$89,3,0)*VLOOKUP('Données projet'!$B$10,Paramètres!$A$1:$I$89,5,0)</f>
        <v>-1.064108801074326E-13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280.35802808205239</v>
      </c>
      <c r="AO94" s="59">
        <f t="shared" si="90"/>
        <v>249.32129349927175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50.472764815560026</v>
      </c>
      <c r="AV94" s="21">
        <f>EXP(-LN(2)/25)*AV93+(1-EXP(-LN(2)/25))/(LN(2)/25)*Calculateur!AQ94*Calculateur!AS94*VLOOKUP('Données projet'!$B$10,Paramètres!$A$1:$I$89,3,0)*0.475*44/12</f>
        <v>18.963696868530228</v>
      </c>
      <c r="AW94" s="21">
        <f>EXP(-LN(2)/2)*AW93+(1-EXP(-LN(2)/2))/(LN(2)/2)*AQ94*AT94*VLOOKUP('Données projet'!$B$10,Paramètres!$A$1:$I$89,3,0)*0.475*44/12</f>
        <v>2.8726857406424051E-4</v>
      </c>
      <c r="AX94" s="21">
        <f t="shared" si="60"/>
        <v>69.436748952664331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66.69448294032253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1.1368683772161603E-13</v>
      </c>
      <c r="BE94" s="13">
        <f>BD94*VLOOKUP('Données projet'!$B$11,Paramètres!$A$1:$I$89,3,0)*VLOOKUP('Données projet'!$B$11,Paramètres!$A$1:$I$89,5,0)</f>
        <v>5.0249582272954292E-14</v>
      </c>
      <c r="BF94" s="13">
        <f t="shared" si="91"/>
        <v>8.1784820119191593E-13</v>
      </c>
      <c r="BG94" s="20">
        <f t="shared" si="61"/>
        <v>1.5119369728679821E-12</v>
      </c>
      <c r="BH94" s="59">
        <f t="shared" si="62"/>
        <v>281.21310411451748</v>
      </c>
      <c r="BI94" s="59">
        <f ca="1">AVERAGE(OFFSET($BH$3,0,0,'Données projet'!$E$11+1,1))-AVERAGE(OFFSET($H$3,0,0,'Données projet'!$E$11+1,1))</f>
        <v>409.91320873873292</v>
      </c>
      <c r="BJ94" s="59">
        <f t="shared" si="92"/>
        <v>347.86310581860698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166.18490665866577</v>
      </c>
      <c r="BQ94" s="21">
        <f>EXP(-LN(2)/25)*BQ93+(1-EXP(-LN(2)/25))/(LN(2)/25)*Calculateur!BL94*Calculateur!BN94*VLOOKUP('Données projet'!$B$11,Paramètres!$A$1:$I$89,3,0)*0.475*44/12</f>
        <v>52.996972716392996</v>
      </c>
      <c r="BR94" s="21">
        <f>EXP(-LN(2)/2)*BR93+(1-EXP(-LN(2)/2))/(LN(2)/2)*BL94*BO94*VLOOKUP('Données projet'!$B$11,Paramètres!$A$1:$I$89,3,0)*0.475*44/12</f>
        <v>1.7369170147741331</v>
      </c>
      <c r="BS94" s="22">
        <f t="shared" si="63"/>
        <v>220.91879638983289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66.69448294032253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66.69448294032253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66.69448294032253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66.69448294032253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66.69448294032253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66.69448294032253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66.69448294032253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3.25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11.916666666666666</v>
      </c>
      <c r="H95" s="67">
        <f t="shared" si="56"/>
        <v>209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66.751826271278901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5.6843418860808015E-13</v>
      </c>
      <c r="O95" s="13">
        <f>N95*VLOOKUP('Données projet'!$B$9,Paramètres!$A$1:$I$89,3,0)*VLOOKUP('Données projet'!$B$9,Paramètres!$A$1:$I$89,5,0)</f>
        <v>3.177547114319168E-13</v>
      </c>
      <c r="P95" s="13">
        <f t="shared" si="87"/>
        <v>4.1725404435445377E-12</v>
      </c>
      <c r="Q95" s="20">
        <f t="shared" si="54"/>
        <v>7.820597394917325E-12</v>
      </c>
      <c r="R95" s="59">
        <f t="shared" si="55"/>
        <v>281.42336299469713</v>
      </c>
      <c r="S95" s="59">
        <f ca="1">AVERAGE(OFFSET($R$3,0,0,'Données projet'!$E$9+1,1))-AVERAGE(OFFSET($H$3,0,0,'Données projet'!$E$9+1,1))</f>
        <v>399.91876225849921</v>
      </c>
      <c r="T95" s="59">
        <f t="shared" si="88"/>
        <v>368.64132082233505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149.25209707720813</v>
      </c>
      <c r="AA95" s="21">
        <f>EXP(-LN(2)/25)*AA94+(1-EXP(-LN(2)/25))/(LN(2)/25)*Calculateur!V95*Calculateur!X95*VLOOKUP('Données projet'!$B$9,Paramètres!$A$1:$I$89,3,0)*0.475*44/12</f>
        <v>41.707441507870058</v>
      </c>
      <c r="AB95" s="21">
        <f>EXP(-LN(2)/2)*AB94+(1-EXP(-LN(2)/2))/(LN(2)/2)*V95*Y95*VLOOKUP('Données projet'!$B$9,Paramètres!$A$1:$I$89,3,0)*0.475*44/12</f>
        <v>3.6867931798251909E-2</v>
      </c>
      <c r="AC95" s="22">
        <f t="shared" si="57"/>
        <v>190.99640651687642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66.751826271278901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-2.2737367544323206E-13</v>
      </c>
      <c r="AJ95" s="13">
        <f>AI95*VLOOKUP('Données projet'!$B$10,Paramètres!$A$1:$I$89,3,0)*VLOOKUP('Données projet'!$B$10,Paramètres!$A$1:$I$89,5,0)</f>
        <v>-1.064108801074326E-13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280.35802808205239</v>
      </c>
      <c r="AO95" s="59">
        <f t="shared" si="90"/>
        <v>249.32129349927175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49.483024682873634</v>
      </c>
      <c r="AV95" s="21">
        <f>EXP(-LN(2)/25)*AV94+(1-EXP(-LN(2)/25))/(LN(2)/25)*Calculateur!AQ95*Calculateur!AS95*VLOOKUP('Données projet'!$B$10,Paramètres!$A$1:$I$89,3,0)*0.475*44/12</f>
        <v>18.445133580402793</v>
      </c>
      <c r="AW95" s="21">
        <f>EXP(-LN(2)/2)*AW94+(1-EXP(-LN(2)/2))/(LN(2)/2)*AQ95*AT95*VLOOKUP('Données projet'!$B$10,Paramètres!$A$1:$I$89,3,0)*0.475*44/12</f>
        <v>2.0312955674261444E-4</v>
      </c>
      <c r="AX95" s="21">
        <f t="shared" si="60"/>
        <v>67.928361392833168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66.751826271278901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1.1368683772161603E-13</v>
      </c>
      <c r="BE95" s="13">
        <f>BD95*VLOOKUP('Données projet'!$B$11,Paramètres!$A$1:$I$89,3,0)*VLOOKUP('Données projet'!$B$11,Paramètres!$A$1:$I$89,5,0)</f>
        <v>5.0249582272954292E-14</v>
      </c>
      <c r="BF95" s="13">
        <f t="shared" si="91"/>
        <v>8.1784820119191593E-13</v>
      </c>
      <c r="BG95" s="20">
        <f t="shared" si="61"/>
        <v>1.5119369728679821E-12</v>
      </c>
      <c r="BH95" s="59">
        <f t="shared" si="62"/>
        <v>281.42336299469082</v>
      </c>
      <c r="BI95" s="59">
        <f ca="1">AVERAGE(OFFSET($BH$3,0,0,'Données projet'!$E$11+1,1))-AVERAGE(OFFSET($H$3,0,0,'Données projet'!$E$11+1,1))</f>
        <v>409.91320873873292</v>
      </c>
      <c r="BJ95" s="59">
        <f t="shared" si="92"/>
        <v>347.86310581860698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162.92612200187364</v>
      </c>
      <c r="BQ95" s="21">
        <f>EXP(-LN(2)/25)*BQ94+(1-EXP(-LN(2)/25))/(LN(2)/25)*Calculateur!BL95*Calculateur!BN95*VLOOKUP('Données projet'!$B$11,Paramètres!$A$1:$I$89,3,0)*0.475*44/12</f>
        <v>51.547767710473558</v>
      </c>
      <c r="BR95" s="21">
        <f>EXP(-LN(2)/2)*BR94+(1-EXP(-LN(2)/2))/(LN(2)/2)*BL95*BO95*VLOOKUP('Données projet'!$B$11,Paramètres!$A$1:$I$89,3,0)*0.475*44/12</f>
        <v>1.2281857995050844</v>
      </c>
      <c r="BS95" s="22">
        <f t="shared" si="63"/>
        <v>215.70207551185229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66.751826271278901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66.751826271278901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66.751826271278901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66.751826271278901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66.751826271278901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66.751826271278901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66.751826271278901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3.25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11.916666666666666</v>
      </c>
      <c r="H96" s="67">
        <f t="shared" si="56"/>
        <v>209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66.808174823643654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5.6843418860808015E-13</v>
      </c>
      <c r="O96" s="13">
        <f>N96*VLOOKUP('Données projet'!$B$9,Paramètres!$A$1:$I$89,3,0)*VLOOKUP('Données projet'!$B$9,Paramètres!$A$1:$I$89,5,0)</f>
        <v>3.177547114319168E-13</v>
      </c>
      <c r="P96" s="13">
        <f t="shared" si="87"/>
        <v>4.1725404435445377E-12</v>
      </c>
      <c r="Q96" s="20">
        <f t="shared" si="54"/>
        <v>7.820597394917325E-12</v>
      </c>
      <c r="R96" s="59">
        <f t="shared" si="55"/>
        <v>281.62997435336791</v>
      </c>
      <c r="S96" s="59">
        <f ca="1">AVERAGE(OFFSET($R$3,0,0,'Données projet'!$E$9+1,1))-AVERAGE(OFFSET($H$3,0,0,'Données projet'!$E$9+1,1))</f>
        <v>399.91876225849921</v>
      </c>
      <c r="T96" s="59">
        <f t="shared" si="88"/>
        <v>368.64132082233505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146.32535448831436</v>
      </c>
      <c r="AA96" s="21">
        <f>EXP(-LN(2)/25)*AA95+(1-EXP(-LN(2)/25))/(LN(2)/25)*Calculateur!V96*Calculateur!X96*VLOOKUP('Données projet'!$B$9,Paramètres!$A$1:$I$89,3,0)*0.475*44/12</f>
        <v>40.566949326538328</v>
      </c>
      <c r="AB96" s="21">
        <f>EXP(-LN(2)/2)*AB95+(1-EXP(-LN(2)/2))/(LN(2)/2)*V96*Y96*VLOOKUP('Données projet'!$B$9,Paramètres!$A$1:$I$89,3,0)*0.475*44/12</f>
        <v>2.6069564582867071E-2</v>
      </c>
      <c r="AC96" s="22">
        <f t="shared" si="57"/>
        <v>186.91837337943554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66.808174823643654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-2.2737367544323206E-13</v>
      </c>
      <c r="AJ96" s="13">
        <f>AI96*VLOOKUP('Données projet'!$B$10,Paramètres!$A$1:$I$89,3,0)*VLOOKUP('Données projet'!$B$10,Paramètres!$A$1:$I$89,5,0)</f>
        <v>-1.064108801074326E-13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280.35802808205239</v>
      </c>
      <c r="AO96" s="59">
        <f t="shared" si="90"/>
        <v>249.32129349927175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48.512692750507348</v>
      </c>
      <c r="AV96" s="21">
        <f>EXP(-LN(2)/25)*AV95+(1-EXP(-LN(2)/25))/(LN(2)/25)*Calculateur!AQ96*Calculateur!AS96*VLOOKUP('Données projet'!$B$10,Paramètres!$A$1:$I$89,3,0)*0.475*44/12</f>
        <v>17.940750432659261</v>
      </c>
      <c r="AW96" s="21">
        <f>EXP(-LN(2)/2)*AW95+(1-EXP(-LN(2)/2))/(LN(2)/2)*AQ96*AT96*VLOOKUP('Données projet'!$B$10,Paramètres!$A$1:$I$89,3,0)*0.475*44/12</f>
        <v>1.4363428703212025E-4</v>
      </c>
      <c r="AX96" s="21">
        <f t="shared" si="60"/>
        <v>66.45358681745364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66.808174823643654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1.1368683772161603E-13</v>
      </c>
      <c r="BE96" s="13">
        <f>BD96*VLOOKUP('Données projet'!$B$11,Paramètres!$A$1:$I$89,3,0)*VLOOKUP('Données projet'!$B$11,Paramètres!$A$1:$I$89,5,0)</f>
        <v>5.0249582272954292E-14</v>
      </c>
      <c r="BF96" s="13">
        <f t="shared" si="91"/>
        <v>8.1784820119191593E-13</v>
      </c>
      <c r="BG96" s="20">
        <f t="shared" si="61"/>
        <v>1.5119369728679821E-12</v>
      </c>
      <c r="BH96" s="59">
        <f t="shared" si="62"/>
        <v>281.6299743533616</v>
      </c>
      <c r="BI96" s="59">
        <f ca="1">AVERAGE(OFFSET($BH$3,0,0,'Données projet'!$E$11+1,1))-AVERAGE(OFFSET($H$3,0,0,'Données projet'!$E$11+1,1))</f>
        <v>409.91320873873292</v>
      </c>
      <c r="BJ96" s="59">
        <f t="shared" si="92"/>
        <v>347.86310581860698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159.73124012453883</v>
      </c>
      <c r="BQ96" s="21">
        <f>EXP(-LN(2)/25)*BQ95+(1-EXP(-LN(2)/25))/(LN(2)/25)*Calculateur!BL96*Calculateur!BN96*VLOOKUP('Données projet'!$B$11,Paramètres!$A$1:$I$89,3,0)*0.475*44/12</f>
        <v>50.138191291651367</v>
      </c>
      <c r="BR96" s="21">
        <f>EXP(-LN(2)/2)*BR95+(1-EXP(-LN(2)/2))/(LN(2)/2)*BL96*BO96*VLOOKUP('Données projet'!$B$11,Paramètres!$A$1:$I$89,3,0)*0.475*44/12</f>
        <v>0.86845850738706676</v>
      </c>
      <c r="BS96" s="22">
        <f t="shared" si="63"/>
        <v>210.73788992357726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66.808174823643654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66.808174823643654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66.808174823643654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66.808174823643654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66.808174823643654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66.808174823643654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66.808174823643654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3.25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11.916666666666666</v>
      </c>
      <c r="H97" s="67">
        <f t="shared" si="56"/>
        <v>209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66.863545854601369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5.6843418860808015E-13</v>
      </c>
      <c r="O97" s="13">
        <f>N97*VLOOKUP('Données projet'!$B$9,Paramètres!$A$1:$I$89,3,0)*VLOOKUP('Données projet'!$B$9,Paramètres!$A$1:$I$89,5,0)</f>
        <v>3.177547114319168E-13</v>
      </c>
      <c r="P97" s="13">
        <f t="shared" si="87"/>
        <v>4.1725404435445377E-12</v>
      </c>
      <c r="Q97" s="20">
        <f t="shared" si="54"/>
        <v>7.820597394917325E-12</v>
      </c>
      <c r="R97" s="59">
        <f t="shared" si="55"/>
        <v>281.83300146687952</v>
      </c>
      <c r="S97" s="59">
        <f ca="1">AVERAGE(OFFSET($R$3,0,0,'Données projet'!$E$9+1,1))-AVERAGE(OFFSET($H$3,0,0,'Données projet'!$E$9+1,1))</f>
        <v>399.91876225849921</v>
      </c>
      <c r="T97" s="59">
        <f t="shared" si="88"/>
        <v>368.64132082233505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143.45600353645207</v>
      </c>
      <c r="AA97" s="21">
        <f>EXP(-LN(2)/25)*AA96+(1-EXP(-LN(2)/25))/(LN(2)/25)*Calculateur!V97*Calculateur!X97*VLOOKUP('Données projet'!$B$9,Paramètres!$A$1:$I$89,3,0)*0.475*44/12</f>
        <v>39.45764396388099</v>
      </c>
      <c r="AB97" s="21">
        <f>EXP(-LN(2)/2)*AB96+(1-EXP(-LN(2)/2))/(LN(2)/2)*V97*Y97*VLOOKUP('Données projet'!$B$9,Paramètres!$A$1:$I$89,3,0)*0.475*44/12</f>
        <v>1.8433965899125954E-2</v>
      </c>
      <c r="AC97" s="22">
        <f t="shared" si="57"/>
        <v>182.93208146623221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66.863545854601369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-2.2737367544323206E-13</v>
      </c>
      <c r="AJ97" s="13">
        <f>AI97*VLOOKUP('Données projet'!$B$10,Paramètres!$A$1:$I$89,3,0)*VLOOKUP('Données projet'!$B$10,Paramètres!$A$1:$I$89,5,0)</f>
        <v>-1.064108801074326E-13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280.35802808205239</v>
      </c>
      <c r="AO97" s="59">
        <f t="shared" si="90"/>
        <v>249.32129349927175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47.561388435490727</v>
      </c>
      <c r="AV97" s="21">
        <f>EXP(-LN(2)/25)*AV96+(1-EXP(-LN(2)/25))/(LN(2)/25)*Calculateur!AQ97*Calculateur!AS97*VLOOKUP('Données projet'!$B$10,Paramètres!$A$1:$I$89,3,0)*0.475*44/12</f>
        <v>17.450159668615132</v>
      </c>
      <c r="AW97" s="21">
        <f>EXP(-LN(2)/2)*AW96+(1-EXP(-LN(2)/2))/(LN(2)/2)*AQ97*AT97*VLOOKUP('Données projet'!$B$10,Paramètres!$A$1:$I$89,3,0)*0.475*44/12</f>
        <v>1.0156477837130722E-4</v>
      </c>
      <c r="AX97" s="21">
        <f t="shared" si="60"/>
        <v>65.011649668884232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66.863545854601369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1.1368683772161603E-13</v>
      </c>
      <c r="BE97" s="13">
        <f>BD97*VLOOKUP('Données projet'!$B$11,Paramètres!$A$1:$I$89,3,0)*VLOOKUP('Données projet'!$B$11,Paramètres!$A$1:$I$89,5,0)</f>
        <v>5.0249582272954292E-14</v>
      </c>
      <c r="BF97" s="13">
        <f t="shared" si="91"/>
        <v>8.1784820119191593E-13</v>
      </c>
      <c r="BG97" s="20">
        <f t="shared" si="61"/>
        <v>1.5119369728679821E-12</v>
      </c>
      <c r="BH97" s="59">
        <f t="shared" si="62"/>
        <v>281.83300146687321</v>
      </c>
      <c r="BI97" s="59">
        <f ca="1">AVERAGE(OFFSET($BH$3,0,0,'Données projet'!$E$11+1,1))-AVERAGE(OFFSET($H$3,0,0,'Données projet'!$E$11+1,1))</f>
        <v>409.91320873873292</v>
      </c>
      <c r="BJ97" s="59">
        <f t="shared" si="92"/>
        <v>347.86310581860698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156.59900793213305</v>
      </c>
      <c r="BQ97" s="21">
        <f>EXP(-LN(2)/25)*BQ96+(1-EXP(-LN(2)/25))/(LN(2)/25)*Calculateur!BL97*Calculateur!BN97*VLOOKUP('Données projet'!$B$11,Paramètres!$A$1:$I$89,3,0)*0.475*44/12</f>
        <v>48.76715981412827</v>
      </c>
      <c r="BR97" s="21">
        <f>EXP(-LN(2)/2)*BR96+(1-EXP(-LN(2)/2))/(LN(2)/2)*BL97*BO97*VLOOKUP('Données projet'!$B$11,Paramètres!$A$1:$I$89,3,0)*0.475*44/12</f>
        <v>0.61409289975254233</v>
      </c>
      <c r="BS97" s="22">
        <f t="shared" si="63"/>
        <v>205.98026064601385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66.863545854601369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66.863545854601369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66.863545854601369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66.863545854601369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66.863545854601369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66.863545854601369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66.863545854601369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3.25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11.916666666666666</v>
      </c>
      <c r="H98" s="67">
        <f t="shared" si="56"/>
        <v>209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66.917956321963061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5.6843418860808015E-13</v>
      </c>
      <c r="O98" s="13">
        <f>N98*VLOOKUP('Données projet'!$B$9,Paramètres!$A$1:$I$89,3,0)*VLOOKUP('Données projet'!$B$9,Paramètres!$A$1:$I$89,5,0)</f>
        <v>3.177547114319168E-13</v>
      </c>
      <c r="P98" s="13">
        <f t="shared" si="87"/>
        <v>4.1725404435445377E-12</v>
      </c>
      <c r="Q98" s="20">
        <f t="shared" si="54"/>
        <v>7.820597394917325E-12</v>
      </c>
      <c r="R98" s="59">
        <f t="shared" si="55"/>
        <v>282.03250651387242</v>
      </c>
      <c r="S98" s="59">
        <f ca="1">AVERAGE(OFFSET($R$3,0,0,'Données projet'!$E$9+1,1))-AVERAGE(OFFSET($H$3,0,0,'Données projet'!$E$9+1,1))</f>
        <v>399.91876225849921</v>
      </c>
      <c r="T98" s="59">
        <f t="shared" si="88"/>
        <v>368.64132082233505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140.64291880662455</v>
      </c>
      <c r="AA98" s="21">
        <f>EXP(-LN(2)/25)*AA97+(1-EXP(-LN(2)/25))/(LN(2)/25)*Calculateur!V98*Calculateur!X98*VLOOKUP('Données projet'!$B$9,Paramètres!$A$1:$I$89,3,0)*0.475*44/12</f>
        <v>38.378672614701351</v>
      </c>
      <c r="AB98" s="21">
        <f>EXP(-LN(2)/2)*AB97+(1-EXP(-LN(2)/2))/(LN(2)/2)*V98*Y98*VLOOKUP('Données projet'!$B$9,Paramètres!$A$1:$I$89,3,0)*0.475*44/12</f>
        <v>1.3034782291433535E-2</v>
      </c>
      <c r="AC98" s="22">
        <f t="shared" si="57"/>
        <v>179.03462620361734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66.917956321963061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-2.2737367544323206E-13</v>
      </c>
      <c r="AJ98" s="13">
        <f>AI98*VLOOKUP('Données projet'!$B$10,Paramètres!$A$1:$I$89,3,0)*VLOOKUP('Données projet'!$B$10,Paramètres!$A$1:$I$89,5,0)</f>
        <v>-1.064108801074326E-13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280.35802808205239</v>
      </c>
      <c r="AO98" s="59">
        <f t="shared" si="90"/>
        <v>249.32129349927175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46.628738617853244</v>
      </c>
      <c r="AV98" s="21">
        <f>EXP(-LN(2)/25)*AV97+(1-EXP(-LN(2)/25))/(LN(2)/25)*Calculateur!AQ98*Calculateur!AS98*VLOOKUP('Données projet'!$B$10,Paramètres!$A$1:$I$89,3,0)*0.475*44/12</f>
        <v>16.972984134812837</v>
      </c>
      <c r="AW98" s="21">
        <f>EXP(-LN(2)/2)*AW97+(1-EXP(-LN(2)/2))/(LN(2)/2)*AQ98*AT98*VLOOKUP('Données projet'!$B$10,Paramètres!$A$1:$I$89,3,0)*0.475*44/12</f>
        <v>7.1817143516060127E-5</v>
      </c>
      <c r="AX98" s="21">
        <f t="shared" si="60"/>
        <v>63.601794569809591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66.917956321963061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1.1368683772161603E-13</v>
      </c>
      <c r="BE98" s="13">
        <f>BD98*VLOOKUP('Données projet'!$B$11,Paramètres!$A$1:$I$89,3,0)*VLOOKUP('Données projet'!$B$11,Paramètres!$A$1:$I$89,5,0)</f>
        <v>5.0249582272954292E-14</v>
      </c>
      <c r="BF98" s="13">
        <f t="shared" si="91"/>
        <v>8.1784820119191593E-13</v>
      </c>
      <c r="BG98" s="20">
        <f t="shared" si="61"/>
        <v>1.5119369728679821E-12</v>
      </c>
      <c r="BH98" s="59">
        <f t="shared" si="62"/>
        <v>282.03250651386611</v>
      </c>
      <c r="BI98" s="59">
        <f ca="1">AVERAGE(OFFSET($BH$3,0,0,'Données projet'!$E$11+1,1))-AVERAGE(OFFSET($H$3,0,0,'Données projet'!$E$11+1,1))</f>
        <v>409.91320873873292</v>
      </c>
      <c r="BJ98" s="59">
        <f t="shared" si="92"/>
        <v>347.86310581860698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153.52819690254734</v>
      </c>
      <c r="BQ98" s="21">
        <f>EXP(-LN(2)/25)*BQ97+(1-EXP(-LN(2)/25))/(LN(2)/25)*Calculateur!BL98*Calculateur!BN98*VLOOKUP('Données projet'!$B$11,Paramètres!$A$1:$I$89,3,0)*0.475*44/12</f>
        <v>47.433619264457455</v>
      </c>
      <c r="BR98" s="21">
        <f>EXP(-LN(2)/2)*BR97+(1-EXP(-LN(2)/2))/(LN(2)/2)*BL98*BO98*VLOOKUP('Données projet'!$B$11,Paramètres!$A$1:$I$89,3,0)*0.475*44/12</f>
        <v>0.43422925369353343</v>
      </c>
      <c r="BS98" s="22">
        <f t="shared" si="63"/>
        <v>201.39604542069833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66.917956321963061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66.917956321963061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66.917956321963061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66.917956321963061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66.917956321963061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66.917956321963061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66.917956321963061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3.25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11.916666666666666</v>
      </c>
      <c r="H99" s="67">
        <f t="shared" si="56"/>
        <v>209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66.971422889359587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5.6843418860808015E-13</v>
      </c>
      <c r="O99" s="13">
        <f>N99*VLOOKUP('Données projet'!$B$9,Paramètres!$A$1:$I$89,3,0)*VLOOKUP('Données projet'!$B$9,Paramètres!$A$1:$I$89,5,0)</f>
        <v>3.177547114319168E-13</v>
      </c>
      <c r="P99" s="13">
        <f t="shared" si="87"/>
        <v>4.1725404435445377E-12</v>
      </c>
      <c r="Q99" s="20">
        <f t="shared" ref="Q99:Q130" si="107">(O99+P99)*0.475*44/12</f>
        <v>7.820597394917325E-12</v>
      </c>
      <c r="R99" s="59">
        <f t="shared" si="55"/>
        <v>282.22855059432635</v>
      </c>
      <c r="S99" s="59">
        <f ca="1">AVERAGE(OFFSET($R$3,0,0,'Données projet'!$E$9+1,1))-AVERAGE(OFFSET($H$3,0,0,'Données projet'!$E$9+1,1))</f>
        <v>399.91876225849921</v>
      </c>
      <c r="T99" s="59">
        <f t="shared" si="88"/>
        <v>368.64132082233505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137.88499695253668</v>
      </c>
      <c r="AA99" s="21">
        <f>EXP(-LN(2)/25)*AA98+(1-EXP(-LN(2)/25))/(LN(2)/25)*Calculateur!V99*Calculateur!X99*VLOOKUP('Données projet'!$B$9,Paramètres!$A$1:$I$89,3,0)*0.475*44/12</f>
        <v>37.329205793805663</v>
      </c>
      <c r="AB99" s="21">
        <f>EXP(-LN(2)/2)*AB98+(1-EXP(-LN(2)/2))/(LN(2)/2)*V99*Y99*VLOOKUP('Données projet'!$B$9,Paramètres!$A$1:$I$89,3,0)*0.475*44/12</f>
        <v>9.2169829495629772E-3</v>
      </c>
      <c r="AC99" s="22">
        <f t="shared" si="57"/>
        <v>175.22341972929192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66.971422889359587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-2.2737367544323206E-13</v>
      </c>
      <c r="AJ99" s="13">
        <f>AI99*VLOOKUP('Données projet'!$B$10,Paramètres!$A$1:$I$89,3,0)*VLOOKUP('Données projet'!$B$10,Paramètres!$A$1:$I$89,5,0)</f>
        <v>-1.064108801074326E-13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280.35802808205239</v>
      </c>
      <c r="AO99" s="59">
        <f t="shared" si="90"/>
        <v>249.32129349927175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45.714377494279411</v>
      </c>
      <c r="AV99" s="21">
        <f>EXP(-LN(2)/25)*AV98+(1-EXP(-LN(2)/25))/(LN(2)/25)*Calculateur!AQ99*Calculateur!AS99*VLOOKUP('Données projet'!$B$10,Paramètres!$A$1:$I$89,3,0)*0.475*44/12</f>
        <v>16.508856991075938</v>
      </c>
      <c r="AW99" s="21">
        <f>EXP(-LN(2)/2)*AW98+(1-EXP(-LN(2)/2))/(LN(2)/2)*AQ99*AT99*VLOOKUP('Données projet'!$B$10,Paramètres!$A$1:$I$89,3,0)*0.475*44/12</f>
        <v>5.078238918565361E-5</v>
      </c>
      <c r="AX99" s="21">
        <f t="shared" si="60"/>
        <v>62.223285267744536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66.971422889359587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1.1368683772161603E-13</v>
      </c>
      <c r="BE99" s="13">
        <f>BD99*VLOOKUP('Données projet'!$B$11,Paramètres!$A$1:$I$89,3,0)*VLOOKUP('Données projet'!$B$11,Paramètres!$A$1:$I$89,5,0)</f>
        <v>5.0249582272954292E-14</v>
      </c>
      <c r="BF99" s="13">
        <f t="shared" si="91"/>
        <v>8.1784820119191593E-13</v>
      </c>
      <c r="BG99" s="20">
        <f t="shared" si="61"/>
        <v>1.5119369728679821E-12</v>
      </c>
      <c r="BH99" s="59">
        <f t="shared" si="62"/>
        <v>282.22855059432004</v>
      </c>
      <c r="BI99" s="59">
        <f ca="1">AVERAGE(OFFSET($BH$3,0,0,'Données projet'!$E$11+1,1))-AVERAGE(OFFSET($H$3,0,0,'Données projet'!$E$11+1,1))</f>
        <v>409.91320873873292</v>
      </c>
      <c r="BJ99" s="59">
        <f t="shared" si="92"/>
        <v>347.86310581860698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150.51760260424203</v>
      </c>
      <c r="BQ99" s="21">
        <f>EXP(-LN(2)/25)*BQ98+(1-EXP(-LN(2)/25))/(LN(2)/25)*Calculateur!BL99*Calculateur!BN99*VLOOKUP('Données projet'!$B$11,Paramètres!$A$1:$I$89,3,0)*0.475*44/12</f>
        <v>46.136544451245243</v>
      </c>
      <c r="BR99" s="21">
        <f>EXP(-LN(2)/2)*BR98+(1-EXP(-LN(2)/2))/(LN(2)/2)*BL99*BO99*VLOOKUP('Données projet'!$B$11,Paramètres!$A$1:$I$89,3,0)*0.475*44/12</f>
        <v>0.30704644987627122</v>
      </c>
      <c r="BS99" s="22">
        <f t="shared" si="63"/>
        <v>196.96119350536355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66.971422889359587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66.971422889359587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66.971422889359587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66.971422889359587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66.971422889359587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66.971422889359587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66.971422889359587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3.25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11.916666666666666</v>
      </c>
      <c r="H100" s="67">
        <f t="shared" si="56"/>
        <v>209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67.023961931345127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5.6843418860808015E-13</v>
      </c>
      <c r="O100" s="13">
        <f>N100*VLOOKUP('Données projet'!$B$9,Paramètres!$A$1:$I$89,3,0)*VLOOKUP('Données projet'!$B$9,Paramètres!$A$1:$I$89,5,0)</f>
        <v>3.177547114319168E-13</v>
      </c>
      <c r="P100" s="13">
        <f t="shared" si="87"/>
        <v>4.1725404435445377E-12</v>
      </c>
      <c r="Q100" s="20">
        <f t="shared" si="107"/>
        <v>7.820597394917325E-12</v>
      </c>
      <c r="R100" s="59">
        <f t="shared" si="55"/>
        <v>282.42119374827331</v>
      </c>
      <c r="S100" s="59">
        <f ca="1">AVERAGE(OFFSET($R$3,0,0,'Données projet'!$E$9+1,1))-AVERAGE(OFFSET($H$3,0,0,'Données projet'!$E$9+1,1))</f>
        <v>399.91876225849921</v>
      </c>
      <c r="T100" s="59">
        <f t="shared" si="88"/>
        <v>368.64132082233505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135.18115626384125</v>
      </c>
      <c r="AA100" s="21">
        <f>EXP(-LN(2)/25)*AA99+(1-EXP(-LN(2)/25))/(LN(2)/25)*Calculateur!V100*Calculateur!X100*VLOOKUP('Données projet'!$B$9,Paramètres!$A$1:$I$89,3,0)*0.475*44/12</f>
        <v>36.308436698316434</v>
      </c>
      <c r="AB100" s="21">
        <f>EXP(-LN(2)/2)*AB99+(1-EXP(-LN(2)/2))/(LN(2)/2)*V100*Y100*VLOOKUP('Données projet'!$B$9,Paramètres!$A$1:$I$89,3,0)*0.475*44/12</f>
        <v>6.5173911457167676E-3</v>
      </c>
      <c r="AC100" s="22">
        <f t="shared" si="57"/>
        <v>171.49611035330338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67.023961931345127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-2.2737367544323206E-13</v>
      </c>
      <c r="AJ100" s="13">
        <f>AI100*VLOOKUP('Données projet'!$B$10,Paramètres!$A$1:$I$89,3,0)*VLOOKUP('Données projet'!$B$10,Paramètres!$A$1:$I$89,5,0)</f>
        <v>-1.064108801074326E-13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280.35802808205239</v>
      </c>
      <c r="AO100" s="59">
        <f t="shared" si="90"/>
        <v>249.32129349927175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44.817946434633647</v>
      </c>
      <c r="AV100" s="21">
        <f>EXP(-LN(2)/25)*AV99+(1-EXP(-LN(2)/25))/(LN(2)/25)*Calculateur!AQ100*Calculateur!AS100*VLOOKUP('Données projet'!$B$10,Paramètres!$A$1:$I$89,3,0)*0.475*44/12</f>
        <v>16.05742142849191</v>
      </c>
      <c r="AW100" s="21">
        <f>EXP(-LN(2)/2)*AW99+(1-EXP(-LN(2)/2))/(LN(2)/2)*AQ100*AT100*VLOOKUP('Données projet'!$B$10,Paramètres!$A$1:$I$89,3,0)*0.475*44/12</f>
        <v>3.5908571758030064E-5</v>
      </c>
      <c r="AX100" s="21">
        <f t="shared" si="60"/>
        <v>60.875403771697322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67.023961931345127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1.1368683772161603E-13</v>
      </c>
      <c r="BE100" s="13">
        <f>BD100*VLOOKUP('Données projet'!$B$11,Paramètres!$A$1:$I$89,3,0)*VLOOKUP('Données projet'!$B$11,Paramètres!$A$1:$I$89,5,0)</f>
        <v>5.0249582272954292E-14</v>
      </c>
      <c r="BF100" s="13">
        <f t="shared" si="91"/>
        <v>8.1784820119191593E-13</v>
      </c>
      <c r="BG100" s="20">
        <f t="shared" si="61"/>
        <v>1.5119369728679821E-12</v>
      </c>
      <c r="BH100" s="59">
        <f t="shared" si="62"/>
        <v>282.421193748267</v>
      </c>
      <c r="BI100" s="59">
        <f ca="1">AVERAGE(OFFSET($BH$3,0,0,'Données projet'!$E$11+1,1))-AVERAGE(OFFSET($H$3,0,0,'Données projet'!$E$11+1,1))</f>
        <v>409.91320873873292</v>
      </c>
      <c r="BJ100" s="59">
        <f t="shared" si="92"/>
        <v>347.86310581860698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147.56604422384527</v>
      </c>
      <c r="BQ100" s="21">
        <f>EXP(-LN(2)/25)*BQ99+(1-EXP(-LN(2)/25))/(LN(2)/25)*Calculateur!BL100*Calculateur!BN100*VLOOKUP('Données projet'!$B$11,Paramètres!$A$1:$I$89,3,0)*0.475*44/12</f>
        <v>44.874938217010516</v>
      </c>
      <c r="BR100" s="21">
        <f>EXP(-LN(2)/2)*BR99+(1-EXP(-LN(2)/2))/(LN(2)/2)*BL100*BO100*VLOOKUP('Données projet'!$B$11,Paramètres!$A$1:$I$89,3,0)*0.475*44/12</f>
        <v>0.21711462684676677</v>
      </c>
      <c r="BS100" s="22">
        <f t="shared" si="63"/>
        <v>192.65809706770256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67.023961931345127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67.023961931345127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67.023961931345127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67.023961931345127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67.023961931345127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67.023961931345127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67.023961931345127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3.25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11.916666666666666</v>
      </c>
      <c r="H101" s="67">
        <f t="shared" si="56"/>
        <v>209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67.075589538411933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5.6843418860808015E-13</v>
      </c>
      <c r="O101" s="13">
        <f>N101*VLOOKUP('Données projet'!$B$9,Paramètres!$A$1:$I$89,3,0)*VLOOKUP('Données projet'!$B$9,Paramètres!$A$1:$I$89,5,0)</f>
        <v>3.177547114319168E-13</v>
      </c>
      <c r="P101" s="13">
        <f t="shared" si="87"/>
        <v>4.1725404435445377E-12</v>
      </c>
      <c r="Q101" s="20">
        <f t="shared" si="107"/>
        <v>7.820597394917325E-12</v>
      </c>
      <c r="R101" s="59">
        <f t="shared" si="55"/>
        <v>282.61049497418492</v>
      </c>
      <c r="S101" s="59">
        <f ca="1">AVERAGE(OFFSET($R$3,0,0,'Données projet'!$E$9+1,1))-AVERAGE(OFFSET($H$3,0,0,'Données projet'!$E$9+1,1))</f>
        <v>399.91876225849921</v>
      </c>
      <c r="T101" s="59">
        <f t="shared" si="88"/>
        <v>368.64132082233505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132.53033624187114</v>
      </c>
      <c r="AA101" s="21">
        <f>EXP(-LN(2)/25)*AA100+(1-EXP(-LN(2)/25))/(LN(2)/25)*Calculateur!V101*Calculateur!X101*VLOOKUP('Données projet'!$B$9,Paramètres!$A$1:$I$89,3,0)*0.475*44/12</f>
        <v>35.31558058742327</v>
      </c>
      <c r="AB101" s="21">
        <f>EXP(-LN(2)/2)*AB100+(1-EXP(-LN(2)/2))/(LN(2)/2)*V101*Y101*VLOOKUP('Données projet'!$B$9,Paramètres!$A$1:$I$89,3,0)*0.475*44/12</f>
        <v>4.6084914747814886E-3</v>
      </c>
      <c r="AC101" s="22">
        <f t="shared" si="57"/>
        <v>167.85052532076921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67.075589538411933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-2.2737367544323206E-13</v>
      </c>
      <c r="AJ101" s="13">
        <f>AI101*VLOOKUP('Données projet'!$B$10,Paramètres!$A$1:$I$89,3,0)*VLOOKUP('Données projet'!$B$10,Paramètres!$A$1:$I$89,5,0)</f>
        <v>-1.064108801074326E-13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280.35802808205239</v>
      </c>
      <c r="AO101" s="59">
        <f t="shared" si="90"/>
        <v>249.32129349927175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43.939093841298579</v>
      </c>
      <c r="AV101" s="21">
        <f>EXP(-LN(2)/25)*AV100+(1-EXP(-LN(2)/25))/(LN(2)/25)*Calculateur!AQ101*Calculateur!AS101*VLOOKUP('Données projet'!$B$10,Paramètres!$A$1:$I$89,3,0)*0.475*44/12</f>
        <v>15.618330395106705</v>
      </c>
      <c r="AW101" s="21">
        <f>EXP(-LN(2)/2)*AW100+(1-EXP(-LN(2)/2))/(LN(2)/2)*AQ101*AT101*VLOOKUP('Données projet'!$B$10,Paramètres!$A$1:$I$89,3,0)*0.475*44/12</f>
        <v>2.5391194592826805E-5</v>
      </c>
      <c r="AX101" s="21">
        <f t="shared" si="60"/>
        <v>59.557449627599873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67.075589538411933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1.1368683772161603E-13</v>
      </c>
      <c r="BE101" s="13">
        <f>BD101*VLOOKUP('Données projet'!$B$11,Paramètres!$A$1:$I$89,3,0)*VLOOKUP('Données projet'!$B$11,Paramètres!$A$1:$I$89,5,0)</f>
        <v>5.0249582272954292E-14</v>
      </c>
      <c r="BF101" s="13">
        <f t="shared" si="91"/>
        <v>8.1784820119191593E-13</v>
      </c>
      <c r="BG101" s="20">
        <f t="shared" si="61"/>
        <v>1.5119369728679821E-12</v>
      </c>
      <c r="BH101" s="59">
        <f t="shared" si="62"/>
        <v>282.61049497417861</v>
      </c>
      <c r="BI101" s="59">
        <f ca="1">AVERAGE(OFFSET($BH$3,0,0,'Données projet'!$E$11+1,1))-AVERAGE(OFFSET($H$3,0,0,'Données projet'!$E$11+1,1))</f>
        <v>409.91320873873292</v>
      </c>
      <c r="BJ101" s="59">
        <f t="shared" si="92"/>
        <v>347.86310581860698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144.67236410301524</v>
      </c>
      <c r="BQ101" s="21">
        <f>EXP(-LN(2)/25)*BQ100+(1-EXP(-LN(2)/25))/(LN(2)/25)*Calculateur!BL101*Calculateur!BN101*VLOOKUP('Données projet'!$B$11,Paramètres!$A$1:$I$89,3,0)*0.475*44/12</f>
        <v>43.647830671595926</v>
      </c>
      <c r="BR101" s="21">
        <f>EXP(-LN(2)/2)*BR100+(1-EXP(-LN(2)/2))/(LN(2)/2)*BL101*BO101*VLOOKUP('Données projet'!$B$11,Paramètres!$A$1:$I$89,3,0)*0.475*44/12</f>
        <v>0.15352322493813564</v>
      </c>
      <c r="BS101" s="22">
        <f t="shared" si="63"/>
        <v>188.47371799954931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67.075589538411933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67.075589538411933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67.075589538411933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67.075589538411933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67.075589538411933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67.075589538411933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67.075589538411933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3.25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11.916666666666666</v>
      </c>
      <c r="H102" s="67">
        <f t="shared" si="56"/>
        <v>209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67.126321521918157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5.6843418860808015E-13</v>
      </c>
      <c r="O102" s="13">
        <f>N102*VLOOKUP('Données projet'!$B$9,Paramètres!$A$1:$I$89,3,0)*VLOOKUP('Données projet'!$B$9,Paramètres!$A$1:$I$89,5,0)</f>
        <v>3.177547114319168E-13</v>
      </c>
      <c r="P102" s="13">
        <f t="shared" si="87"/>
        <v>4.1725404435445377E-12</v>
      </c>
      <c r="Q102" s="20">
        <f t="shared" si="107"/>
        <v>7.820597394917325E-12</v>
      </c>
      <c r="R102" s="59">
        <f t="shared" si="55"/>
        <v>282.79651224704111</v>
      </c>
      <c r="S102" s="59">
        <f ca="1">AVERAGE(OFFSET($R$3,0,0,'Données projet'!$E$9+1,1))-AVERAGE(OFFSET($H$3,0,0,'Données projet'!$E$9+1,1))</f>
        <v>399.91876225849921</v>
      </c>
      <c r="T102" s="59">
        <f t="shared" si="88"/>
        <v>368.64132082233505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129.93149718369131</v>
      </c>
      <c r="AA102" s="21">
        <f>EXP(-LN(2)/25)*AA101+(1-EXP(-LN(2)/25))/(LN(2)/25)*Calculateur!V102*Calculateur!X102*VLOOKUP('Données projet'!$B$9,Paramètres!$A$1:$I$89,3,0)*0.475*44/12</f>
        <v>34.349874179094513</v>
      </c>
      <c r="AB102" s="21">
        <f>EXP(-LN(2)/2)*AB101+(1-EXP(-LN(2)/2))/(LN(2)/2)*V102*Y102*VLOOKUP('Données projet'!$B$9,Paramètres!$A$1:$I$89,3,0)*0.475*44/12</f>
        <v>3.2586955728583838E-3</v>
      </c>
      <c r="AC102" s="22">
        <f t="shared" si="57"/>
        <v>164.28463005835869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67.126321521918157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-2.2737367544323206E-13</v>
      </c>
      <c r="AJ102" s="13">
        <f>AI102*VLOOKUP('Données projet'!$B$10,Paramètres!$A$1:$I$89,3,0)*VLOOKUP('Données projet'!$B$10,Paramètres!$A$1:$I$89,5,0)</f>
        <v>-1.064108801074326E-13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280.35802808205239</v>
      </c>
      <c r="AO102" s="59">
        <f t="shared" si="90"/>
        <v>249.32129349927175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43.077475011271659</v>
      </c>
      <c r="AV102" s="21">
        <f>EXP(-LN(2)/25)*AV101+(1-EXP(-LN(2)/25))/(LN(2)/25)*Calculateur!AQ102*Calculateur!AS102*VLOOKUP('Données projet'!$B$10,Paramètres!$A$1:$I$89,3,0)*0.475*44/12</f>
        <v>15.191246329120213</v>
      </c>
      <c r="AW102" s="21">
        <f>EXP(-LN(2)/2)*AW101+(1-EXP(-LN(2)/2))/(LN(2)/2)*AQ102*AT102*VLOOKUP('Données projet'!$B$10,Paramètres!$A$1:$I$89,3,0)*0.475*44/12</f>
        <v>1.7954285879015032E-5</v>
      </c>
      <c r="AX102" s="21">
        <f t="shared" si="60"/>
        <v>58.268739294677751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67.126321521918157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1.1368683772161603E-13</v>
      </c>
      <c r="BE102" s="13">
        <f>BD102*VLOOKUP('Données projet'!$B$11,Paramètres!$A$1:$I$89,3,0)*VLOOKUP('Données projet'!$B$11,Paramètres!$A$1:$I$89,5,0)</f>
        <v>5.0249582272954292E-14</v>
      </c>
      <c r="BF102" s="13">
        <f t="shared" si="91"/>
        <v>8.1784820119191593E-13</v>
      </c>
      <c r="BG102" s="20">
        <f t="shared" si="61"/>
        <v>1.5119369728679821E-12</v>
      </c>
      <c r="BH102" s="59">
        <f t="shared" si="62"/>
        <v>282.7965122470348</v>
      </c>
      <c r="BI102" s="59">
        <f ca="1">AVERAGE(OFFSET($BH$3,0,0,'Données projet'!$E$11+1,1))-AVERAGE(OFFSET($H$3,0,0,'Données projet'!$E$11+1,1))</f>
        <v>409.91320873873292</v>
      </c>
      <c r="BJ102" s="59">
        <f t="shared" si="92"/>
        <v>347.86310581860698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141.83542728438411</v>
      </c>
      <c r="BQ102" s="21">
        <f>EXP(-LN(2)/25)*BQ101+(1-EXP(-LN(2)/25))/(LN(2)/25)*Calculateur!BL102*Calculateur!BN102*VLOOKUP('Données projet'!$B$11,Paramètres!$A$1:$I$89,3,0)*0.475*44/12</f>
        <v>42.45427844654148</v>
      </c>
      <c r="BR102" s="21">
        <f>EXP(-LN(2)/2)*BR101+(1-EXP(-LN(2)/2))/(LN(2)/2)*BL102*BO102*VLOOKUP('Données projet'!$B$11,Paramètres!$A$1:$I$89,3,0)*0.475*44/12</f>
        <v>0.1085573134233834</v>
      </c>
      <c r="BS102" s="22">
        <f t="shared" si="63"/>
        <v>184.39826304434897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67.126321521918157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67.126321521918157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67.126321521918157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67.126321521918157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67.126321521918157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67.126321521918157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67.126321521918157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3.25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11.916666666666666</v>
      </c>
      <c r="H103" s="67">
        <f t="shared" si="56"/>
        <v>209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67.176173418930262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5.6843418860808015E-13</v>
      </c>
      <c r="O103" s="13">
        <f>N103*VLOOKUP('Données projet'!$B$9,Paramètres!$A$1:$I$89,3,0)*VLOOKUP('Données projet'!$B$9,Paramètres!$A$1:$I$89,5,0)</f>
        <v>3.177547114319168E-13</v>
      </c>
      <c r="P103" s="13">
        <f t="shared" si="87"/>
        <v>4.1725404435445377E-12</v>
      </c>
      <c r="Q103" s="20">
        <f t="shared" si="107"/>
        <v>7.820597394917325E-12</v>
      </c>
      <c r="R103" s="59">
        <f t="shared" si="55"/>
        <v>282.97930253608547</v>
      </c>
      <c r="S103" s="59">
        <f ca="1">AVERAGE(OFFSET($R$3,0,0,'Données projet'!$E$9+1,1))-AVERAGE(OFFSET($H$3,0,0,'Données projet'!$E$9+1,1))</f>
        <v>399.91876225849921</v>
      </c>
      <c r="T103" s="59">
        <f t="shared" si="88"/>
        <v>368.64132082233505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127.38361977430708</v>
      </c>
      <c r="AA103" s="21">
        <f>EXP(-LN(2)/25)*AA102+(1-EXP(-LN(2)/25))/(LN(2)/25)*Calculateur!V103*Calculateur!X103*VLOOKUP('Données projet'!$B$9,Paramètres!$A$1:$I$89,3,0)*0.475*44/12</f>
        <v>33.410575063285798</v>
      </c>
      <c r="AB103" s="21">
        <f>EXP(-LN(2)/2)*AB102+(1-EXP(-LN(2)/2))/(LN(2)/2)*V103*Y103*VLOOKUP('Données projet'!$B$9,Paramètres!$A$1:$I$89,3,0)*0.475*44/12</f>
        <v>2.3042457373907443E-3</v>
      </c>
      <c r="AC103" s="22">
        <f t="shared" si="57"/>
        <v>160.79649908333025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67.176173418930262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-2.2737367544323206E-13</v>
      </c>
      <c r="AJ103" s="13">
        <f>AI103*VLOOKUP('Données projet'!$B$10,Paramètres!$A$1:$I$89,3,0)*VLOOKUP('Données projet'!$B$10,Paramètres!$A$1:$I$89,5,0)</f>
        <v>-1.064108801074326E-13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280.35802808205239</v>
      </c>
      <c r="AO103" s="59">
        <f t="shared" si="90"/>
        <v>249.32129349927175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42.232752000965974</v>
      </c>
      <c r="AV103" s="21">
        <f>EXP(-LN(2)/25)*AV102+(1-EXP(-LN(2)/25))/(LN(2)/25)*Calculateur!AQ103*Calculateur!AS103*VLOOKUP('Données projet'!$B$10,Paramètres!$A$1:$I$89,3,0)*0.475*44/12</f>
        <v>14.775840899377497</v>
      </c>
      <c r="AW103" s="21">
        <f>EXP(-LN(2)/2)*AW102+(1-EXP(-LN(2)/2))/(LN(2)/2)*AQ103*AT103*VLOOKUP('Données projet'!$B$10,Paramètres!$A$1:$I$89,3,0)*0.475*44/12</f>
        <v>1.2695597296413402E-5</v>
      </c>
      <c r="AX103" s="21">
        <f t="shared" si="60"/>
        <v>57.008605595940772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67.176173418930262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1.1368683772161603E-13</v>
      </c>
      <c r="BE103" s="13">
        <f>BD103*VLOOKUP('Données projet'!$B$11,Paramètres!$A$1:$I$89,3,0)*VLOOKUP('Données projet'!$B$11,Paramètres!$A$1:$I$89,5,0)</f>
        <v>5.0249582272954292E-14</v>
      </c>
      <c r="BF103" s="13">
        <f t="shared" si="91"/>
        <v>8.1784820119191593E-13</v>
      </c>
      <c r="BG103" s="20">
        <f t="shared" si="61"/>
        <v>1.5119369728679821E-12</v>
      </c>
      <c r="BH103" s="59">
        <f t="shared" si="62"/>
        <v>282.97930253607916</v>
      </c>
      <c r="BI103" s="59">
        <f ca="1">AVERAGE(OFFSET($BH$3,0,0,'Données projet'!$E$11+1,1))-AVERAGE(OFFSET($H$3,0,0,'Données projet'!$E$11+1,1))</f>
        <v>409.91320873873292</v>
      </c>
      <c r="BJ103" s="59">
        <f t="shared" si="92"/>
        <v>347.86310581860698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139.05412106640571</v>
      </c>
      <c r="BQ103" s="21">
        <f>EXP(-LN(2)/25)*BQ102+(1-EXP(-LN(2)/25))/(LN(2)/25)*Calculateur!BL103*Calculateur!BN103*VLOOKUP('Données projet'!$B$11,Paramètres!$A$1:$I$89,3,0)*0.475*44/12</f>
        <v>41.293363969847327</v>
      </c>
      <c r="BR103" s="21">
        <f>EXP(-LN(2)/2)*BR102+(1-EXP(-LN(2)/2))/(LN(2)/2)*BL103*BO103*VLOOKUP('Données projet'!$B$11,Paramètres!$A$1:$I$89,3,0)*0.475*44/12</f>
        <v>7.6761612469067833E-2</v>
      </c>
      <c r="BS103" s="22">
        <f t="shared" si="63"/>
        <v>180.42424664872209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67.176173418930262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67.176173418930262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67.176173418930262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67.176173418930262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67.176173418930262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67.176173418930262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67.176173418930262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3.25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11.916666666666666</v>
      </c>
      <c r="H104" s="67">
        <f t="shared" si="56"/>
        <v>209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67.225160496981374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5.6843418860808015E-13</v>
      </c>
      <c r="O104" s="13">
        <f>N104*VLOOKUP('Données projet'!$B$9,Paramètres!$A$1:$I$89,3,0)*VLOOKUP('Données projet'!$B$9,Paramètres!$A$1:$I$89,5,0)</f>
        <v>3.177547114319168E-13</v>
      </c>
      <c r="P104" s="13">
        <f t="shared" si="87"/>
        <v>4.1725404435445377E-12</v>
      </c>
      <c r="Q104" s="20">
        <f t="shared" si="107"/>
        <v>7.820597394917325E-12</v>
      </c>
      <c r="R104" s="59">
        <f t="shared" si="55"/>
        <v>283.15892182227287</v>
      </c>
      <c r="S104" s="59">
        <f ca="1">AVERAGE(OFFSET($R$3,0,0,'Données projet'!$E$9+1,1))-AVERAGE(OFFSET($H$3,0,0,'Données projet'!$E$9+1,1))</f>
        <v>399.91876225849921</v>
      </c>
      <c r="T104" s="59">
        <f t="shared" si="88"/>
        <v>368.64132082233505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124.8857046868691</v>
      </c>
      <c r="AA104" s="21">
        <f>EXP(-LN(2)/25)*AA103+(1-EXP(-LN(2)/25))/(LN(2)/25)*Calculateur!V104*Calculateur!X104*VLOOKUP('Données projet'!$B$9,Paramètres!$A$1:$I$89,3,0)*0.475*44/12</f>
        <v>32.496961131194467</v>
      </c>
      <c r="AB104" s="21">
        <f>EXP(-LN(2)/2)*AB103+(1-EXP(-LN(2)/2))/(LN(2)/2)*V104*Y104*VLOOKUP('Données projet'!$B$9,Paramètres!$A$1:$I$89,3,0)*0.475*44/12</f>
        <v>1.6293477864291919E-3</v>
      </c>
      <c r="AC104" s="22">
        <f t="shared" si="57"/>
        <v>157.38429516585001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67.225160496981374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-2.2737367544323206E-13</v>
      </c>
      <c r="AJ104" s="13">
        <f>AI104*VLOOKUP('Données projet'!$B$10,Paramètres!$A$1:$I$89,3,0)*VLOOKUP('Données projet'!$B$10,Paramètres!$A$1:$I$89,5,0)</f>
        <v>-1.064108801074326E-13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280.35802808205239</v>
      </c>
      <c r="AO104" s="59">
        <f t="shared" si="90"/>
        <v>249.32129349927175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41.404593493662219</v>
      </c>
      <c r="AV104" s="21">
        <f>EXP(-LN(2)/25)*AV103+(1-EXP(-LN(2)/25))/(LN(2)/25)*Calculateur!AQ104*Calculateur!AS104*VLOOKUP('Données projet'!$B$10,Paramètres!$A$1:$I$89,3,0)*0.475*44/12</f>
        <v>14.371794752956317</v>
      </c>
      <c r="AW104" s="21">
        <f>EXP(-LN(2)/2)*AW103+(1-EXP(-LN(2)/2))/(LN(2)/2)*AQ104*AT104*VLOOKUP('Données projet'!$B$10,Paramètres!$A$1:$I$89,3,0)*0.475*44/12</f>
        <v>8.9771429395075159E-6</v>
      </c>
      <c r="AX104" s="21">
        <f t="shared" si="60"/>
        <v>55.776397223761478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67.225160496981374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1.1368683772161603E-13</v>
      </c>
      <c r="BE104" s="13">
        <f>BD104*VLOOKUP('Données projet'!$B$11,Paramètres!$A$1:$I$89,3,0)*VLOOKUP('Données projet'!$B$11,Paramètres!$A$1:$I$89,5,0)</f>
        <v>5.0249582272954292E-14</v>
      </c>
      <c r="BF104" s="13">
        <f t="shared" si="91"/>
        <v>8.1784820119191593E-13</v>
      </c>
      <c r="BG104" s="20">
        <f t="shared" si="61"/>
        <v>1.5119369728679821E-12</v>
      </c>
      <c r="BH104" s="59">
        <f t="shared" si="62"/>
        <v>283.15892182226656</v>
      </c>
      <c r="BI104" s="59">
        <f ca="1">AVERAGE(OFFSET($BH$3,0,0,'Données projet'!$E$11+1,1))-AVERAGE(OFFSET($H$3,0,0,'Données projet'!$E$11+1,1))</f>
        <v>409.91320873873292</v>
      </c>
      <c r="BJ104" s="59">
        <f t="shared" si="92"/>
        <v>347.86310581860698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136.3273545669326</v>
      </c>
      <c r="BQ104" s="21">
        <f>EXP(-LN(2)/25)*BQ103+(1-EXP(-LN(2)/25))/(LN(2)/25)*Calculateur!BL104*Calculateur!BN104*VLOOKUP('Données projet'!$B$11,Paramètres!$A$1:$I$89,3,0)*0.475*44/12</f>
        <v>40.164194760568215</v>
      </c>
      <c r="BR104" s="21">
        <f>EXP(-LN(2)/2)*BR103+(1-EXP(-LN(2)/2))/(LN(2)/2)*BL104*BO104*VLOOKUP('Données projet'!$B$11,Paramètres!$A$1:$I$89,3,0)*0.475*44/12</f>
        <v>5.4278656711691707E-2</v>
      </c>
      <c r="BS104" s="22">
        <f t="shared" si="63"/>
        <v>176.54582798421251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67.225160496981374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67.225160496981374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67.225160496981374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67.225160496981374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67.225160496981374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67.225160496981374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67.225160496981374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3.25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11.916666666666666</v>
      </c>
      <c r="H105" s="67">
        <f t="shared" si="56"/>
        <v>209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67.273297758746992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5.6843418860808015E-13</v>
      </c>
      <c r="O105" s="13">
        <f>N105*VLOOKUP('Données projet'!$B$9,Paramètres!$A$1:$I$89,3,0)*VLOOKUP('Données projet'!$B$9,Paramètres!$A$1:$I$89,5,0)</f>
        <v>3.177547114319168E-13</v>
      </c>
      <c r="P105" s="13">
        <f t="shared" si="87"/>
        <v>4.1725404435445377E-12</v>
      </c>
      <c r="Q105" s="20">
        <f t="shared" si="107"/>
        <v>7.820597394917325E-12</v>
      </c>
      <c r="R105" s="59">
        <f t="shared" si="55"/>
        <v>283.33542511541344</v>
      </c>
      <c r="S105" s="59">
        <f ca="1">AVERAGE(OFFSET($R$3,0,0,'Données projet'!$E$9+1,1))-AVERAGE(OFFSET($H$3,0,0,'Données projet'!$E$9+1,1))</f>
        <v>399.91876225849921</v>
      </c>
      <c r="T105" s="59">
        <f t="shared" si="88"/>
        <v>368.64132082233505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122.43677219071803</v>
      </c>
      <c r="AA105" s="21">
        <f>EXP(-LN(2)/25)*AA104+(1-EXP(-LN(2)/25))/(LN(2)/25)*Calculateur!V105*Calculateur!X105*VLOOKUP('Données projet'!$B$9,Paramètres!$A$1:$I$89,3,0)*0.475*44/12</f>
        <v>31.608330020121041</v>
      </c>
      <c r="AB105" s="21">
        <f>EXP(-LN(2)/2)*AB104+(1-EXP(-LN(2)/2))/(LN(2)/2)*V105*Y105*VLOOKUP('Données projet'!$B$9,Paramètres!$A$1:$I$89,3,0)*0.475*44/12</f>
        <v>1.1521228686953721E-3</v>
      </c>
      <c r="AC105" s="22">
        <f t="shared" si="57"/>
        <v>154.04625433370776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67.273297758746992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-2.2737367544323206E-13</v>
      </c>
      <c r="AJ105" s="13">
        <f>AI105*VLOOKUP('Données projet'!$B$10,Paramètres!$A$1:$I$89,3,0)*VLOOKUP('Données projet'!$B$10,Paramètres!$A$1:$I$89,5,0)</f>
        <v>-1.064108801074326E-13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280.35802808205239</v>
      </c>
      <c r="AO105" s="59">
        <f t="shared" si="90"/>
        <v>249.32129349927175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40.592674669559877</v>
      </c>
      <c r="AV105" s="21">
        <f>EXP(-LN(2)/25)*AV104+(1-EXP(-LN(2)/25))/(LN(2)/25)*Calculateur!AQ105*Calculateur!AS105*VLOOKUP('Données projet'!$B$10,Paramètres!$A$1:$I$89,3,0)*0.475*44/12</f>
        <v>13.978797269656887</v>
      </c>
      <c r="AW105" s="21">
        <f>EXP(-LN(2)/2)*AW104+(1-EXP(-LN(2)/2))/(LN(2)/2)*AQ105*AT105*VLOOKUP('Données projet'!$B$10,Paramètres!$A$1:$I$89,3,0)*0.475*44/12</f>
        <v>6.3477986482067012E-6</v>
      </c>
      <c r="AX105" s="21">
        <f t="shared" si="60"/>
        <v>54.57147828701541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67.273297758746992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1.1368683772161603E-13</v>
      </c>
      <c r="BE105" s="13">
        <f>BD105*VLOOKUP('Données projet'!$B$11,Paramètres!$A$1:$I$89,3,0)*VLOOKUP('Données projet'!$B$11,Paramètres!$A$1:$I$89,5,0)</f>
        <v>5.0249582272954292E-14</v>
      </c>
      <c r="BF105" s="13">
        <f t="shared" si="91"/>
        <v>8.1784820119191593E-13</v>
      </c>
      <c r="BG105" s="20">
        <f t="shared" si="61"/>
        <v>1.5119369728679821E-12</v>
      </c>
      <c r="BH105" s="59">
        <f t="shared" si="62"/>
        <v>283.33542511540713</v>
      </c>
      <c r="BI105" s="59">
        <f ca="1">AVERAGE(OFFSET($BH$3,0,0,'Données projet'!$E$11+1,1))-AVERAGE(OFFSET($H$3,0,0,'Données projet'!$E$11+1,1))</f>
        <v>409.91320873873292</v>
      </c>
      <c r="BJ105" s="59">
        <f t="shared" si="92"/>
        <v>347.86310581860698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133.65405829535081</v>
      </c>
      <c r="BQ105" s="21">
        <f>EXP(-LN(2)/25)*BQ104+(1-EXP(-LN(2)/25))/(LN(2)/25)*Calculateur!BL105*Calculateur!BN105*VLOOKUP('Données projet'!$B$11,Paramètres!$A$1:$I$89,3,0)*0.475*44/12</f>
        <v>39.065902742697268</v>
      </c>
      <c r="BR105" s="21">
        <f>EXP(-LN(2)/2)*BR104+(1-EXP(-LN(2)/2))/(LN(2)/2)*BL105*BO105*VLOOKUP('Données projet'!$B$11,Paramètres!$A$1:$I$89,3,0)*0.475*44/12</f>
        <v>3.8380806234533917E-2</v>
      </c>
      <c r="BS105" s="22">
        <f t="shared" si="63"/>
        <v>172.7583418442826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67.273297758746992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67.273297758746992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67.273297758746992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67.273297758746992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67.273297758746992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67.273297758746992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67.273297758746992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3.25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11.916666666666666</v>
      </c>
      <c r="H106" s="67">
        <f t="shared" si="56"/>
        <v>209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67.32059994663976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5.6843418860808015E-13</v>
      </c>
      <c r="O106" s="13">
        <f>N106*VLOOKUP('Données projet'!$B$9,Paramètres!$A$1:$I$89,3,0)*VLOOKUP('Données projet'!$B$9,Paramètres!$A$1:$I$89,5,0)</f>
        <v>3.177547114319168E-13</v>
      </c>
      <c r="P106" s="13">
        <f t="shared" si="87"/>
        <v>4.1725404435445377E-12</v>
      </c>
      <c r="Q106" s="20">
        <f t="shared" si="107"/>
        <v>7.820597394917325E-12</v>
      </c>
      <c r="R106" s="59">
        <f t="shared" si="55"/>
        <v>283.50886647102033</v>
      </c>
      <c r="S106" s="59">
        <f ca="1">AVERAGE(OFFSET($R$3,0,0,'Données projet'!$E$9+1,1))-AVERAGE(OFFSET($H$3,0,0,'Données projet'!$E$9+1,1))</f>
        <v>399.91876225849921</v>
      </c>
      <c r="T106" s="59">
        <f t="shared" si="88"/>
        <v>368.64132082233505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120.03586176711514</v>
      </c>
      <c r="AA106" s="21">
        <f>EXP(-LN(2)/25)*AA105+(1-EXP(-LN(2)/25))/(LN(2)/25)*Calculateur!V106*Calculateur!X106*VLOOKUP('Données projet'!$B$9,Paramètres!$A$1:$I$89,3,0)*0.475*44/12</f>
        <v>30.743998573510996</v>
      </c>
      <c r="AB106" s="21">
        <f>EXP(-LN(2)/2)*AB105+(1-EXP(-LN(2)/2))/(LN(2)/2)*V106*Y106*VLOOKUP('Données projet'!$B$9,Paramètres!$A$1:$I$89,3,0)*0.475*44/12</f>
        <v>8.1467389321459595E-4</v>
      </c>
      <c r="AC106" s="22">
        <f t="shared" si="57"/>
        <v>150.78067501451935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67.32059994663976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-2.2737367544323206E-13</v>
      </c>
      <c r="AJ106" s="13">
        <f>AI106*VLOOKUP('Données projet'!$B$10,Paramètres!$A$1:$I$89,3,0)*VLOOKUP('Données projet'!$B$10,Paramètres!$A$1:$I$89,5,0)</f>
        <v>-1.064108801074326E-13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280.35802808205239</v>
      </c>
      <c r="AO106" s="59">
        <f t="shared" si="90"/>
        <v>249.32129349927175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39.796677078376597</v>
      </c>
      <c r="AV106" s="21">
        <f>EXP(-LN(2)/25)*AV105+(1-EXP(-LN(2)/25))/(LN(2)/25)*Calculateur!AQ106*Calculateur!AS106*VLOOKUP('Données projet'!$B$10,Paramètres!$A$1:$I$89,3,0)*0.475*44/12</f>
        <v>13.59654632320512</v>
      </c>
      <c r="AW106" s="21">
        <f>EXP(-LN(2)/2)*AW105+(1-EXP(-LN(2)/2))/(LN(2)/2)*AQ106*AT106*VLOOKUP('Données projet'!$B$10,Paramètres!$A$1:$I$89,3,0)*0.475*44/12</f>
        <v>4.4885714697537579E-6</v>
      </c>
      <c r="AX106" s="21">
        <f t="shared" si="60"/>
        <v>53.393227890153184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67.32059994663976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1.1368683772161603E-13</v>
      </c>
      <c r="BE106" s="13">
        <f>BD106*VLOOKUP('Données projet'!$B$11,Paramètres!$A$1:$I$89,3,0)*VLOOKUP('Données projet'!$B$11,Paramètres!$A$1:$I$89,5,0)</f>
        <v>5.0249582272954292E-14</v>
      </c>
      <c r="BF106" s="13">
        <f t="shared" si="91"/>
        <v>8.1784820119191593E-13</v>
      </c>
      <c r="BG106" s="20">
        <f t="shared" si="61"/>
        <v>1.5119369728679821E-12</v>
      </c>
      <c r="BH106" s="59">
        <f t="shared" si="62"/>
        <v>283.50886647101402</v>
      </c>
      <c r="BI106" s="59">
        <f ca="1">AVERAGE(OFFSET($BH$3,0,0,'Données projet'!$E$11+1,1))-AVERAGE(OFFSET($H$3,0,0,'Données projet'!$E$11+1,1))</f>
        <v>409.91320873873292</v>
      </c>
      <c r="BJ106" s="59">
        <f t="shared" si="92"/>
        <v>347.86310581860698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131.03318373310501</v>
      </c>
      <c r="BQ106" s="21">
        <f>EXP(-LN(2)/25)*BQ105+(1-EXP(-LN(2)/25))/(LN(2)/25)*Calculateur!BL106*Calculateur!BN106*VLOOKUP('Données projet'!$B$11,Paramètres!$A$1:$I$89,3,0)*0.475*44/12</f>
        <v>37.997643577811672</v>
      </c>
      <c r="BR106" s="21">
        <f>EXP(-LN(2)/2)*BR105+(1-EXP(-LN(2)/2))/(LN(2)/2)*BL106*BO106*VLOOKUP('Données projet'!$B$11,Paramètres!$A$1:$I$89,3,0)*0.475*44/12</f>
        <v>2.7139328355845854E-2</v>
      </c>
      <c r="BS106" s="22">
        <f t="shared" si="63"/>
        <v>169.05796663927251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67.32059994663976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67.32059994663976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67.32059994663976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67.32059994663976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67.32059994663976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67.32059994663976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67.32059994663976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3.25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11.916666666666666</v>
      </c>
      <c r="H107" s="67">
        <f t="shared" si="56"/>
        <v>209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67.367081547324432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5.6843418860808015E-13</v>
      </c>
      <c r="O107" s="13">
        <f>N107*VLOOKUP('Données projet'!$B$9,Paramètres!$A$1:$I$89,3,0)*VLOOKUP('Données projet'!$B$9,Paramètres!$A$1:$I$89,5,0)</f>
        <v>3.177547114319168E-13</v>
      </c>
      <c r="P107" s="13">
        <f t="shared" si="87"/>
        <v>4.1725404435445377E-12</v>
      </c>
      <c r="Q107" s="20">
        <f t="shared" si="107"/>
        <v>7.820597394917325E-12</v>
      </c>
      <c r="R107" s="59">
        <f t="shared" si="55"/>
        <v>283.67929900686408</v>
      </c>
      <c r="S107" s="59">
        <f ca="1">AVERAGE(OFFSET($R$3,0,0,'Données projet'!$E$9+1,1))-AVERAGE(OFFSET($H$3,0,0,'Données projet'!$E$9+1,1))</f>
        <v>399.91876225849921</v>
      </c>
      <c r="T107" s="59">
        <f t="shared" si="88"/>
        <v>368.64132082233505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117.68203173250834</v>
      </c>
      <c r="AA107" s="21">
        <f>EXP(-LN(2)/25)*AA106+(1-EXP(-LN(2)/25))/(LN(2)/25)*Calculateur!V107*Calculateur!X107*VLOOKUP('Données projet'!$B$9,Paramètres!$A$1:$I$89,3,0)*0.475*44/12</f>
        <v>29.903302315761721</v>
      </c>
      <c r="AB107" s="21">
        <f>EXP(-LN(2)/2)*AB106+(1-EXP(-LN(2)/2))/(LN(2)/2)*V107*Y107*VLOOKUP('Données projet'!$B$9,Paramètres!$A$1:$I$89,3,0)*0.475*44/12</f>
        <v>5.7606143434768607E-4</v>
      </c>
      <c r="AC107" s="22">
        <f t="shared" si="57"/>
        <v>147.5859101097044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67.367081547324432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-2.2737367544323206E-13</v>
      </c>
      <c r="AJ107" s="13">
        <f>AI107*VLOOKUP('Données projet'!$B$10,Paramètres!$A$1:$I$89,3,0)*VLOOKUP('Données projet'!$B$10,Paramètres!$A$1:$I$89,5,0)</f>
        <v>-1.064108801074326E-13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280.35802808205239</v>
      </c>
      <c r="AO107" s="59">
        <f t="shared" si="90"/>
        <v>249.32129349927175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39.016288514445833</v>
      </c>
      <c r="AV107" s="21">
        <f>EXP(-LN(2)/25)*AV106+(1-EXP(-LN(2)/25))/(LN(2)/25)*Calculateur!AQ107*Calculateur!AS107*VLOOKUP('Données projet'!$B$10,Paramètres!$A$1:$I$89,3,0)*0.475*44/12</f>
        <v>13.224748048985779</v>
      </c>
      <c r="AW107" s="21">
        <f>EXP(-LN(2)/2)*AW106+(1-EXP(-LN(2)/2))/(LN(2)/2)*AQ107*AT107*VLOOKUP('Données projet'!$B$10,Paramètres!$A$1:$I$89,3,0)*0.475*44/12</f>
        <v>3.1738993241033506E-6</v>
      </c>
      <c r="AX107" s="21">
        <f t="shared" si="60"/>
        <v>52.241039737330937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67.367081547324432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1.1368683772161603E-13</v>
      </c>
      <c r="BE107" s="13">
        <f>BD107*VLOOKUP('Données projet'!$B$11,Paramètres!$A$1:$I$89,3,0)*VLOOKUP('Données projet'!$B$11,Paramètres!$A$1:$I$89,5,0)</f>
        <v>5.0249582272954292E-14</v>
      </c>
      <c r="BF107" s="13">
        <f t="shared" si="91"/>
        <v>8.1784820119191593E-13</v>
      </c>
      <c r="BG107" s="20">
        <f t="shared" si="61"/>
        <v>1.5119369728679821E-12</v>
      </c>
      <c r="BH107" s="59">
        <f t="shared" si="62"/>
        <v>283.67929900685778</v>
      </c>
      <c r="BI107" s="59">
        <f ca="1">AVERAGE(OFFSET($BH$3,0,0,'Données projet'!$E$11+1,1))-AVERAGE(OFFSET($H$3,0,0,'Données projet'!$E$11+1,1))</f>
        <v>409.91320873873292</v>
      </c>
      <c r="BJ107" s="59">
        <f t="shared" si="92"/>
        <v>347.86310581860698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128.46370292244922</v>
      </c>
      <c r="BQ107" s="21">
        <f>EXP(-LN(2)/25)*BQ106+(1-EXP(-LN(2)/25))/(LN(2)/25)*Calculateur!BL107*Calculateur!BN107*VLOOKUP('Données projet'!$B$11,Paramètres!$A$1:$I$89,3,0)*0.475*44/12</f>
        <v>36.958596015967181</v>
      </c>
      <c r="BR107" s="21">
        <f>EXP(-LN(2)/2)*BR106+(1-EXP(-LN(2)/2))/(LN(2)/2)*BL107*BO107*VLOOKUP('Données projet'!$B$11,Paramètres!$A$1:$I$89,3,0)*0.475*44/12</f>
        <v>1.9190403117266958E-2</v>
      </c>
      <c r="BS107" s="22">
        <f t="shared" si="63"/>
        <v>165.44148934153367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67.367081547324432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67.367081547324432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67.367081547324432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67.367081547324432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67.367081547324432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67.367081547324432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67.367081547324432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3.25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11.916666666666666</v>
      </c>
      <c r="H108" s="67">
        <f t="shared" si="56"/>
        <v>209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67.41275679615454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5.6843418860808015E-13</v>
      </c>
      <c r="O108" s="13">
        <f>N108*VLOOKUP('Données projet'!$B$9,Paramètres!$A$1:$I$89,3,0)*VLOOKUP('Données projet'!$B$9,Paramètres!$A$1:$I$89,5,0)</f>
        <v>3.177547114319168E-13</v>
      </c>
      <c r="P108" s="13">
        <f t="shared" si="87"/>
        <v>4.1725404435445377E-12</v>
      </c>
      <c r="Q108" s="20">
        <f t="shared" si="107"/>
        <v>7.820597394917325E-12</v>
      </c>
      <c r="R108" s="59">
        <f t="shared" si="55"/>
        <v>283.84677491924117</v>
      </c>
      <c r="S108" s="59">
        <f ca="1">AVERAGE(OFFSET($R$3,0,0,'Données projet'!$E$9+1,1))-AVERAGE(OFFSET($H$3,0,0,'Données projet'!$E$9+1,1))</f>
        <v>399.91876225849921</v>
      </c>
      <c r="T108" s="59">
        <f t="shared" si="88"/>
        <v>368.64132082233505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115.37435886918563</v>
      </c>
      <c r="AA108" s="21">
        <f>EXP(-LN(2)/25)*AA107+(1-EXP(-LN(2)/25))/(LN(2)/25)*Calculateur!V108*Calculateur!X108*VLOOKUP('Données projet'!$B$9,Paramètres!$A$1:$I$89,3,0)*0.475*44/12</f>
        <v>29.085594941390891</v>
      </c>
      <c r="AB108" s="21">
        <f>EXP(-LN(2)/2)*AB107+(1-EXP(-LN(2)/2))/(LN(2)/2)*V108*Y108*VLOOKUP('Données projet'!$B$9,Paramètres!$A$1:$I$89,3,0)*0.475*44/12</f>
        <v>4.0733694660729798E-4</v>
      </c>
      <c r="AC108" s="22">
        <f t="shared" si="57"/>
        <v>144.46036114752312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67.41275679615454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-2.2737367544323206E-13</v>
      </c>
      <c r="AJ108" s="13">
        <f>AI108*VLOOKUP('Données projet'!$B$10,Paramètres!$A$1:$I$89,3,0)*VLOOKUP('Données projet'!$B$10,Paramètres!$A$1:$I$89,5,0)</f>
        <v>-1.064108801074326E-13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280.35802808205239</v>
      </c>
      <c r="AO108" s="59">
        <f t="shared" si="90"/>
        <v>249.32129349927175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38.251202894263727</v>
      </c>
      <c r="AV108" s="21">
        <f>EXP(-LN(2)/25)*AV107+(1-EXP(-LN(2)/25))/(LN(2)/25)*Calculateur!AQ108*Calculateur!AS108*VLOOKUP('Données projet'!$B$10,Paramètres!$A$1:$I$89,3,0)*0.475*44/12</f>
        <v>12.863116618126989</v>
      </c>
      <c r="AW108" s="21">
        <f>EXP(-LN(2)/2)*AW107+(1-EXP(-LN(2)/2))/(LN(2)/2)*AQ108*AT108*VLOOKUP('Données projet'!$B$10,Paramètres!$A$1:$I$89,3,0)*0.475*44/12</f>
        <v>2.244285734876879E-6</v>
      </c>
      <c r="AX108" s="21">
        <f t="shared" si="60"/>
        <v>51.114321756676446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67.41275679615454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1.1368683772161603E-13</v>
      </c>
      <c r="BE108" s="13">
        <f>BD108*VLOOKUP('Données projet'!$B$11,Paramètres!$A$1:$I$89,3,0)*VLOOKUP('Données projet'!$B$11,Paramètres!$A$1:$I$89,5,0)</f>
        <v>5.0249582272954292E-14</v>
      </c>
      <c r="BF108" s="13">
        <f t="shared" si="91"/>
        <v>8.1784820119191593E-13</v>
      </c>
      <c r="BG108" s="20">
        <f t="shared" si="61"/>
        <v>1.5119369728679821E-12</v>
      </c>
      <c r="BH108" s="59">
        <f t="shared" si="62"/>
        <v>283.84677491923486</v>
      </c>
      <c r="BI108" s="59">
        <f ca="1">AVERAGE(OFFSET($BH$3,0,0,'Données projet'!$E$11+1,1))-AVERAGE(OFFSET($H$3,0,0,'Données projet'!$E$11+1,1))</f>
        <v>409.91320873873292</v>
      </c>
      <c r="BJ108" s="59">
        <f t="shared" si="92"/>
        <v>347.86310581860698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125.94460806326184</v>
      </c>
      <c r="BQ108" s="21">
        <f>EXP(-LN(2)/25)*BQ107+(1-EXP(-LN(2)/25))/(LN(2)/25)*Calculateur!BL108*Calculateur!BN108*VLOOKUP('Données projet'!$B$11,Paramètres!$A$1:$I$89,3,0)*0.475*44/12</f>
        <v>35.947961264342467</v>
      </c>
      <c r="BR108" s="21">
        <f>EXP(-LN(2)/2)*BR107+(1-EXP(-LN(2)/2))/(LN(2)/2)*BL108*BO108*VLOOKUP('Données projet'!$B$11,Paramètres!$A$1:$I$89,3,0)*0.475*44/12</f>
        <v>1.3569664177922927E-2</v>
      </c>
      <c r="BS108" s="22">
        <f t="shared" si="63"/>
        <v>161.90613899178223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67.41275679615454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67.41275679615454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67.41275679615454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67.41275679615454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67.41275679615454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67.41275679615454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67.41275679615454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3.25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11.916666666666666</v>
      </c>
      <c r="H109" s="67">
        <f t="shared" si="56"/>
        <v>209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67.457639681531987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5.6843418860808015E-13</v>
      </c>
      <c r="O109" s="13">
        <f>N109*VLOOKUP('Données projet'!$B$9,Paramètres!$A$1:$I$89,3,0)*VLOOKUP('Données projet'!$B$9,Paramètres!$A$1:$I$89,5,0)</f>
        <v>3.177547114319168E-13</v>
      </c>
      <c r="P109" s="13">
        <f t="shared" si="87"/>
        <v>4.1725404435445377E-12</v>
      </c>
      <c r="Q109" s="20">
        <f t="shared" si="107"/>
        <v>7.820597394917325E-12</v>
      </c>
      <c r="R109" s="59">
        <f t="shared" si="55"/>
        <v>284.01134549895846</v>
      </c>
      <c r="S109" s="59">
        <f ca="1">AVERAGE(OFFSET($R$3,0,0,'Données projet'!$E$9+1,1))-AVERAGE(OFFSET($H$3,0,0,'Données projet'!$E$9+1,1))</f>
        <v>399.91876225849921</v>
      </c>
      <c r="T109" s="59">
        <f t="shared" si="88"/>
        <v>368.64132082233505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113.11193806317121</v>
      </c>
      <c r="AA109" s="21">
        <f>EXP(-LN(2)/25)*AA108+(1-EXP(-LN(2)/25))/(LN(2)/25)*Calculateur!V109*Calculateur!X109*VLOOKUP('Données projet'!$B$9,Paramètres!$A$1:$I$89,3,0)*0.475*44/12</f>
        <v>28.290247818173594</v>
      </c>
      <c r="AB109" s="21">
        <f>EXP(-LN(2)/2)*AB108+(1-EXP(-LN(2)/2))/(LN(2)/2)*V109*Y109*VLOOKUP('Données projet'!$B$9,Paramètres!$A$1:$I$89,3,0)*0.475*44/12</f>
        <v>2.8803071717384304E-4</v>
      </c>
      <c r="AC109" s="22">
        <f t="shared" si="57"/>
        <v>141.40247391206196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67.457639681531987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-2.2737367544323206E-13</v>
      </c>
      <c r="AJ109" s="13">
        <f>AI109*VLOOKUP('Données projet'!$B$10,Paramètres!$A$1:$I$89,3,0)*VLOOKUP('Données projet'!$B$10,Paramètres!$A$1:$I$89,5,0)</f>
        <v>-1.064108801074326E-13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280.35802808205239</v>
      </c>
      <c r="AO109" s="59">
        <f t="shared" si="90"/>
        <v>249.32129349927175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37.501120136437244</v>
      </c>
      <c r="AV109" s="21">
        <f>EXP(-LN(2)/25)*AV108+(1-EXP(-LN(2)/25))/(LN(2)/25)*Calculateur!AQ109*Calculateur!AS109*VLOOKUP('Données projet'!$B$10,Paramètres!$A$1:$I$89,3,0)*0.475*44/12</f>
        <v>12.511374017762403</v>
      </c>
      <c r="AW109" s="21">
        <f>EXP(-LN(2)/2)*AW108+(1-EXP(-LN(2)/2))/(LN(2)/2)*AQ109*AT109*VLOOKUP('Données projet'!$B$10,Paramètres!$A$1:$I$89,3,0)*0.475*44/12</f>
        <v>1.5869496620516753E-6</v>
      </c>
      <c r="AX109" s="21">
        <f t="shared" si="60"/>
        <v>50.012495741149309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67.457639681531987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1.1368683772161603E-13</v>
      </c>
      <c r="BE109" s="13">
        <f>BD109*VLOOKUP('Données projet'!$B$11,Paramètres!$A$1:$I$89,3,0)*VLOOKUP('Données projet'!$B$11,Paramètres!$A$1:$I$89,5,0)</f>
        <v>5.0249582272954292E-14</v>
      </c>
      <c r="BF109" s="13">
        <f t="shared" si="91"/>
        <v>8.1784820119191593E-13</v>
      </c>
      <c r="BG109" s="20">
        <f t="shared" si="61"/>
        <v>1.5119369728679821E-12</v>
      </c>
      <c r="BH109" s="59">
        <f t="shared" si="62"/>
        <v>284.01134549895215</v>
      </c>
      <c r="BI109" s="59">
        <f ca="1">AVERAGE(OFFSET($BH$3,0,0,'Données projet'!$E$11+1,1))-AVERAGE(OFFSET($H$3,0,0,'Données projet'!$E$11+1,1))</f>
        <v>409.91320873873292</v>
      </c>
      <c r="BJ109" s="59">
        <f t="shared" si="92"/>
        <v>347.86310581860698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123.47491111776698</v>
      </c>
      <c r="BQ109" s="21">
        <f>EXP(-LN(2)/25)*BQ108+(1-EXP(-LN(2)/25))/(LN(2)/25)*Calculateur!BL109*Calculateur!BN109*VLOOKUP('Données projet'!$B$11,Paramètres!$A$1:$I$89,3,0)*0.475*44/12</f>
        <v>34.964962373147898</v>
      </c>
      <c r="BR109" s="21">
        <f>EXP(-LN(2)/2)*BR108+(1-EXP(-LN(2)/2))/(LN(2)/2)*BL109*BO109*VLOOKUP('Données projet'!$B$11,Paramètres!$A$1:$I$89,3,0)*0.475*44/12</f>
        <v>9.5952015586334791E-3</v>
      </c>
      <c r="BS109" s="22">
        <f t="shared" si="63"/>
        <v>158.44946869247349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67.457639681531987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67.457639681531987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67.457639681531987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67.457639681531987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67.457639681531987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67.457639681531987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67.457639681531987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3.25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11.916666666666666</v>
      </c>
      <c r="H110" s="67">
        <f t="shared" si="56"/>
        <v>209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67.501743949191237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5.6843418860808015E-13</v>
      </c>
      <c r="O110" s="13">
        <f>N110*VLOOKUP('Données projet'!$B$9,Paramètres!$A$1:$I$89,3,0)*VLOOKUP('Données projet'!$B$9,Paramètres!$A$1:$I$89,5,0)</f>
        <v>3.177547114319168E-13</v>
      </c>
      <c r="P110" s="13">
        <f t="shared" si="87"/>
        <v>4.1725404435445377E-12</v>
      </c>
      <c r="Q110" s="20">
        <f t="shared" si="107"/>
        <v>7.820597394917325E-12</v>
      </c>
      <c r="R110" s="59">
        <f t="shared" si="55"/>
        <v>284.17306114704235</v>
      </c>
      <c r="S110" s="59">
        <f ca="1">AVERAGE(OFFSET($R$3,0,0,'Données projet'!$E$9+1,1))-AVERAGE(OFFSET($H$3,0,0,'Données projet'!$E$9+1,1))</f>
        <v>399.91876225849921</v>
      </c>
      <c r="T110" s="59">
        <f t="shared" si="88"/>
        <v>368.64132082233505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110.8938819492223</v>
      </c>
      <c r="AA110" s="21">
        <f>EXP(-LN(2)/25)*AA109+(1-EXP(-LN(2)/25))/(LN(2)/25)*Calculateur!V110*Calculateur!X110*VLOOKUP('Données projet'!$B$9,Paramètres!$A$1:$I$89,3,0)*0.475*44/12</f>
        <v>27.516649503866162</v>
      </c>
      <c r="AB110" s="21">
        <f>EXP(-LN(2)/2)*AB109+(1-EXP(-LN(2)/2))/(LN(2)/2)*V110*Y110*VLOOKUP('Données projet'!$B$9,Paramètres!$A$1:$I$89,3,0)*0.475*44/12</f>
        <v>2.0366847330364899E-4</v>
      </c>
      <c r="AC110" s="22">
        <f t="shared" si="57"/>
        <v>138.41073512156177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67.501743949191237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-2.2737367544323206E-13</v>
      </c>
      <c r="AJ110" s="13">
        <f>AI110*VLOOKUP('Données projet'!$B$10,Paramètres!$A$1:$I$89,3,0)*VLOOKUP('Données projet'!$B$10,Paramètres!$A$1:$I$89,5,0)</f>
        <v>-1.064108801074326E-13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280.35802808205239</v>
      </c>
      <c r="AO110" s="59">
        <f t="shared" si="90"/>
        <v>249.32129349927175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36.765746043986432</v>
      </c>
      <c r="AV110" s="21">
        <f>EXP(-LN(2)/25)*AV109+(1-EXP(-LN(2)/25))/(LN(2)/25)*Calculateur!AQ110*Calculateur!AS110*VLOOKUP('Données projet'!$B$10,Paramètres!$A$1:$I$89,3,0)*0.475*44/12</f>
        <v>12.169249837302125</v>
      </c>
      <c r="AW110" s="21">
        <f>EXP(-LN(2)/2)*AW109+(1-EXP(-LN(2)/2))/(LN(2)/2)*AQ110*AT110*VLOOKUP('Données projet'!$B$10,Paramètres!$A$1:$I$89,3,0)*0.475*44/12</f>
        <v>1.1221428674384395E-6</v>
      </c>
      <c r="AX110" s="21">
        <f t="shared" si="60"/>
        <v>48.934997003431427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67.501743949191237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1.1368683772161603E-13</v>
      </c>
      <c r="BE110" s="13">
        <f>BD110*VLOOKUP('Données projet'!$B$11,Paramètres!$A$1:$I$89,3,0)*VLOOKUP('Données projet'!$B$11,Paramètres!$A$1:$I$89,5,0)</f>
        <v>5.0249582272954292E-14</v>
      </c>
      <c r="BF110" s="13">
        <f t="shared" si="91"/>
        <v>8.1784820119191593E-13</v>
      </c>
      <c r="BG110" s="20">
        <f t="shared" si="61"/>
        <v>1.5119369728679821E-12</v>
      </c>
      <c r="BH110" s="59">
        <f t="shared" si="62"/>
        <v>284.17306114703604</v>
      </c>
      <c r="BI110" s="59">
        <f ca="1">AVERAGE(OFFSET($BH$3,0,0,'Données projet'!$E$11+1,1))-AVERAGE(OFFSET($H$3,0,0,'Données projet'!$E$11+1,1))</f>
        <v>409.91320873873292</v>
      </c>
      <c r="BJ110" s="59">
        <f t="shared" si="92"/>
        <v>347.86310581860698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121.05364342300689</v>
      </c>
      <c r="BQ110" s="21">
        <f>EXP(-LN(2)/25)*BQ109+(1-EXP(-LN(2)/25))/(LN(2)/25)*Calculateur!BL110*Calculateur!BN110*VLOOKUP('Données projet'!$B$11,Paramètres!$A$1:$I$89,3,0)*0.475*44/12</f>
        <v>34.008843638326709</v>
      </c>
      <c r="BR110" s="21">
        <f>EXP(-LN(2)/2)*BR109+(1-EXP(-LN(2)/2))/(LN(2)/2)*BL110*BO110*VLOOKUP('Données projet'!$B$11,Paramètres!$A$1:$I$89,3,0)*0.475*44/12</f>
        <v>6.7848320889614634E-3</v>
      </c>
      <c r="BS110" s="22">
        <f t="shared" si="63"/>
        <v>155.06927189342255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67.501743949191237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67.501743949191237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67.501743949191237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67.501743949191237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67.501743949191237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67.501743949191237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67.501743949191237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3.25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11.916666666666666</v>
      </c>
      <c r="H111" s="67">
        <f t="shared" si="56"/>
        <v>209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67.545083106408981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5.6843418860808015E-13</v>
      </c>
      <c r="O111" s="13">
        <f>N111*VLOOKUP('Données projet'!$B$9,Paramètres!$A$1:$I$89,3,0)*VLOOKUP('Données projet'!$B$9,Paramètres!$A$1:$I$89,5,0)</f>
        <v>3.177547114319168E-13</v>
      </c>
      <c r="P111" s="13">
        <f t="shared" si="87"/>
        <v>4.1725404435445377E-12</v>
      </c>
      <c r="Q111" s="20">
        <f t="shared" si="107"/>
        <v>7.820597394917325E-12</v>
      </c>
      <c r="R111" s="59">
        <f t="shared" si="55"/>
        <v>284.33197139017409</v>
      </c>
      <c r="S111" s="59">
        <f ca="1">AVERAGE(OFFSET($R$3,0,0,'Données projet'!$E$9+1,1))-AVERAGE(OFFSET($H$3,0,0,'Données projet'!$E$9+1,1))</f>
        <v>399.91876225849921</v>
      </c>
      <c r="T111" s="59">
        <f t="shared" si="88"/>
        <v>368.64132082233505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108.71932056278729</v>
      </c>
      <c r="AA111" s="21">
        <f>EXP(-LN(2)/25)*AA110+(1-EXP(-LN(2)/25))/(LN(2)/25)*Calculateur!V111*Calculateur!X111*VLOOKUP('Données projet'!$B$9,Paramètres!$A$1:$I$89,3,0)*0.475*44/12</f>
        <v>26.764205276145233</v>
      </c>
      <c r="AB111" s="21">
        <f>EXP(-LN(2)/2)*AB110+(1-EXP(-LN(2)/2))/(LN(2)/2)*V111*Y111*VLOOKUP('Données projet'!$B$9,Paramètres!$A$1:$I$89,3,0)*0.475*44/12</f>
        <v>1.4401535858692152E-4</v>
      </c>
      <c r="AC111" s="22">
        <f t="shared" si="57"/>
        <v>135.48366985429109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67.545083106408981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-2.2737367544323206E-13</v>
      </c>
      <c r="AJ111" s="13">
        <f>AI111*VLOOKUP('Données projet'!$B$10,Paramètres!$A$1:$I$89,3,0)*VLOOKUP('Données projet'!$B$10,Paramètres!$A$1:$I$89,5,0)</f>
        <v>-1.064108801074326E-13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280.35802808205239</v>
      </c>
      <c r="AO111" s="59">
        <f t="shared" si="90"/>
        <v>249.32129349927175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36.044792188954673</v>
      </c>
      <c r="AV111" s="21">
        <f>EXP(-LN(2)/25)*AV110+(1-EXP(-LN(2)/25))/(LN(2)/25)*Calculateur!AQ111*Calculateur!AS111*VLOOKUP('Données projet'!$B$10,Paramètres!$A$1:$I$89,3,0)*0.475*44/12</f>
        <v>11.836481060548063</v>
      </c>
      <c r="AW111" s="21">
        <f>EXP(-LN(2)/2)*AW110+(1-EXP(-LN(2)/2))/(LN(2)/2)*AQ111*AT111*VLOOKUP('Données projet'!$B$10,Paramètres!$A$1:$I$89,3,0)*0.475*44/12</f>
        <v>7.9347483102583765E-7</v>
      </c>
      <c r="AX111" s="21">
        <f t="shared" si="60"/>
        <v>47.881274042977573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67.545083106408981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1.1368683772161603E-13</v>
      </c>
      <c r="BE111" s="13">
        <f>BD111*VLOOKUP('Données projet'!$B$11,Paramètres!$A$1:$I$89,3,0)*VLOOKUP('Données projet'!$B$11,Paramètres!$A$1:$I$89,5,0)</f>
        <v>5.0249582272954292E-14</v>
      </c>
      <c r="BF111" s="13">
        <f t="shared" si="91"/>
        <v>8.1784820119191593E-13</v>
      </c>
      <c r="BG111" s="20">
        <f t="shared" si="61"/>
        <v>1.5119369728679821E-12</v>
      </c>
      <c r="BH111" s="59">
        <f t="shared" si="62"/>
        <v>284.33197139016778</v>
      </c>
      <c r="BI111" s="59">
        <f ca="1">AVERAGE(OFFSET($BH$3,0,0,'Données projet'!$E$11+1,1))-AVERAGE(OFFSET($H$3,0,0,'Données projet'!$E$11+1,1))</f>
        <v>409.91320873873292</v>
      </c>
      <c r="BJ111" s="59">
        <f t="shared" si="92"/>
        <v>347.86310581860698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118.67985531091357</v>
      </c>
      <c r="BQ111" s="21">
        <f>EXP(-LN(2)/25)*BQ110+(1-EXP(-LN(2)/25))/(LN(2)/25)*Calculateur!BL111*Calculateur!BN111*VLOOKUP('Données projet'!$B$11,Paramètres!$A$1:$I$89,3,0)*0.475*44/12</f>
        <v>33.078870020589306</v>
      </c>
      <c r="BR111" s="21">
        <f>EXP(-LN(2)/2)*BR110+(1-EXP(-LN(2)/2))/(LN(2)/2)*BL111*BO111*VLOOKUP('Données projet'!$B$11,Paramètres!$A$1:$I$89,3,0)*0.475*44/12</f>
        <v>4.7976007793167396E-3</v>
      </c>
      <c r="BS111" s="22">
        <f t="shared" si="63"/>
        <v>151.7635229322822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67.545083106408981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67.545083106408981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67.545083106408981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67.545083106408981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67.545083106408981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67.545083106408981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67.545083106408981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3.25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11.916666666666666</v>
      </c>
      <c r="H112" s="67">
        <f t="shared" si="56"/>
        <v>209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67.587670426140818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5.6843418860808015E-13</v>
      </c>
      <c r="O112" s="13">
        <f>N112*VLOOKUP('Données projet'!$B$9,Paramètres!$A$1:$I$89,3,0)*VLOOKUP('Données projet'!$B$9,Paramètres!$A$1:$I$89,5,0)</f>
        <v>3.177547114319168E-13</v>
      </c>
      <c r="P112" s="13">
        <f t="shared" si="87"/>
        <v>4.1725404435445377E-12</v>
      </c>
      <c r="Q112" s="20">
        <f t="shared" si="107"/>
        <v>7.820597394917325E-12</v>
      </c>
      <c r="R112" s="59">
        <f t="shared" si="55"/>
        <v>284.48812489585754</v>
      </c>
      <c r="S112" s="59">
        <f ca="1">AVERAGE(OFFSET($R$3,0,0,'Données projet'!$E$9+1,1))-AVERAGE(OFFSET($H$3,0,0,'Données projet'!$E$9+1,1))</f>
        <v>399.91876225849921</v>
      </c>
      <c r="T112" s="59">
        <f t="shared" si="88"/>
        <v>368.64132082233505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106.58740099878878</v>
      </c>
      <c r="AA112" s="21">
        <f>EXP(-LN(2)/25)*AA111+(1-EXP(-LN(2)/25))/(LN(2)/25)*Calculateur!V112*Calculateur!X112*VLOOKUP('Données projet'!$B$9,Paramètres!$A$1:$I$89,3,0)*0.475*44/12</f>
        <v>26.032336675400657</v>
      </c>
      <c r="AB112" s="21">
        <f>EXP(-LN(2)/2)*AB111+(1-EXP(-LN(2)/2))/(LN(2)/2)*V112*Y112*VLOOKUP('Données projet'!$B$9,Paramètres!$A$1:$I$89,3,0)*0.475*44/12</f>
        <v>1.0183423665182449E-4</v>
      </c>
      <c r="AC112" s="22">
        <f t="shared" si="57"/>
        <v>132.61983950842608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67.587670426140818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-2.2737367544323206E-13</v>
      </c>
      <c r="AJ112" s="13">
        <f>AI112*VLOOKUP('Données projet'!$B$10,Paramètres!$A$1:$I$89,3,0)*VLOOKUP('Données projet'!$B$10,Paramètres!$A$1:$I$89,5,0)</f>
        <v>-1.064108801074326E-13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280.35802808205239</v>
      </c>
      <c r="AO112" s="59">
        <f t="shared" si="90"/>
        <v>249.32129349927175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35.337975799281651</v>
      </c>
      <c r="AV112" s="21">
        <f>EXP(-LN(2)/25)*AV111+(1-EXP(-LN(2)/25))/(LN(2)/25)*Calculateur!AQ112*Calculateur!AS112*VLOOKUP('Données projet'!$B$10,Paramètres!$A$1:$I$89,3,0)*0.475*44/12</f>
        <v>11.512811863493891</v>
      </c>
      <c r="AW112" s="21">
        <f>EXP(-LN(2)/2)*AW111+(1-EXP(-LN(2)/2))/(LN(2)/2)*AQ112*AT112*VLOOKUP('Données projet'!$B$10,Paramètres!$A$1:$I$89,3,0)*0.475*44/12</f>
        <v>5.6107143371921974E-7</v>
      </c>
      <c r="AX112" s="21">
        <f t="shared" si="60"/>
        <v>46.850788223846976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67.587670426140818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1.1368683772161603E-13</v>
      </c>
      <c r="BE112" s="13">
        <f>BD112*VLOOKUP('Données projet'!$B$11,Paramètres!$A$1:$I$89,3,0)*VLOOKUP('Données projet'!$B$11,Paramètres!$A$1:$I$89,5,0)</f>
        <v>5.0249582272954292E-14</v>
      </c>
      <c r="BF112" s="13">
        <f t="shared" si="91"/>
        <v>8.1784820119191593E-13</v>
      </c>
      <c r="BG112" s="20">
        <f t="shared" si="61"/>
        <v>1.5119369728679821E-12</v>
      </c>
      <c r="BH112" s="59">
        <f t="shared" si="62"/>
        <v>284.48812489585123</v>
      </c>
      <c r="BI112" s="59">
        <f ca="1">AVERAGE(OFFSET($BH$3,0,0,'Données projet'!$E$11+1,1))-AVERAGE(OFFSET($H$3,0,0,'Données projet'!$E$11+1,1))</f>
        <v>409.91320873873292</v>
      </c>
      <c r="BJ112" s="59">
        <f t="shared" si="92"/>
        <v>347.86310581860698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116.35261573583061</v>
      </c>
      <c r="BQ112" s="21">
        <f>EXP(-LN(2)/25)*BQ111+(1-EXP(-LN(2)/25))/(LN(2)/25)*Calculateur!BL112*Calculateur!BN112*VLOOKUP('Données projet'!$B$11,Paramètres!$A$1:$I$89,3,0)*0.475*44/12</f>
        <v>32.174326580334117</v>
      </c>
      <c r="BR112" s="21">
        <f>EXP(-LN(2)/2)*BR111+(1-EXP(-LN(2)/2))/(LN(2)/2)*BL112*BO112*VLOOKUP('Données projet'!$B$11,Paramètres!$A$1:$I$89,3,0)*0.475*44/12</f>
        <v>3.3924160444807317E-3</v>
      </c>
      <c r="BS112" s="22">
        <f t="shared" si="63"/>
        <v>148.53033473220921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67.587670426140818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67.587670426140818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67.587670426140818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67.587670426140818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67.587670426140818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67.587670426140818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67.587670426140818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3.25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11.916666666666666</v>
      </c>
      <c r="H113" s="67">
        <f t="shared" si="56"/>
        <v>209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67.629518951086311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5.6843418860808015E-13</v>
      </c>
      <c r="O113" s="13">
        <f>N113*VLOOKUP('Données projet'!$B$9,Paramètres!$A$1:$I$89,3,0)*VLOOKUP('Données projet'!$B$9,Paramètres!$A$1:$I$89,5,0)</f>
        <v>3.177547114319168E-13</v>
      </c>
      <c r="P113" s="13">
        <f t="shared" si="87"/>
        <v>4.1725404435445377E-12</v>
      </c>
      <c r="Q113" s="20">
        <f t="shared" si="107"/>
        <v>7.820597394917325E-12</v>
      </c>
      <c r="R113" s="59">
        <f t="shared" si="55"/>
        <v>284.64156948732432</v>
      </c>
      <c r="S113" s="59">
        <f ca="1">AVERAGE(OFFSET($R$3,0,0,'Données projet'!$E$9+1,1))-AVERAGE(OFFSET($H$3,0,0,'Données projet'!$E$9+1,1))</f>
        <v>399.91876225849921</v>
      </c>
      <c r="T113" s="59">
        <f t="shared" si="88"/>
        <v>368.64132082233505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104.49728707709775</v>
      </c>
      <c r="AA113" s="21">
        <f>EXP(-LN(2)/25)*AA112+(1-EXP(-LN(2)/25))/(LN(2)/25)*Calculateur!V113*Calculateur!X113*VLOOKUP('Données projet'!$B$9,Paramètres!$A$1:$I$89,3,0)*0.475*44/12</f>
        <v>25.320481060030737</v>
      </c>
      <c r="AB113" s="21">
        <f>EXP(-LN(2)/2)*AB112+(1-EXP(-LN(2)/2))/(LN(2)/2)*V113*Y113*VLOOKUP('Données projet'!$B$9,Paramètres!$A$1:$I$89,3,0)*0.475*44/12</f>
        <v>7.2007679293460759E-5</v>
      </c>
      <c r="AC113" s="22">
        <f t="shared" si="57"/>
        <v>129.8178401448078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67.629518951086311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-2.2737367544323206E-13</v>
      </c>
      <c r="AJ113" s="13">
        <f>AI113*VLOOKUP('Données projet'!$B$10,Paramètres!$A$1:$I$89,3,0)*VLOOKUP('Données projet'!$B$10,Paramètres!$A$1:$I$89,5,0)</f>
        <v>-1.064108801074326E-13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280.35802808205239</v>
      </c>
      <c r="AO113" s="59">
        <f t="shared" si="90"/>
        <v>249.32129349927175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34.645019647894692</v>
      </c>
      <c r="AV113" s="21">
        <f>EXP(-LN(2)/25)*AV112+(1-EXP(-LN(2)/25))/(LN(2)/25)*Calculateur!AQ113*Calculateur!AS113*VLOOKUP('Données projet'!$B$10,Paramètres!$A$1:$I$89,3,0)*0.475*44/12</f>
        <v>11.197993417654187</v>
      </c>
      <c r="AW113" s="21">
        <f>EXP(-LN(2)/2)*AW112+(1-EXP(-LN(2)/2))/(LN(2)/2)*AQ113*AT113*VLOOKUP('Données projet'!$B$10,Paramètres!$A$1:$I$89,3,0)*0.475*44/12</f>
        <v>3.9673741551291883E-7</v>
      </c>
      <c r="AX113" s="21">
        <f t="shared" si="60"/>
        <v>45.843013462286294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67.629518951086311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1.1368683772161603E-13</v>
      </c>
      <c r="BE113" s="13">
        <f>BD113*VLOOKUP('Données projet'!$B$11,Paramètres!$A$1:$I$89,3,0)*VLOOKUP('Données projet'!$B$11,Paramètres!$A$1:$I$89,5,0)</f>
        <v>5.0249582272954292E-14</v>
      </c>
      <c r="BF113" s="13">
        <f t="shared" si="91"/>
        <v>8.1784820119191593E-13</v>
      </c>
      <c r="BG113" s="20">
        <f t="shared" si="61"/>
        <v>1.5119369728679821E-12</v>
      </c>
      <c r="BH113" s="59">
        <f t="shared" si="62"/>
        <v>284.64156948731801</v>
      </c>
      <c r="BI113" s="59">
        <f ca="1">AVERAGE(OFFSET($BH$3,0,0,'Données projet'!$E$11+1,1))-AVERAGE(OFFSET($H$3,0,0,'Données projet'!$E$11+1,1))</f>
        <v>409.91320873873292</v>
      </c>
      <c r="BJ113" s="59">
        <f t="shared" si="92"/>
        <v>347.86310581860698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114.07101190933905</v>
      </c>
      <c r="BQ113" s="21">
        <f>EXP(-LN(2)/25)*BQ112+(1-EXP(-LN(2)/25))/(LN(2)/25)*Calculateur!BL113*Calculateur!BN113*VLOOKUP('Données projet'!$B$11,Paramètres!$A$1:$I$89,3,0)*0.475*44/12</f>
        <v>31.294517928020582</v>
      </c>
      <c r="BR113" s="21">
        <f>EXP(-LN(2)/2)*BR112+(1-EXP(-LN(2)/2))/(LN(2)/2)*BL113*BO113*VLOOKUP('Données projet'!$B$11,Paramètres!$A$1:$I$89,3,0)*0.475*44/12</f>
        <v>2.3988003896583698E-3</v>
      </c>
      <c r="BS113" s="22">
        <f t="shared" si="63"/>
        <v>145.36792863774932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67.629518951086311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67.629518951086311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67.629518951086311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67.629518951086311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67.629518951086311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67.629518951086311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67.629518951086311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3.25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11.916666666666666</v>
      </c>
      <c r="H114" s="67">
        <f t="shared" si="56"/>
        <v>209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67.670641497683278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5.6843418860808015E-13</v>
      </c>
      <c r="O114" s="13">
        <f>N114*VLOOKUP('Données projet'!$B$9,Paramètres!$A$1:$I$89,3,0)*VLOOKUP('Données projet'!$B$9,Paramètres!$A$1:$I$89,5,0)</f>
        <v>3.177547114319168E-13</v>
      </c>
      <c r="P114" s="13">
        <f t="shared" si="87"/>
        <v>4.1725404435445377E-12</v>
      </c>
      <c r="Q114" s="20">
        <f t="shared" si="107"/>
        <v>7.820597394917325E-12</v>
      </c>
      <c r="R114" s="59">
        <f t="shared" si="55"/>
        <v>284.79235215817988</v>
      </c>
      <c r="S114" s="59">
        <f ca="1">AVERAGE(OFFSET($R$3,0,0,'Données projet'!$E$9+1,1))-AVERAGE(OFFSET($H$3,0,0,'Données projet'!$E$9+1,1))</f>
        <v>399.91876225849921</v>
      </c>
      <c r="T114" s="59">
        <f t="shared" si="88"/>
        <v>368.64132082233505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102.44815901456747</v>
      </c>
      <c r="AA114" s="21">
        <f>EXP(-LN(2)/25)*AA113+(1-EXP(-LN(2)/25))/(LN(2)/25)*Calculateur!V114*Calculateur!X114*VLOOKUP('Données projet'!$B$9,Paramètres!$A$1:$I$89,3,0)*0.475*44/12</f>
        <v>24.628091173897968</v>
      </c>
      <c r="AB114" s="21">
        <f>EXP(-LN(2)/2)*AB113+(1-EXP(-LN(2)/2))/(LN(2)/2)*V114*Y114*VLOOKUP('Données projet'!$B$9,Paramètres!$A$1:$I$89,3,0)*0.475*44/12</f>
        <v>5.0917118325912247E-5</v>
      </c>
      <c r="AC114" s="22">
        <f t="shared" si="57"/>
        <v>127.07630110558377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67.670641497683278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-2.2737367544323206E-13</v>
      </c>
      <c r="AJ114" s="13">
        <f>AI114*VLOOKUP('Données projet'!$B$10,Paramètres!$A$1:$I$89,3,0)*VLOOKUP('Données projet'!$B$10,Paramètres!$A$1:$I$89,5,0)</f>
        <v>-1.064108801074326E-13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280.35802808205239</v>
      </c>
      <c r="AO114" s="59">
        <f t="shared" si="90"/>
        <v>249.32129349927175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33.965651943974912</v>
      </c>
      <c r="AV114" s="21">
        <f>EXP(-LN(2)/25)*AV113+(1-EXP(-LN(2)/25))/(LN(2)/25)*Calculateur!AQ114*Calculateur!AS114*VLOOKUP('Données projet'!$B$10,Paramètres!$A$1:$I$89,3,0)*0.475*44/12</f>
        <v>10.891783698771553</v>
      </c>
      <c r="AW114" s="21">
        <f>EXP(-LN(2)/2)*AW113+(1-EXP(-LN(2)/2))/(LN(2)/2)*AQ114*AT114*VLOOKUP('Données projet'!$B$10,Paramètres!$A$1:$I$89,3,0)*0.475*44/12</f>
        <v>2.8053571685960987E-7</v>
      </c>
      <c r="AX114" s="21">
        <f t="shared" si="60"/>
        <v>44.857435923282182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67.670641497683278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1.1368683772161603E-13</v>
      </c>
      <c r="BE114" s="13">
        <f>BD114*VLOOKUP('Données projet'!$B$11,Paramètres!$A$1:$I$89,3,0)*VLOOKUP('Données projet'!$B$11,Paramètres!$A$1:$I$89,5,0)</f>
        <v>5.0249582272954292E-14</v>
      </c>
      <c r="BF114" s="13">
        <f t="shared" si="91"/>
        <v>8.1784820119191593E-13</v>
      </c>
      <c r="BG114" s="20">
        <f t="shared" si="61"/>
        <v>1.5119369728679821E-12</v>
      </c>
      <c r="BH114" s="59">
        <f t="shared" si="62"/>
        <v>284.79235215817357</v>
      </c>
      <c r="BI114" s="59">
        <f ca="1">AVERAGE(OFFSET($BH$3,0,0,'Données projet'!$E$11+1,1))-AVERAGE(OFFSET($H$3,0,0,'Données projet'!$E$11+1,1))</f>
        <v>409.91320873873292</v>
      </c>
      <c r="BJ114" s="59">
        <f t="shared" si="92"/>
        <v>347.86310581860698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111.83414894224407</v>
      </c>
      <c r="BQ114" s="21">
        <f>EXP(-LN(2)/25)*BQ113+(1-EXP(-LN(2)/25))/(LN(2)/25)*Calculateur!BL114*Calculateur!BN114*VLOOKUP('Données projet'!$B$11,Paramètres!$A$1:$I$89,3,0)*0.475*44/12</f>
        <v>30.438767689571687</v>
      </c>
      <c r="BR114" s="21">
        <f>EXP(-LN(2)/2)*BR113+(1-EXP(-LN(2)/2))/(LN(2)/2)*BL114*BO114*VLOOKUP('Données projet'!$B$11,Paramètres!$A$1:$I$89,3,0)*0.475*44/12</f>
        <v>1.6962080222403658E-3</v>
      </c>
      <c r="BS114" s="22">
        <f t="shared" si="63"/>
        <v>142.274612839838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67.670641497683278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67.670641497683278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67.670641497683278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67.670641497683278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67.670641497683278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67.670641497683278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67.670641497683278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3.25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11.916666666666666</v>
      </c>
      <c r="H115" s="67">
        <f t="shared" si="56"/>
        <v>209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67.711050660033024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5.6843418860808015E-13</v>
      </c>
      <c r="O115" s="13">
        <f>N115*VLOOKUP('Données projet'!$B$9,Paramètres!$A$1:$I$89,3,0)*VLOOKUP('Données projet'!$B$9,Paramètres!$A$1:$I$89,5,0)</f>
        <v>3.177547114319168E-13</v>
      </c>
      <c r="P115" s="13">
        <f t="shared" si="87"/>
        <v>4.1725404435445377E-12</v>
      </c>
      <c r="Q115" s="20">
        <f t="shared" si="107"/>
        <v>7.820597394917325E-12</v>
      </c>
      <c r="R115" s="59">
        <f t="shared" si="55"/>
        <v>284.94051908679563</v>
      </c>
      <c r="S115" s="59">
        <f ca="1">AVERAGE(OFFSET($R$3,0,0,'Données projet'!$E$9+1,1))-AVERAGE(OFFSET($H$3,0,0,'Données projet'!$E$9+1,1))</f>
        <v>399.91876225849921</v>
      </c>
      <c r="T115" s="59">
        <f t="shared" si="88"/>
        <v>368.64132082233505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100.4392131034987</v>
      </c>
      <c r="AA115" s="21">
        <f>EXP(-LN(2)/25)*AA114+(1-EXP(-LN(2)/25))/(LN(2)/25)*Calculateur!V115*Calculateur!X115*VLOOKUP('Données projet'!$B$9,Paramètres!$A$1:$I$89,3,0)*0.475*44/12</f>
        <v>23.954634725612703</v>
      </c>
      <c r="AB115" s="21">
        <f>EXP(-LN(2)/2)*AB114+(1-EXP(-LN(2)/2))/(LN(2)/2)*V115*Y115*VLOOKUP('Données projet'!$B$9,Paramètres!$A$1:$I$89,3,0)*0.475*44/12</f>
        <v>3.600383964673038E-5</v>
      </c>
      <c r="AC115" s="22">
        <f t="shared" si="57"/>
        <v>124.39388383295106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67.711050660033024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-2.2737367544323206E-13</v>
      </c>
      <c r="AJ115" s="13">
        <f>AI115*VLOOKUP('Données projet'!$B$10,Paramètres!$A$1:$I$89,3,0)*VLOOKUP('Données projet'!$B$10,Paramètres!$A$1:$I$89,5,0)</f>
        <v>-1.064108801074326E-13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280.35802808205239</v>
      </c>
      <c r="AO115" s="59">
        <f t="shared" si="90"/>
        <v>249.32129349927175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33.299606226355614</v>
      </c>
      <c r="AV115" s="21">
        <f>EXP(-LN(2)/25)*AV114+(1-EXP(-LN(2)/25))/(LN(2)/25)*Calculateur!AQ115*Calculateur!AS115*VLOOKUP('Données projet'!$B$10,Paramètres!$A$1:$I$89,3,0)*0.475*44/12</f>
        <v>10.593947300754634</v>
      </c>
      <c r="AW115" s="21">
        <f>EXP(-LN(2)/2)*AW114+(1-EXP(-LN(2)/2))/(LN(2)/2)*AQ115*AT115*VLOOKUP('Données projet'!$B$10,Paramètres!$A$1:$I$89,3,0)*0.475*44/12</f>
        <v>1.9836870775645941E-7</v>
      </c>
      <c r="AX115" s="21">
        <f t="shared" si="60"/>
        <v>43.893553725478959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67.711050660033024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1.1368683772161603E-13</v>
      </c>
      <c r="BE115" s="13">
        <f>BD115*VLOOKUP('Données projet'!$B$11,Paramètres!$A$1:$I$89,3,0)*VLOOKUP('Données projet'!$B$11,Paramètres!$A$1:$I$89,5,0)</f>
        <v>5.0249582272954292E-14</v>
      </c>
      <c r="BF115" s="13">
        <f t="shared" si="91"/>
        <v>8.1784820119191593E-13</v>
      </c>
      <c r="BG115" s="20">
        <f t="shared" si="61"/>
        <v>1.5119369728679821E-12</v>
      </c>
      <c r="BH115" s="59">
        <f t="shared" si="62"/>
        <v>284.94051908678932</v>
      </c>
      <c r="BI115" s="59">
        <f ca="1">AVERAGE(OFFSET($BH$3,0,0,'Données projet'!$E$11+1,1))-AVERAGE(OFFSET($H$3,0,0,'Données projet'!$E$11+1,1))</f>
        <v>409.91320873873292</v>
      </c>
      <c r="BJ115" s="59">
        <f t="shared" si="92"/>
        <v>347.86310581860698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109.64114949358213</v>
      </c>
      <c r="BQ115" s="21">
        <f>EXP(-LN(2)/25)*BQ114+(1-EXP(-LN(2)/25))/(LN(2)/25)*Calculateur!BL115*Calculateur!BN115*VLOOKUP('Données projet'!$B$11,Paramètres!$A$1:$I$89,3,0)*0.475*44/12</f>
        <v>29.606417986395126</v>
      </c>
      <c r="BR115" s="21">
        <f>EXP(-LN(2)/2)*BR114+(1-EXP(-LN(2)/2))/(LN(2)/2)*BL115*BO115*VLOOKUP('Données projet'!$B$11,Paramètres!$A$1:$I$89,3,0)*0.475*44/12</f>
        <v>1.1994001948291849E-3</v>
      </c>
      <c r="BS115" s="22">
        <f t="shared" si="63"/>
        <v>139.24876688017207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67.711050660033024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67.711050660033024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67.711050660033024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67.711050660033024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67.711050660033024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67.711050660033024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67.711050660033024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3.25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11.916666666666666</v>
      </c>
      <c r="H116" s="67">
        <f t="shared" si="56"/>
        <v>209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67.750758813757358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5.6843418860808015E-13</v>
      </c>
      <c r="O116" s="13">
        <f>N116*VLOOKUP('Données projet'!$B$9,Paramètres!$A$1:$I$89,3,0)*VLOOKUP('Données projet'!$B$9,Paramètres!$A$1:$I$89,5,0)</f>
        <v>3.177547114319168E-13</v>
      </c>
      <c r="P116" s="13">
        <f t="shared" si="87"/>
        <v>4.1725404435445377E-12</v>
      </c>
      <c r="Q116" s="20">
        <f t="shared" si="107"/>
        <v>7.820597394917325E-12</v>
      </c>
      <c r="R116" s="59">
        <f t="shared" si="55"/>
        <v>285.08611565045152</v>
      </c>
      <c r="S116" s="59">
        <f ca="1">AVERAGE(OFFSET($R$3,0,0,'Données projet'!$E$9+1,1))-AVERAGE(OFFSET($H$3,0,0,'Données projet'!$E$9+1,1))</f>
        <v>399.91876225849921</v>
      </c>
      <c r="T116" s="59">
        <f t="shared" si="88"/>
        <v>368.64132082233505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98.469661396409975</v>
      </c>
      <c r="AA116" s="21">
        <f>EXP(-LN(2)/25)*AA115+(1-EXP(-LN(2)/25))/(LN(2)/25)*Calculateur!V116*Calculateur!X116*VLOOKUP('Données projet'!$B$9,Paramètres!$A$1:$I$89,3,0)*0.475*44/12</f>
        <v>23.299593979321333</v>
      </c>
      <c r="AB116" s="21">
        <f>EXP(-LN(2)/2)*AB115+(1-EXP(-LN(2)/2))/(LN(2)/2)*V116*Y116*VLOOKUP('Données projet'!$B$9,Paramètres!$A$1:$I$89,3,0)*0.475*44/12</f>
        <v>2.5458559162956124E-5</v>
      </c>
      <c r="AC116" s="22">
        <f t="shared" si="57"/>
        <v>121.76928083429047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67.750758813757358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-2.2737367544323206E-13</v>
      </c>
      <c r="AJ116" s="13">
        <f>AI116*VLOOKUP('Données projet'!$B$10,Paramètres!$A$1:$I$89,3,0)*VLOOKUP('Données projet'!$B$10,Paramètres!$A$1:$I$89,5,0)</f>
        <v>-1.064108801074326E-13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280.35802808205239</v>
      </c>
      <c r="AO116" s="59">
        <f t="shared" si="90"/>
        <v>249.32129349927175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32.646621259011056</v>
      </c>
      <c r="AV116" s="21">
        <f>EXP(-LN(2)/25)*AV115+(1-EXP(-LN(2)/25))/(LN(2)/25)*Calculateur!AQ116*Calculateur!AS116*VLOOKUP('Données projet'!$B$10,Paramètres!$A$1:$I$89,3,0)*0.475*44/12</f>
        <v>10.304255254704023</v>
      </c>
      <c r="AW116" s="21">
        <f>EXP(-LN(2)/2)*AW115+(1-EXP(-LN(2)/2))/(LN(2)/2)*AQ116*AT116*VLOOKUP('Données projet'!$B$10,Paramètres!$A$1:$I$89,3,0)*0.475*44/12</f>
        <v>1.4026785842980494E-7</v>
      </c>
      <c r="AX116" s="21">
        <f t="shared" si="60"/>
        <v>42.950876653982938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67.750758813757358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1.1368683772161603E-13</v>
      </c>
      <c r="BE116" s="13">
        <f>BD116*VLOOKUP('Données projet'!$B$11,Paramètres!$A$1:$I$89,3,0)*VLOOKUP('Données projet'!$B$11,Paramètres!$A$1:$I$89,5,0)</f>
        <v>5.0249582272954292E-14</v>
      </c>
      <c r="BF116" s="13">
        <f t="shared" si="91"/>
        <v>8.1784820119191593E-13</v>
      </c>
      <c r="BG116" s="20">
        <f t="shared" si="61"/>
        <v>1.5119369728679821E-12</v>
      </c>
      <c r="BH116" s="59">
        <f t="shared" si="62"/>
        <v>285.08611565044521</v>
      </c>
      <c r="BI116" s="59">
        <f ca="1">AVERAGE(OFFSET($BH$3,0,0,'Données projet'!$E$11+1,1))-AVERAGE(OFFSET($H$3,0,0,'Données projet'!$E$11+1,1))</f>
        <v>409.91320873873292</v>
      </c>
      <c r="BJ116" s="59">
        <f t="shared" si="92"/>
        <v>347.86310581860698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107.49115342651088</v>
      </c>
      <c r="BQ116" s="21">
        <f>EXP(-LN(2)/25)*BQ115+(1-EXP(-LN(2)/25))/(LN(2)/25)*Calculateur!BL116*Calculateur!BN116*VLOOKUP('Données projet'!$B$11,Paramètres!$A$1:$I$89,3,0)*0.475*44/12</f>
        <v>28.796828929623295</v>
      </c>
      <c r="BR116" s="21">
        <f>EXP(-LN(2)/2)*BR115+(1-EXP(-LN(2)/2))/(LN(2)/2)*BL116*BO116*VLOOKUP('Données projet'!$B$11,Paramètres!$A$1:$I$89,3,0)*0.475*44/12</f>
        <v>8.4810401112018292E-4</v>
      </c>
      <c r="BS116" s="22">
        <f t="shared" si="63"/>
        <v>136.28883046014528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67.750758813757358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67.750758813757358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67.750758813757358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67.750758813757358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67.750758813757358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67.750758813757358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67.750758813757358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3.25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11.916666666666666</v>
      </c>
      <c r="H117" s="67">
        <f t="shared" si="56"/>
        <v>209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67.789778119788707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5.6843418860808015E-13</v>
      </c>
      <c r="O117" s="13">
        <f>N117*VLOOKUP('Données projet'!$B$9,Paramètres!$A$1:$I$89,3,0)*VLOOKUP('Données projet'!$B$9,Paramètres!$A$1:$I$89,5,0)</f>
        <v>3.177547114319168E-13</v>
      </c>
      <c r="P117" s="13">
        <f t="shared" si="87"/>
        <v>4.1725404435445377E-12</v>
      </c>
      <c r="Q117" s="20">
        <f t="shared" si="107"/>
        <v>7.820597394917325E-12</v>
      </c>
      <c r="R117" s="59">
        <f t="shared" si="55"/>
        <v>285.2291864392331</v>
      </c>
      <c r="S117" s="59">
        <f ca="1">AVERAGE(OFFSET($R$3,0,0,'Données projet'!$E$9+1,1))-AVERAGE(OFFSET($H$3,0,0,'Données projet'!$E$9+1,1))</f>
        <v>399.91876225849921</v>
      </c>
      <c r="T117" s="59">
        <f t="shared" si="88"/>
        <v>368.64132082233505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96.538731396989334</v>
      </c>
      <c r="AA117" s="21">
        <f>EXP(-LN(2)/25)*AA116+(1-EXP(-LN(2)/25))/(LN(2)/25)*Calculateur!V117*Calculateur!X117*VLOOKUP('Données projet'!$B$9,Paramètres!$A$1:$I$89,3,0)*0.475*44/12</f>
        <v>22.662465356684397</v>
      </c>
      <c r="AB117" s="21">
        <f>EXP(-LN(2)/2)*AB116+(1-EXP(-LN(2)/2))/(LN(2)/2)*V117*Y117*VLOOKUP('Données projet'!$B$9,Paramètres!$A$1:$I$89,3,0)*0.475*44/12</f>
        <v>1.800191982336519E-5</v>
      </c>
      <c r="AC117" s="22">
        <f t="shared" si="57"/>
        <v>119.20121475559355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67.789778119788707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-2.2737367544323206E-13</v>
      </c>
      <c r="AJ117" s="13">
        <f>AI117*VLOOKUP('Données projet'!$B$10,Paramètres!$A$1:$I$89,3,0)*VLOOKUP('Données projet'!$B$10,Paramètres!$A$1:$I$89,5,0)</f>
        <v>-1.064108801074326E-13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280.35802808205239</v>
      </c>
      <c r="AO117" s="59">
        <f t="shared" si="90"/>
        <v>249.32129349927175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32.006440928594621</v>
      </c>
      <c r="AV117" s="21">
        <f>EXP(-LN(2)/25)*AV116+(1-EXP(-LN(2)/25))/(LN(2)/25)*Calculateur!AQ117*Calculateur!AS117*VLOOKUP('Données projet'!$B$10,Paramètres!$A$1:$I$89,3,0)*0.475*44/12</f>
        <v>10.022484852886908</v>
      </c>
      <c r="AW117" s="21">
        <f>EXP(-LN(2)/2)*AW116+(1-EXP(-LN(2)/2))/(LN(2)/2)*AQ117*AT117*VLOOKUP('Données projet'!$B$10,Paramètres!$A$1:$I$89,3,0)*0.475*44/12</f>
        <v>9.9184353878229707E-8</v>
      </c>
      <c r="AX117" s="21">
        <f t="shared" si="60"/>
        <v>42.028925880665888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67.789778119788707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1.1368683772161603E-13</v>
      </c>
      <c r="BE117" s="13">
        <f>BD117*VLOOKUP('Données projet'!$B$11,Paramètres!$A$1:$I$89,3,0)*VLOOKUP('Données projet'!$B$11,Paramètres!$A$1:$I$89,5,0)</f>
        <v>5.0249582272954292E-14</v>
      </c>
      <c r="BF117" s="13">
        <f t="shared" si="91"/>
        <v>8.1784820119191593E-13</v>
      </c>
      <c r="BG117" s="20">
        <f t="shared" si="61"/>
        <v>1.5119369728679821E-12</v>
      </c>
      <c r="BH117" s="59">
        <f t="shared" si="62"/>
        <v>285.22918643922679</v>
      </c>
      <c r="BI117" s="59">
        <f ca="1">AVERAGE(OFFSET($BH$3,0,0,'Données projet'!$E$11+1,1))-AVERAGE(OFFSET($H$3,0,0,'Données projet'!$E$11+1,1))</f>
        <v>409.91320873873292</v>
      </c>
      <c r="BJ117" s="59">
        <f t="shared" si="92"/>
        <v>347.86310581860698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105.38331747094676</v>
      </c>
      <c r="BQ117" s="21">
        <f>EXP(-LN(2)/25)*BQ116+(1-EXP(-LN(2)/25))/(LN(2)/25)*Calculateur!BL117*Calculateur!BN117*VLOOKUP('Données projet'!$B$11,Paramètres!$A$1:$I$89,3,0)*0.475*44/12</f>
        <v>28.009378128183329</v>
      </c>
      <c r="BR117" s="21">
        <f>EXP(-LN(2)/2)*BR116+(1-EXP(-LN(2)/2))/(LN(2)/2)*BL117*BO117*VLOOKUP('Données projet'!$B$11,Paramètres!$A$1:$I$89,3,0)*0.475*44/12</f>
        <v>5.9970009741459245E-4</v>
      </c>
      <c r="BS117" s="22">
        <f t="shared" si="63"/>
        <v>133.3932952992275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67.789778119788707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67.789778119788707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67.789778119788707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67.789778119788707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67.789778119788707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67.789778119788707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67.789778119788707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3.25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11.916666666666666</v>
      </c>
      <c r="H118" s="67">
        <f t="shared" si="56"/>
        <v>209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67.828120528094502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5.6843418860808015E-13</v>
      </c>
      <c r="O118" s="13">
        <f>N118*VLOOKUP('Données projet'!$B$9,Paramètres!$A$1:$I$89,3,0)*VLOOKUP('Données projet'!$B$9,Paramètres!$A$1:$I$89,5,0)</f>
        <v>3.177547114319168E-13</v>
      </c>
      <c r="P118" s="13">
        <f t="shared" si="87"/>
        <v>4.1725404435445377E-12</v>
      </c>
      <c r="Q118" s="20">
        <f t="shared" si="107"/>
        <v>7.820597394917325E-12</v>
      </c>
      <c r="R118" s="59">
        <f t="shared" si="55"/>
        <v>285.36977526968769</v>
      </c>
      <c r="S118" s="59">
        <f ca="1">AVERAGE(OFFSET($R$3,0,0,'Données projet'!$E$9+1,1))-AVERAGE(OFFSET($H$3,0,0,'Données projet'!$E$9+1,1))</f>
        <v>399.91876225849921</v>
      </c>
      <c r="T118" s="59">
        <f t="shared" si="88"/>
        <v>368.64132082233505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94.645665757106329</v>
      </c>
      <c r="AA118" s="21">
        <f>EXP(-LN(2)/25)*AA117+(1-EXP(-LN(2)/25))/(LN(2)/25)*Calculateur!V118*Calculateur!X118*VLOOKUP('Données projet'!$B$9,Paramètres!$A$1:$I$89,3,0)*0.475*44/12</f>
        <v>22.042759049738606</v>
      </c>
      <c r="AB118" s="21">
        <f>EXP(-LN(2)/2)*AB117+(1-EXP(-LN(2)/2))/(LN(2)/2)*V118*Y118*VLOOKUP('Données projet'!$B$9,Paramètres!$A$1:$I$89,3,0)*0.475*44/12</f>
        <v>1.2729279581478062E-5</v>
      </c>
      <c r="AC118" s="22">
        <f t="shared" si="57"/>
        <v>116.68843753612451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67.828120528094502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-2.2737367544323206E-13</v>
      </c>
      <c r="AJ118" s="13">
        <f>AI118*VLOOKUP('Données projet'!$B$10,Paramètres!$A$1:$I$89,3,0)*VLOOKUP('Données projet'!$B$10,Paramètres!$A$1:$I$89,5,0)</f>
        <v>-1.064108801074326E-13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280.35802808205239</v>
      </c>
      <c r="AO118" s="59">
        <f t="shared" si="90"/>
        <v>249.32129349927175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31.378814143986208</v>
      </c>
      <c r="AV118" s="21">
        <f>EXP(-LN(2)/25)*AV117+(1-EXP(-LN(2)/25))/(LN(2)/25)*Calculateur!AQ118*Calculateur!AS118*VLOOKUP('Données projet'!$B$10,Paramètres!$A$1:$I$89,3,0)*0.475*44/12</f>
        <v>9.7484194775251432</v>
      </c>
      <c r="AW118" s="21">
        <f>EXP(-LN(2)/2)*AW117+(1-EXP(-LN(2)/2))/(LN(2)/2)*AQ118*AT118*VLOOKUP('Données projet'!$B$10,Paramètres!$A$1:$I$89,3,0)*0.475*44/12</f>
        <v>7.0133929214902468E-8</v>
      </c>
      <c r="AX118" s="21">
        <f t="shared" si="60"/>
        <v>41.12723369164528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67.828120528094502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1.1368683772161603E-13</v>
      </c>
      <c r="BE118" s="13">
        <f>BD118*VLOOKUP('Données projet'!$B$11,Paramètres!$A$1:$I$89,3,0)*VLOOKUP('Données projet'!$B$11,Paramètres!$A$1:$I$89,5,0)</f>
        <v>5.0249582272954292E-14</v>
      </c>
      <c r="BF118" s="13">
        <f t="shared" si="91"/>
        <v>8.1784820119191593E-13</v>
      </c>
      <c r="BG118" s="20">
        <f t="shared" si="61"/>
        <v>1.5119369728679821E-12</v>
      </c>
      <c r="BH118" s="59">
        <f t="shared" si="62"/>
        <v>285.36977526968138</v>
      </c>
      <c r="BI118" s="59">
        <f ca="1">AVERAGE(OFFSET($BH$3,0,0,'Données projet'!$E$11+1,1))-AVERAGE(OFFSET($H$3,0,0,'Données projet'!$E$11+1,1))</f>
        <v>409.91320873873292</v>
      </c>
      <c r="BJ118" s="59">
        <f t="shared" si="92"/>
        <v>347.86310581860698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103.31681489281829</v>
      </c>
      <c r="BQ118" s="21">
        <f>EXP(-LN(2)/25)*BQ117+(1-EXP(-LN(2)/25))/(LN(2)/25)*Calculateur!BL118*Calculateur!BN118*VLOOKUP('Données projet'!$B$11,Paramètres!$A$1:$I$89,3,0)*0.475*44/12</f>
        <v>27.243460210318975</v>
      </c>
      <c r="BR118" s="21">
        <f>EXP(-LN(2)/2)*BR117+(1-EXP(-LN(2)/2))/(LN(2)/2)*BL118*BO118*VLOOKUP('Données projet'!$B$11,Paramètres!$A$1:$I$89,3,0)*0.475*44/12</f>
        <v>4.2405200556009146E-4</v>
      </c>
      <c r="BS118" s="22">
        <f t="shared" si="63"/>
        <v>130.56069915514283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67.828120528094502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67.828120528094502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67.828120528094502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67.828120528094502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67.828120528094502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67.828120528094502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67.828120528094502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3.25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11.916666666666666</v>
      </c>
      <c r="H119" s="67">
        <f t="shared" si="56"/>
        <v>209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67.865797781336994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5.6843418860808015E-13</v>
      </c>
      <c r="O119" s="13">
        <f>N119*VLOOKUP('Données projet'!$B$9,Paramètres!$A$1:$I$89,3,0)*VLOOKUP('Données projet'!$B$9,Paramètres!$A$1:$I$89,5,0)</f>
        <v>3.177547114319168E-13</v>
      </c>
      <c r="P119" s="13">
        <f t="shared" si="87"/>
        <v>4.1725404435445377E-12</v>
      </c>
      <c r="Q119" s="20">
        <f t="shared" si="107"/>
        <v>7.820597394917325E-12</v>
      </c>
      <c r="R119" s="59">
        <f t="shared" si="55"/>
        <v>285.50792519824347</v>
      </c>
      <c r="S119" s="59">
        <f ca="1">AVERAGE(OFFSET($R$3,0,0,'Données projet'!$E$9+1,1))-AVERAGE(OFFSET($H$3,0,0,'Données projet'!$E$9+1,1))</f>
        <v>399.91876225849921</v>
      </c>
      <c r="T119" s="59">
        <f t="shared" si="88"/>
        <v>368.64132082233505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92.789721979765403</v>
      </c>
      <c r="AA119" s="21">
        <f>EXP(-LN(2)/25)*AA118+(1-EXP(-LN(2)/25))/(LN(2)/25)*Calculateur!V119*Calculateur!X119*VLOOKUP('Données projet'!$B$9,Paramètres!$A$1:$I$89,3,0)*0.475*44/12</f>
        <v>21.439998644345184</v>
      </c>
      <c r="AB119" s="21">
        <f>EXP(-LN(2)/2)*AB118+(1-EXP(-LN(2)/2))/(LN(2)/2)*V119*Y119*VLOOKUP('Données projet'!$B$9,Paramètres!$A$1:$I$89,3,0)*0.475*44/12</f>
        <v>9.0009599116825949E-6</v>
      </c>
      <c r="AC119" s="22">
        <f t="shared" si="57"/>
        <v>114.22972962507049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67.865797781336994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-2.2737367544323206E-13</v>
      </c>
      <c r="AJ119" s="13">
        <f>AI119*VLOOKUP('Données projet'!$B$10,Paramètres!$A$1:$I$89,3,0)*VLOOKUP('Données projet'!$B$10,Paramètres!$A$1:$I$89,5,0)</f>
        <v>-1.064108801074326E-13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280.35802808205239</v>
      </c>
      <c r="AO119" s="59">
        <f t="shared" si="90"/>
        <v>249.32129349927175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30.763494737809427</v>
      </c>
      <c r="AV119" s="21">
        <f>EXP(-LN(2)/25)*AV118+(1-EXP(-LN(2)/25))/(LN(2)/25)*Calculateur!AQ119*Calculateur!AS119*VLOOKUP('Données projet'!$B$10,Paramètres!$A$1:$I$89,3,0)*0.475*44/12</f>
        <v>9.4818484342651175</v>
      </c>
      <c r="AW119" s="21">
        <f>EXP(-LN(2)/2)*AW118+(1-EXP(-LN(2)/2))/(LN(2)/2)*AQ119*AT119*VLOOKUP('Données projet'!$B$10,Paramètres!$A$1:$I$89,3,0)*0.475*44/12</f>
        <v>4.9592176939114853E-8</v>
      </c>
      <c r="AX119" s="21">
        <f t="shared" si="60"/>
        <v>40.245343221666715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67.865797781336994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1.1368683772161603E-13</v>
      </c>
      <c r="BE119" s="13">
        <f>BD119*VLOOKUP('Données projet'!$B$11,Paramètres!$A$1:$I$89,3,0)*VLOOKUP('Données projet'!$B$11,Paramètres!$A$1:$I$89,5,0)</f>
        <v>5.0249582272954292E-14</v>
      </c>
      <c r="BF119" s="13">
        <f t="shared" si="91"/>
        <v>8.1784820119191593E-13</v>
      </c>
      <c r="BG119" s="20">
        <f t="shared" si="61"/>
        <v>1.5119369728679821E-12</v>
      </c>
      <c r="BH119" s="59">
        <f t="shared" si="62"/>
        <v>285.50792519823716</v>
      </c>
      <c r="BI119" s="59">
        <f ca="1">AVERAGE(OFFSET($BH$3,0,0,'Données projet'!$E$11+1,1))-AVERAGE(OFFSET($H$3,0,0,'Données projet'!$E$11+1,1))</f>
        <v>409.91320873873292</v>
      </c>
      <c r="BJ119" s="59">
        <f t="shared" si="92"/>
        <v>347.86310581860698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101.29083516980479</v>
      </c>
      <c r="BQ119" s="21">
        <f>EXP(-LN(2)/25)*BQ118+(1-EXP(-LN(2)/25))/(LN(2)/25)*Calculateur!BL119*Calculateur!BN119*VLOOKUP('Données projet'!$B$11,Paramètres!$A$1:$I$89,3,0)*0.475*44/12</f>
        <v>26.498486358196498</v>
      </c>
      <c r="BR119" s="21">
        <f>EXP(-LN(2)/2)*BR118+(1-EXP(-LN(2)/2))/(LN(2)/2)*BL119*BO119*VLOOKUP('Données projet'!$B$11,Paramètres!$A$1:$I$89,3,0)*0.475*44/12</f>
        <v>2.9985004870729622E-4</v>
      </c>
      <c r="BS119" s="22">
        <f t="shared" si="63"/>
        <v>127.78962137805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67.865797781336994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67.865797781336994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67.865797781336994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67.865797781336994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67.865797781336994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67.865797781336994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67.865797781336994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3.25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11.916666666666666</v>
      </c>
      <c r="H120" s="67">
        <f t="shared" si="56"/>
        <v>209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67.902821418469443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5.6843418860808015E-13</v>
      </c>
      <c r="O120" s="13">
        <f>N120*VLOOKUP('Données projet'!$B$9,Paramètres!$A$1:$I$89,3,0)*VLOOKUP('Données projet'!$B$9,Paramètres!$A$1:$I$89,5,0)</f>
        <v>3.177547114319168E-13</v>
      </c>
      <c r="P120" s="13">
        <f t="shared" si="87"/>
        <v>4.1725404435445377E-12</v>
      </c>
      <c r="Q120" s="20">
        <f t="shared" si="107"/>
        <v>7.820597394917325E-12</v>
      </c>
      <c r="R120" s="59">
        <f t="shared" si="55"/>
        <v>285.6436785343958</v>
      </c>
      <c r="S120" s="59">
        <f ca="1">AVERAGE(OFFSET($R$3,0,0,'Données projet'!$E$9+1,1))-AVERAGE(OFFSET($H$3,0,0,'Données projet'!$E$9+1,1))</f>
        <v>399.91876225849921</v>
      </c>
      <c r="T120" s="59">
        <f t="shared" si="88"/>
        <v>368.64132082233505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90.970172127884211</v>
      </c>
      <c r="AA120" s="21">
        <f>EXP(-LN(2)/25)*AA119+(1-EXP(-LN(2)/25))/(LN(2)/25)*Calculateur!V120*Calculateur!X120*VLOOKUP('Données projet'!$B$9,Paramètres!$A$1:$I$89,3,0)*0.475*44/12</f>
        <v>20.85372075393504</v>
      </c>
      <c r="AB120" s="21">
        <f>EXP(-LN(2)/2)*AB119+(1-EXP(-LN(2)/2))/(LN(2)/2)*V120*Y120*VLOOKUP('Données projet'!$B$9,Paramètres!$A$1:$I$89,3,0)*0.475*44/12</f>
        <v>6.3646397907390309E-6</v>
      </c>
      <c r="AC120" s="22">
        <f t="shared" si="57"/>
        <v>111.82389924645904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67.902821418469443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-2.2737367544323206E-13</v>
      </c>
      <c r="AJ120" s="13">
        <f>AI120*VLOOKUP('Données projet'!$B$10,Paramètres!$A$1:$I$89,3,0)*VLOOKUP('Données projet'!$B$10,Paramètres!$A$1:$I$89,5,0)</f>
        <v>-1.064108801074326E-13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280.35802808205239</v>
      </c>
      <c r="AO120" s="59">
        <f t="shared" si="90"/>
        <v>249.32129349927175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30.160241369879994</v>
      </c>
      <c r="AV120" s="21">
        <f>EXP(-LN(2)/25)*AV119+(1-EXP(-LN(2)/25))/(LN(2)/25)*Calculateur!AQ120*Calculateur!AS120*VLOOKUP('Données projet'!$B$10,Paramètres!$A$1:$I$89,3,0)*0.475*44/12</f>
        <v>9.2225667902013999</v>
      </c>
      <c r="AW120" s="21">
        <f>EXP(-LN(2)/2)*AW119+(1-EXP(-LN(2)/2))/(LN(2)/2)*AQ120*AT120*VLOOKUP('Données projet'!$B$10,Paramètres!$A$1:$I$89,3,0)*0.475*44/12</f>
        <v>3.5066964607451234E-8</v>
      </c>
      <c r="AX120" s="21">
        <f t="shared" si="60"/>
        <v>39.382808195148364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67.902821418469443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1.1368683772161603E-13</v>
      </c>
      <c r="BE120" s="13">
        <f>BD120*VLOOKUP('Données projet'!$B$11,Paramètres!$A$1:$I$89,3,0)*VLOOKUP('Données projet'!$B$11,Paramètres!$A$1:$I$89,5,0)</f>
        <v>5.0249582272954292E-14</v>
      </c>
      <c r="BF120" s="13">
        <f t="shared" si="91"/>
        <v>8.1784820119191593E-13</v>
      </c>
      <c r="BG120" s="20">
        <f t="shared" si="61"/>
        <v>1.5119369728679821E-12</v>
      </c>
      <c r="BH120" s="59">
        <f t="shared" si="62"/>
        <v>285.64367853438949</v>
      </c>
      <c r="BI120" s="59">
        <f ca="1">AVERAGE(OFFSET($BH$3,0,0,'Données projet'!$E$11+1,1))-AVERAGE(OFFSET($H$3,0,0,'Données projet'!$E$11+1,1))</f>
        <v>409.91320873873292</v>
      </c>
      <c r="BJ120" s="59">
        <f t="shared" si="92"/>
        <v>347.86310581860698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99.304583673433982</v>
      </c>
      <c r="BQ120" s="21">
        <f>EXP(-LN(2)/25)*BQ119+(1-EXP(-LN(2)/25))/(LN(2)/25)*Calculateur!BL120*Calculateur!BN120*VLOOKUP('Données projet'!$B$11,Paramètres!$A$1:$I$89,3,0)*0.475*44/12</f>
        <v>25.773883855236779</v>
      </c>
      <c r="BR120" s="21">
        <f>EXP(-LN(2)/2)*BR119+(1-EXP(-LN(2)/2))/(LN(2)/2)*BL120*BO120*VLOOKUP('Données projet'!$B$11,Paramètres!$A$1:$I$89,3,0)*0.475*44/12</f>
        <v>2.1202600278004573E-4</v>
      </c>
      <c r="BS120" s="22">
        <f t="shared" si="63"/>
        <v>125.07867955467354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67.902821418469443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67.902821418469443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67.902821418469443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67.902821418469443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67.902821418469443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67.902821418469443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67.902821418469443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3.25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11.916666666666666</v>
      </c>
      <c r="H121" s="67">
        <f t="shared" si="56"/>
        <v>209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67.939202778270072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5.6843418860808015E-13</v>
      </c>
      <c r="O121" s="13">
        <f>N121*VLOOKUP('Données projet'!$B$9,Paramètres!$A$1:$I$89,3,0)*VLOOKUP('Données projet'!$B$9,Paramètres!$A$1:$I$89,5,0)</f>
        <v>3.177547114319168E-13</v>
      </c>
      <c r="P121" s="13">
        <f t="shared" si="87"/>
        <v>4.1725404435445377E-12</v>
      </c>
      <c r="Q121" s="20">
        <f t="shared" si="107"/>
        <v>7.820597394917325E-12</v>
      </c>
      <c r="R121" s="59">
        <f t="shared" si="55"/>
        <v>285.77707685366477</v>
      </c>
      <c r="S121" s="59">
        <f ca="1">AVERAGE(OFFSET($R$3,0,0,'Données projet'!$E$9+1,1))-AVERAGE(OFFSET($H$3,0,0,'Données projet'!$E$9+1,1))</f>
        <v>399.91876225849921</v>
      </c>
      <c r="T121" s="59">
        <f t="shared" si="88"/>
        <v>368.64132082233505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89.186302538782584</v>
      </c>
      <c r="AA121" s="21">
        <f>EXP(-LN(2)/25)*AA120+(1-EXP(-LN(2)/25))/(LN(2)/25)*Calculateur!V121*Calculateur!X121*VLOOKUP('Données projet'!$B$9,Paramètres!$A$1:$I$89,3,0)*0.475*44/12</f>
        <v>20.283474663269175</v>
      </c>
      <c r="AB121" s="21">
        <f>EXP(-LN(2)/2)*AB120+(1-EXP(-LN(2)/2))/(LN(2)/2)*V121*Y121*VLOOKUP('Données projet'!$B$9,Paramètres!$A$1:$I$89,3,0)*0.475*44/12</f>
        <v>4.5004799558412974E-6</v>
      </c>
      <c r="AC121" s="22">
        <f t="shared" si="57"/>
        <v>109.46978170253172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67.939202778270072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-2.2737367544323206E-13</v>
      </c>
      <c r="AJ121" s="13">
        <f>AI121*VLOOKUP('Données projet'!$B$10,Paramètres!$A$1:$I$89,3,0)*VLOOKUP('Données projet'!$B$10,Paramètres!$A$1:$I$89,5,0)</f>
        <v>-1.064108801074326E-13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280.35802808205239</v>
      </c>
      <c r="AO121" s="59">
        <f t="shared" si="90"/>
        <v>249.32129349927175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29.568817432547437</v>
      </c>
      <c r="AV121" s="21">
        <f>EXP(-LN(2)/25)*AV120+(1-EXP(-LN(2)/25))/(LN(2)/25)*Calculateur!AQ121*Calculateur!AS121*VLOOKUP('Données projet'!$B$10,Paramètres!$A$1:$I$89,3,0)*0.475*44/12</f>
        <v>8.970375216329634</v>
      </c>
      <c r="AW121" s="21">
        <f>EXP(-LN(2)/2)*AW120+(1-EXP(-LN(2)/2))/(LN(2)/2)*AQ121*AT121*VLOOKUP('Données projet'!$B$10,Paramètres!$A$1:$I$89,3,0)*0.475*44/12</f>
        <v>2.4796088469557427E-8</v>
      </c>
      <c r="AX121" s="21">
        <f t="shared" si="60"/>
        <v>38.539192673673156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67.939202778270072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1.1368683772161603E-13</v>
      </c>
      <c r="BE121" s="13">
        <f>BD121*VLOOKUP('Données projet'!$B$11,Paramètres!$A$1:$I$89,3,0)*VLOOKUP('Données projet'!$B$11,Paramètres!$A$1:$I$89,5,0)</f>
        <v>5.0249582272954292E-14</v>
      </c>
      <c r="BF121" s="13">
        <f t="shared" si="91"/>
        <v>8.1784820119191593E-13</v>
      </c>
      <c r="BG121" s="20">
        <f t="shared" si="61"/>
        <v>1.5119369728679821E-12</v>
      </c>
      <c r="BH121" s="59">
        <f t="shared" si="62"/>
        <v>285.77707685365846</v>
      </c>
      <c r="BI121" s="59">
        <f ca="1">AVERAGE(OFFSET($BH$3,0,0,'Données projet'!$E$11+1,1))-AVERAGE(OFFSET($H$3,0,0,'Données projet'!$E$11+1,1))</f>
        <v>409.91320873873292</v>
      </c>
      <c r="BJ121" s="59">
        <f t="shared" si="92"/>
        <v>347.86310581860698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97.357281357413214</v>
      </c>
      <c r="BQ121" s="21">
        <f>EXP(-LN(2)/25)*BQ120+(1-EXP(-LN(2)/25))/(LN(2)/25)*Calculateur!BL121*Calculateur!BN121*VLOOKUP('Données projet'!$B$11,Paramètres!$A$1:$I$89,3,0)*0.475*44/12</f>
        <v>25.069095645825684</v>
      </c>
      <c r="BR121" s="21">
        <f>EXP(-LN(2)/2)*BR120+(1-EXP(-LN(2)/2))/(LN(2)/2)*BL121*BO121*VLOOKUP('Données projet'!$B$11,Paramètres!$A$1:$I$89,3,0)*0.475*44/12</f>
        <v>1.4992502435364811E-4</v>
      </c>
      <c r="BS121" s="22">
        <f t="shared" si="63"/>
        <v>122.42652692826326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67.939202778270072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67.939202778270072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67.939202778270072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67.939202778270072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67.939202778270072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67.939202778270072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67.939202778270072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3.25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11.916666666666666</v>
      </c>
      <c r="H122" s="67">
        <f t="shared" si="56"/>
        <v>209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67.974953002814715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5.6843418860808015E-13</v>
      </c>
      <c r="O122" s="13">
        <f>N122*VLOOKUP('Données projet'!$B$9,Paramètres!$A$1:$I$89,3,0)*VLOOKUP('Données projet'!$B$9,Paramètres!$A$1:$I$89,5,0)</f>
        <v>3.177547114319168E-13</v>
      </c>
      <c r="P122" s="13">
        <f t="shared" si="87"/>
        <v>4.1725404435445377E-12</v>
      </c>
      <c r="Q122" s="20">
        <f t="shared" si="107"/>
        <v>7.820597394917325E-12</v>
      </c>
      <c r="R122" s="59">
        <f t="shared" si="55"/>
        <v>285.90816101032846</v>
      </c>
      <c r="S122" s="59">
        <f ca="1">AVERAGE(OFFSET($R$3,0,0,'Données projet'!$E$9+1,1))-AVERAGE(OFFSET($H$3,0,0,'Données projet'!$E$9+1,1))</f>
        <v>399.91876225849921</v>
      </c>
      <c r="T122" s="59">
        <f t="shared" si="88"/>
        <v>368.64132082233505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87.437413544270228</v>
      </c>
      <c r="AA122" s="21">
        <f>EXP(-LN(2)/25)*AA121+(1-EXP(-LN(2)/25))/(LN(2)/25)*Calculateur!V122*Calculateur!X122*VLOOKUP('Données projet'!$B$9,Paramètres!$A$1:$I$89,3,0)*0.475*44/12</f>
        <v>19.728821981940506</v>
      </c>
      <c r="AB122" s="21">
        <f>EXP(-LN(2)/2)*AB121+(1-EXP(-LN(2)/2))/(LN(2)/2)*V122*Y122*VLOOKUP('Données projet'!$B$9,Paramètres!$A$1:$I$89,3,0)*0.475*44/12</f>
        <v>3.1823198953695154E-6</v>
      </c>
      <c r="AC122" s="22">
        <f t="shared" si="57"/>
        <v>107.16623870853063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67.974953002814715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-2.2737367544323206E-13</v>
      </c>
      <c r="AJ122" s="13">
        <f>AI122*VLOOKUP('Données projet'!$B$10,Paramètres!$A$1:$I$89,3,0)*VLOOKUP('Données projet'!$B$10,Paramètres!$A$1:$I$89,5,0)</f>
        <v>-1.064108801074326E-13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280.35802808205239</v>
      </c>
      <c r="AO122" s="59">
        <f t="shared" si="90"/>
        <v>249.32129349927175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28.988990957892987</v>
      </c>
      <c r="AV122" s="21">
        <f>EXP(-LN(2)/25)*AV121+(1-EXP(-LN(2)/25))/(LN(2)/25)*Calculateur!AQ122*Calculateur!AS122*VLOOKUP('Données projet'!$B$10,Paramètres!$A$1:$I$89,3,0)*0.475*44/12</f>
        <v>8.7250798343075697</v>
      </c>
      <c r="AW122" s="21">
        <f>EXP(-LN(2)/2)*AW121+(1-EXP(-LN(2)/2))/(LN(2)/2)*AQ122*AT122*VLOOKUP('Données projet'!$B$10,Paramètres!$A$1:$I$89,3,0)*0.475*44/12</f>
        <v>1.7533482303725617E-8</v>
      </c>
      <c r="AX122" s="21">
        <f t="shared" si="60"/>
        <v>37.714070809734039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67.974953002814715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1.1368683772161603E-13</v>
      </c>
      <c r="BE122" s="13">
        <f>BD122*VLOOKUP('Données projet'!$B$11,Paramètres!$A$1:$I$89,3,0)*VLOOKUP('Données projet'!$B$11,Paramètres!$A$1:$I$89,5,0)</f>
        <v>5.0249582272954292E-14</v>
      </c>
      <c r="BF122" s="13">
        <f t="shared" si="91"/>
        <v>8.1784820119191593E-13</v>
      </c>
      <c r="BG122" s="20">
        <f t="shared" si="61"/>
        <v>1.5119369728679821E-12</v>
      </c>
      <c r="BH122" s="59">
        <f t="shared" si="62"/>
        <v>285.90816101032215</v>
      </c>
      <c r="BI122" s="59">
        <f ca="1">AVERAGE(OFFSET($BH$3,0,0,'Données projet'!$E$11+1,1))-AVERAGE(OFFSET($H$3,0,0,'Données projet'!$E$11+1,1))</f>
        <v>409.91320873873292</v>
      </c>
      <c r="BJ122" s="59">
        <f t="shared" si="92"/>
        <v>347.86310581860698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95.448164452072476</v>
      </c>
      <c r="BQ122" s="21">
        <f>EXP(-LN(2)/25)*BQ121+(1-EXP(-LN(2)/25))/(LN(2)/25)*Calculateur!BL122*Calculateur!BN122*VLOOKUP('Données projet'!$B$11,Paramètres!$A$1:$I$89,3,0)*0.475*44/12</f>
        <v>24.383579907064135</v>
      </c>
      <c r="BR122" s="21">
        <f>EXP(-LN(2)/2)*BR121+(1-EXP(-LN(2)/2))/(LN(2)/2)*BL122*BO122*VLOOKUP('Données projet'!$B$11,Paramètres!$A$1:$I$89,3,0)*0.475*44/12</f>
        <v>1.0601300139002287E-4</v>
      </c>
      <c r="BS122" s="22">
        <f t="shared" si="63"/>
        <v>119.83185037213799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67.974953002814715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67.974953002814715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67.974953002814715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67.974953002814715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67.974953002814715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67.974953002814715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67.974953002814715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3.25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11.916666666666666</v>
      </c>
      <c r="H123" s="67">
        <f t="shared" si="56"/>
        <v>209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68.010083040889043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5.6843418860808015E-13</v>
      </c>
      <c r="O123" s="13">
        <f>N123*VLOOKUP('Données projet'!$B$9,Paramètres!$A$1:$I$89,3,0)*VLOOKUP('Données projet'!$B$9,Paramètres!$A$1:$I$89,5,0)</f>
        <v>3.177547114319168E-13</v>
      </c>
      <c r="P123" s="13">
        <f t="shared" si="87"/>
        <v>4.1725404435445377E-12</v>
      </c>
      <c r="Q123" s="20">
        <f t="shared" si="107"/>
        <v>7.820597394917325E-12</v>
      </c>
      <c r="R123" s="59">
        <f t="shared" si="55"/>
        <v>286.03697114993435</v>
      </c>
      <c r="S123" s="59">
        <f ca="1">AVERAGE(OFFSET($R$3,0,0,'Données projet'!$E$9+1,1))-AVERAGE(OFFSET($H$3,0,0,'Données projet'!$E$9+1,1))</f>
        <v>399.91876225849921</v>
      </c>
      <c r="T123" s="59">
        <f t="shared" si="88"/>
        <v>368.64132082233505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85.722819196223298</v>
      </c>
      <c r="AA123" s="21">
        <f>EXP(-LN(2)/25)*AA122+(1-EXP(-LN(2)/25))/(LN(2)/25)*Calculateur!V123*Calculateur!X123*VLOOKUP('Données projet'!$B$9,Paramètres!$A$1:$I$89,3,0)*0.475*44/12</f>
        <v>19.189336307350686</v>
      </c>
      <c r="AB123" s="21">
        <f>EXP(-LN(2)/2)*AB122+(1-EXP(-LN(2)/2))/(LN(2)/2)*V123*Y123*VLOOKUP('Données projet'!$B$9,Paramètres!$A$1:$I$89,3,0)*0.475*44/12</f>
        <v>2.2502399779206487E-6</v>
      </c>
      <c r="AC123" s="22">
        <f t="shared" si="57"/>
        <v>104.91215775381396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68.010083040889043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-2.2737367544323206E-13</v>
      </c>
      <c r="AJ123" s="13">
        <f>AI123*VLOOKUP('Données projet'!$B$10,Paramètres!$A$1:$I$89,3,0)*VLOOKUP('Données projet'!$B$10,Paramètres!$A$1:$I$89,5,0)</f>
        <v>-1.064108801074326E-13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280.35802808205239</v>
      </c>
      <c r="AO123" s="59">
        <f t="shared" si="90"/>
        <v>249.32129349927175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28.420534526747282</v>
      </c>
      <c r="AV123" s="21">
        <f>EXP(-LN(2)/25)*AV122+(1-EXP(-LN(2)/25))/(LN(2)/25)*Calculateur!AQ123*Calculateur!AS123*VLOOKUP('Données projet'!$B$10,Paramètres!$A$1:$I$89,3,0)*0.475*44/12</f>
        <v>8.4864920674064219</v>
      </c>
      <c r="AW123" s="21">
        <f>EXP(-LN(2)/2)*AW122+(1-EXP(-LN(2)/2))/(LN(2)/2)*AQ123*AT123*VLOOKUP('Données projet'!$B$10,Paramètres!$A$1:$I$89,3,0)*0.475*44/12</f>
        <v>1.2398044234778713E-8</v>
      </c>
      <c r="AX123" s="21">
        <f t="shared" si="60"/>
        <v>36.907026606551753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68.010083040889043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1.1368683772161603E-13</v>
      </c>
      <c r="BE123" s="13">
        <f>BD123*VLOOKUP('Données projet'!$B$11,Paramètres!$A$1:$I$89,3,0)*VLOOKUP('Données projet'!$B$11,Paramètres!$A$1:$I$89,5,0)</f>
        <v>5.0249582272954292E-14</v>
      </c>
      <c r="BF123" s="13">
        <f t="shared" si="91"/>
        <v>8.1784820119191593E-13</v>
      </c>
      <c r="BG123" s="20">
        <f t="shared" si="61"/>
        <v>1.5119369728679821E-12</v>
      </c>
      <c r="BH123" s="59">
        <f t="shared" si="62"/>
        <v>286.03697114992804</v>
      </c>
      <c r="BI123" s="59">
        <f ca="1">AVERAGE(OFFSET($BH$3,0,0,'Données projet'!$E$11+1,1))-AVERAGE(OFFSET($H$3,0,0,'Données projet'!$E$11+1,1))</f>
        <v>409.91320873873292</v>
      </c>
      <c r="BJ123" s="59">
        <f t="shared" si="92"/>
        <v>347.86310581860698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93.57648416479914</v>
      </c>
      <c r="BQ123" s="21">
        <f>EXP(-LN(2)/25)*BQ122+(1-EXP(-LN(2)/25))/(LN(2)/25)*Calculateur!BL123*Calculateur!BN123*VLOOKUP('Données projet'!$B$11,Paramètres!$A$1:$I$89,3,0)*0.475*44/12</f>
        <v>23.716809632228728</v>
      </c>
      <c r="BR123" s="21">
        <f>EXP(-LN(2)/2)*BR122+(1-EXP(-LN(2)/2))/(LN(2)/2)*BL123*BO123*VLOOKUP('Données projet'!$B$11,Paramètres!$A$1:$I$89,3,0)*0.475*44/12</f>
        <v>7.4962512176824056E-5</v>
      </c>
      <c r="BS123" s="22">
        <f t="shared" si="63"/>
        <v>117.29336875954004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68.010083040889043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68.010083040889043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68.010083040889043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68.010083040889043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68.010083040889043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68.010083040889043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68.010083040889043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3.25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11.916666666666666</v>
      </c>
      <c r="H124" s="67">
        <f t="shared" si="56"/>
        <v>209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68.044603651341788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5.6843418860808015E-13</v>
      </c>
      <c r="O124" s="13">
        <f>N124*VLOOKUP('Données projet'!$B$9,Paramètres!$A$1:$I$89,3,0)*VLOOKUP('Données projet'!$B$9,Paramètres!$A$1:$I$89,5,0)</f>
        <v>3.177547114319168E-13</v>
      </c>
      <c r="P124" s="13">
        <f t="shared" si="87"/>
        <v>4.1725404435445377E-12</v>
      </c>
      <c r="Q124" s="20">
        <f t="shared" si="107"/>
        <v>7.820597394917325E-12</v>
      </c>
      <c r="R124" s="59">
        <f t="shared" si="55"/>
        <v>286.1635467215944</v>
      </c>
      <c r="S124" s="59">
        <f ca="1">AVERAGE(OFFSET($R$3,0,0,'Données projet'!$E$9+1,1))-AVERAGE(OFFSET($H$3,0,0,'Données projet'!$E$9+1,1))</f>
        <v>399.91876225849921</v>
      </c>
      <c r="T124" s="59">
        <f t="shared" si="88"/>
        <v>368.64132082233505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84.041846997542279</v>
      </c>
      <c r="AA124" s="21">
        <f>EXP(-LN(2)/25)*AA123+(1-EXP(-LN(2)/25))/(LN(2)/25)*Calculateur!V124*Calculateur!X124*VLOOKUP('Données projet'!$B$9,Paramètres!$A$1:$I$89,3,0)*0.475*44/12</f>
        <v>18.664602896902842</v>
      </c>
      <c r="AB124" s="21">
        <f>EXP(-LN(2)/2)*AB123+(1-EXP(-LN(2)/2))/(LN(2)/2)*V124*Y124*VLOOKUP('Données projet'!$B$9,Paramètres!$A$1:$I$89,3,0)*0.475*44/12</f>
        <v>1.5911599476847577E-6</v>
      </c>
      <c r="AC124" s="22">
        <f t="shared" si="57"/>
        <v>102.70645148560506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68.044603651341788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-2.2737367544323206E-13</v>
      </c>
      <c r="AJ124" s="13">
        <f>AI124*VLOOKUP('Données projet'!$B$10,Paramètres!$A$1:$I$89,3,0)*VLOOKUP('Données projet'!$B$10,Paramètres!$A$1:$I$89,5,0)</f>
        <v>-1.064108801074326E-13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280.35802808205239</v>
      </c>
      <c r="AO124" s="59">
        <f t="shared" si="90"/>
        <v>249.32129349927175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27.863225179492158</v>
      </c>
      <c r="AV124" s="21">
        <f>EXP(-LN(2)/25)*AV123+(1-EXP(-LN(2)/25))/(LN(2)/25)*Calculateur!AQ124*Calculateur!AS124*VLOOKUP('Données projet'!$B$10,Paramètres!$A$1:$I$89,3,0)*0.475*44/12</f>
        <v>8.2544284955379723</v>
      </c>
      <c r="AW124" s="21">
        <f>EXP(-LN(2)/2)*AW123+(1-EXP(-LN(2)/2))/(LN(2)/2)*AQ124*AT124*VLOOKUP('Données projet'!$B$10,Paramètres!$A$1:$I$89,3,0)*0.475*44/12</f>
        <v>8.7667411518628085E-9</v>
      </c>
      <c r="AX124" s="21">
        <f t="shared" si="60"/>
        <v>36.117653683796867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68.044603651341788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1.1368683772161603E-13</v>
      </c>
      <c r="BE124" s="13">
        <f>BD124*VLOOKUP('Données projet'!$B$11,Paramètres!$A$1:$I$89,3,0)*VLOOKUP('Données projet'!$B$11,Paramètres!$A$1:$I$89,5,0)</f>
        <v>5.0249582272954292E-14</v>
      </c>
      <c r="BF124" s="13">
        <f t="shared" si="91"/>
        <v>8.1784820119191593E-13</v>
      </c>
      <c r="BG124" s="20">
        <f t="shared" si="61"/>
        <v>1.5119369728679821E-12</v>
      </c>
      <c r="BH124" s="59">
        <f t="shared" si="62"/>
        <v>286.16354672158809</v>
      </c>
      <c r="BI124" s="59">
        <f ca="1">AVERAGE(OFFSET($BH$3,0,0,'Données projet'!$E$11+1,1))-AVERAGE(OFFSET($H$3,0,0,'Données projet'!$E$11+1,1))</f>
        <v>409.91320873873292</v>
      </c>
      <c r="BJ124" s="59">
        <f t="shared" si="92"/>
        <v>347.86310581860698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91.741506386346984</v>
      </c>
      <c r="BQ124" s="21">
        <f>EXP(-LN(2)/25)*BQ123+(1-EXP(-LN(2)/25))/(LN(2)/25)*Calculateur!BL124*Calculateur!BN124*VLOOKUP('Données projet'!$B$11,Paramètres!$A$1:$I$89,3,0)*0.475*44/12</f>
        <v>23.068272225622621</v>
      </c>
      <c r="BR124" s="21">
        <f>EXP(-LN(2)/2)*BR123+(1-EXP(-LN(2)/2))/(LN(2)/2)*BL124*BO124*VLOOKUP('Données projet'!$B$11,Paramètres!$A$1:$I$89,3,0)*0.475*44/12</f>
        <v>5.3006500695011433E-5</v>
      </c>
      <c r="BS124" s="22">
        <f t="shared" si="63"/>
        <v>114.8098316184703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68.044603651341788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68.044603651341788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68.044603651341788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68.044603651341788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68.044603651341788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68.044603651341788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68.044603651341788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3.25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11.916666666666666</v>
      </c>
      <c r="H125" s="67">
        <f t="shared" si="56"/>
        <v>209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68.078525406379669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5.6843418860808015E-13</v>
      </c>
      <c r="O125" s="13">
        <f>N125*VLOOKUP('Données projet'!$B$9,Paramètres!$A$1:$I$89,3,0)*VLOOKUP('Données projet'!$B$9,Paramètres!$A$1:$I$89,5,0)</f>
        <v>3.177547114319168E-13</v>
      </c>
      <c r="P125" s="13">
        <f t="shared" si="87"/>
        <v>4.1725404435445377E-12</v>
      </c>
      <c r="Q125" s="20">
        <f t="shared" si="107"/>
        <v>7.820597394917325E-12</v>
      </c>
      <c r="R125" s="59">
        <f t="shared" si="55"/>
        <v>286.28792649006664</v>
      </c>
      <c r="S125" s="59">
        <f ca="1">AVERAGE(OFFSET($R$3,0,0,'Données projet'!$E$9+1,1))-AVERAGE(OFFSET($H$3,0,0,'Données projet'!$E$9+1,1))</f>
        <v>399.91876225849921</v>
      </c>
      <c r="T125" s="59">
        <f t="shared" si="88"/>
        <v>368.64132082233505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82.393837638385591</v>
      </c>
      <c r="AA125" s="21">
        <f>EXP(-LN(2)/25)*AA124+(1-EXP(-LN(2)/25))/(LN(2)/25)*Calculateur!V125*Calculateur!X125*VLOOKUP('Données projet'!$B$9,Paramètres!$A$1:$I$89,3,0)*0.475*44/12</f>
        <v>18.154218349158228</v>
      </c>
      <c r="AB125" s="21">
        <f>EXP(-LN(2)/2)*AB124+(1-EXP(-LN(2)/2))/(LN(2)/2)*V125*Y125*VLOOKUP('Données projet'!$B$9,Paramètres!$A$1:$I$89,3,0)*0.475*44/12</f>
        <v>1.1251199889603244E-6</v>
      </c>
      <c r="AC125" s="22">
        <f t="shared" si="57"/>
        <v>100.54805711266381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68.078525406379669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-2.2737367544323206E-13</v>
      </c>
      <c r="AJ125" s="13">
        <f>AI125*VLOOKUP('Données projet'!$B$10,Paramètres!$A$1:$I$89,3,0)*VLOOKUP('Données projet'!$B$10,Paramètres!$A$1:$I$89,5,0)</f>
        <v>-1.064108801074326E-13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280.35802808205239</v>
      </c>
      <c r="AO125" s="59">
        <f t="shared" si="90"/>
        <v>249.32129349927175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27.31684432861157</v>
      </c>
      <c r="AV125" s="21">
        <f>EXP(-LN(2)/25)*AV124+(1-EXP(-LN(2)/25))/(LN(2)/25)*Calculateur!AQ125*Calculateur!AS125*VLOOKUP('Données projet'!$B$10,Paramètres!$A$1:$I$89,3,0)*0.475*44/12</f>
        <v>8.0287107142459568</v>
      </c>
      <c r="AW125" s="21">
        <f>EXP(-LN(2)/2)*AW124+(1-EXP(-LN(2)/2))/(LN(2)/2)*AQ125*AT125*VLOOKUP('Données projet'!$B$10,Paramètres!$A$1:$I$89,3,0)*0.475*44/12</f>
        <v>6.1990221173893567E-9</v>
      </c>
      <c r="AX125" s="21">
        <f t="shared" si="60"/>
        <v>35.34555504905655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68.078525406379669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1.1368683772161603E-13</v>
      </c>
      <c r="BE125" s="13">
        <f>BD125*VLOOKUP('Données projet'!$B$11,Paramètres!$A$1:$I$89,3,0)*VLOOKUP('Données projet'!$B$11,Paramètres!$A$1:$I$89,5,0)</f>
        <v>5.0249582272954292E-14</v>
      </c>
      <c r="BF125" s="13">
        <f t="shared" si="91"/>
        <v>8.1784820119191593E-13</v>
      </c>
      <c r="BG125" s="20">
        <f t="shared" si="61"/>
        <v>1.5119369728679821E-12</v>
      </c>
      <c r="BH125" s="59">
        <f t="shared" si="62"/>
        <v>286.28792649006033</v>
      </c>
      <c r="BI125" s="59">
        <f ca="1">AVERAGE(OFFSET($BH$3,0,0,'Données projet'!$E$11+1,1))-AVERAGE(OFFSET($H$3,0,0,'Données projet'!$E$11+1,1))</f>
        <v>409.91320873873292</v>
      </c>
      <c r="BJ125" s="59">
        <f t="shared" si="92"/>
        <v>347.86310581860698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89.942511402904344</v>
      </c>
      <c r="BQ125" s="21">
        <f>EXP(-LN(2)/25)*BQ124+(1-EXP(-LN(2)/25))/(LN(2)/25)*Calculateur!BL125*Calculateur!BN125*VLOOKUP('Données projet'!$B$11,Paramètres!$A$1:$I$89,3,0)*0.475*44/12</f>
        <v>22.437469108505258</v>
      </c>
      <c r="BR125" s="21">
        <f>EXP(-LN(2)/2)*BR124+(1-EXP(-LN(2)/2))/(LN(2)/2)*BL125*BO125*VLOOKUP('Données projet'!$B$11,Paramètres!$A$1:$I$89,3,0)*0.475*44/12</f>
        <v>3.7481256088412028E-5</v>
      </c>
      <c r="BS125" s="22">
        <f t="shared" si="63"/>
        <v>112.38001799266569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68.078525406379669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68.078525406379669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68.078525406379669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68.078525406379669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68.078525406379669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68.078525406379669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68.078525406379669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3.25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11.916666666666666</v>
      </c>
      <c r="H126" s="67">
        <f t="shared" si="56"/>
        <v>209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68.111858694805349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5.6843418860808015E-13</v>
      </c>
      <c r="O126" s="13">
        <f>N126*VLOOKUP('Données projet'!$B$9,Paramètres!$A$1:$I$89,3,0)*VLOOKUP('Données projet'!$B$9,Paramètres!$A$1:$I$89,5,0)</f>
        <v>3.177547114319168E-13</v>
      </c>
      <c r="P126" s="13">
        <f t="shared" si="87"/>
        <v>4.1725404435445377E-12</v>
      </c>
      <c r="Q126" s="20">
        <f t="shared" si="107"/>
        <v>7.820597394917325E-12</v>
      </c>
      <c r="R126" s="59">
        <f t="shared" si="55"/>
        <v>286.41014854762744</v>
      </c>
      <c r="S126" s="59">
        <f ca="1">AVERAGE(OFFSET($R$3,0,0,'Données projet'!$E$9+1,1))-AVERAGE(OFFSET($H$3,0,0,'Données projet'!$E$9+1,1))</f>
        <v>399.91876225849921</v>
      </c>
      <c r="T126" s="59">
        <f t="shared" si="88"/>
        <v>368.64132082233505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80.778144737575516</v>
      </c>
      <c r="AA126" s="21">
        <f>EXP(-LN(2)/25)*AA125+(1-EXP(-LN(2)/25))/(LN(2)/25)*Calculateur!V126*Calculateur!X126*VLOOKUP('Données projet'!$B$9,Paramètres!$A$1:$I$89,3,0)*0.475*44/12</f>
        <v>17.657790293711646</v>
      </c>
      <c r="AB126" s="21">
        <f>EXP(-LN(2)/2)*AB125+(1-EXP(-LN(2)/2))/(LN(2)/2)*V126*Y126*VLOOKUP('Données projet'!$B$9,Paramètres!$A$1:$I$89,3,0)*0.475*44/12</f>
        <v>7.9557997384237886E-7</v>
      </c>
      <c r="AC126" s="22">
        <f t="shared" si="57"/>
        <v>98.435935826867137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68.111858694805349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-2.2737367544323206E-13</v>
      </c>
      <c r="AJ126" s="13">
        <f>AI126*VLOOKUP('Données projet'!$B$10,Paramètres!$A$1:$I$89,3,0)*VLOOKUP('Données projet'!$B$10,Paramètres!$A$1:$I$89,5,0)</f>
        <v>-1.064108801074326E-13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280.35802808205239</v>
      </c>
      <c r="AO126" s="59">
        <f t="shared" si="90"/>
        <v>249.32129349927175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26.781177672957337</v>
      </c>
      <c r="AV126" s="21">
        <f>EXP(-LN(2)/25)*AV125+(1-EXP(-LN(2)/25))/(LN(2)/25)*Calculateur!AQ126*Calculateur!AS126*VLOOKUP('Données projet'!$B$10,Paramètres!$A$1:$I$89,3,0)*0.475*44/12</f>
        <v>7.8091651975533543</v>
      </c>
      <c r="AW126" s="21">
        <f>EXP(-LN(2)/2)*AW125+(1-EXP(-LN(2)/2))/(LN(2)/2)*AQ126*AT126*VLOOKUP('Données projet'!$B$10,Paramètres!$A$1:$I$89,3,0)*0.475*44/12</f>
        <v>4.3833705759314042E-9</v>
      </c>
      <c r="AX126" s="21">
        <f t="shared" si="60"/>
        <v>34.590342874894063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68.111858694805349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1.1368683772161603E-13</v>
      </c>
      <c r="BE126" s="13">
        <f>BD126*VLOOKUP('Données projet'!$B$11,Paramètres!$A$1:$I$89,3,0)*VLOOKUP('Données projet'!$B$11,Paramètres!$A$1:$I$89,5,0)</f>
        <v>5.0249582272954292E-14</v>
      </c>
      <c r="BF126" s="13">
        <f t="shared" si="91"/>
        <v>8.1784820119191593E-13</v>
      </c>
      <c r="BG126" s="20">
        <f t="shared" si="61"/>
        <v>1.5119369728679821E-12</v>
      </c>
      <c r="BH126" s="59">
        <f t="shared" si="62"/>
        <v>286.41014854762113</v>
      </c>
      <c r="BI126" s="59">
        <f ca="1">AVERAGE(OFFSET($BH$3,0,0,'Données projet'!$E$11+1,1))-AVERAGE(OFFSET($H$3,0,0,'Données projet'!$E$11+1,1))</f>
        <v>409.91320873873292</v>
      </c>
      <c r="BJ126" s="59">
        <f t="shared" si="92"/>
        <v>347.86310581860698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88.178793613808423</v>
      </c>
      <c r="BQ126" s="21">
        <f>EXP(-LN(2)/25)*BQ125+(1-EXP(-LN(2)/25))/(LN(2)/25)*Calculateur!BL126*Calculateur!BN126*VLOOKUP('Données projet'!$B$11,Paramètres!$A$1:$I$89,3,0)*0.475*44/12</f>
        <v>21.823915335797963</v>
      </c>
      <c r="BR126" s="21">
        <f>EXP(-LN(2)/2)*BR125+(1-EXP(-LN(2)/2))/(LN(2)/2)*BL126*BO126*VLOOKUP('Données projet'!$B$11,Paramètres!$A$1:$I$89,3,0)*0.475*44/12</f>
        <v>2.6503250347505716E-5</v>
      </c>
      <c r="BS126" s="22">
        <f t="shared" si="63"/>
        <v>110.00273545285674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68.111858694805349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68.111858694805349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68.111858694805349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68.111858694805349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68.111858694805349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68.111858694805349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68.111858694805349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3.25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11.916666666666666</v>
      </c>
      <c r="H127" s="67">
        <f t="shared" si="56"/>
        <v>209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68.144613725198923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5.6843418860808015E-13</v>
      </c>
      <c r="O127" s="13">
        <f>N127*VLOOKUP('Données projet'!$B$9,Paramètres!$A$1:$I$89,3,0)*VLOOKUP('Données projet'!$B$9,Paramètres!$A$1:$I$89,5,0)</f>
        <v>3.177547114319168E-13</v>
      </c>
      <c r="P127" s="13">
        <f t="shared" si="87"/>
        <v>4.1725404435445377E-12</v>
      </c>
      <c r="Q127" s="20">
        <f t="shared" si="107"/>
        <v>7.820597394917325E-12</v>
      </c>
      <c r="R127" s="59">
        <f t="shared" si="55"/>
        <v>286.5302503257372</v>
      </c>
      <c r="S127" s="59">
        <f ca="1">AVERAGE(OFFSET($R$3,0,0,'Données projet'!$E$9+1,1))-AVERAGE(OFFSET($H$3,0,0,'Données projet'!$E$9+1,1))</f>
        <v>399.91876225849921</v>
      </c>
      <c r="T127" s="59">
        <f t="shared" si="88"/>
        <v>368.64132082233505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79.194134589074963</v>
      </c>
      <c r="AA127" s="21">
        <f>EXP(-LN(2)/25)*AA126+(1-EXP(-LN(2)/25))/(LN(2)/25)*Calculateur!V127*Calculateur!X127*VLOOKUP('Données projet'!$B$9,Paramètres!$A$1:$I$89,3,0)*0.475*44/12</f>
        <v>17.174937089547267</v>
      </c>
      <c r="AB127" s="21">
        <f>EXP(-LN(2)/2)*AB126+(1-EXP(-LN(2)/2))/(LN(2)/2)*V127*Y127*VLOOKUP('Données projet'!$B$9,Paramètres!$A$1:$I$89,3,0)*0.475*44/12</f>
        <v>5.6255999448016218E-7</v>
      </c>
      <c r="AC127" s="22">
        <f t="shared" si="57"/>
        <v>96.369072241182224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68.144613725198923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-2.2737367544323206E-13</v>
      </c>
      <c r="AJ127" s="13">
        <f>AI127*VLOOKUP('Données projet'!$B$10,Paramètres!$A$1:$I$89,3,0)*VLOOKUP('Données projet'!$B$10,Paramètres!$A$1:$I$89,5,0)</f>
        <v>-1.064108801074326E-13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280.35802808205239</v>
      </c>
      <c r="AO127" s="59">
        <f t="shared" si="90"/>
        <v>249.32129349927175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26.256015113696087</v>
      </c>
      <c r="AV127" s="21">
        <f>EXP(-LN(2)/25)*AV126+(1-EXP(-LN(2)/25))/(LN(2)/25)*Calculateur!AQ127*Calculateur!AS127*VLOOKUP('Données projet'!$B$10,Paramètres!$A$1:$I$89,3,0)*0.475*44/12</f>
        <v>7.5956231645601084</v>
      </c>
      <c r="AW127" s="21">
        <f>EXP(-LN(2)/2)*AW126+(1-EXP(-LN(2)/2))/(LN(2)/2)*AQ127*AT127*VLOOKUP('Données projet'!$B$10,Paramètres!$A$1:$I$89,3,0)*0.475*44/12</f>
        <v>3.0995110586946783E-9</v>
      </c>
      <c r="AX127" s="21">
        <f t="shared" si="60"/>
        <v>33.851638281355704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68.144613725198923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1.1368683772161603E-13</v>
      </c>
      <c r="BE127" s="13">
        <f>BD127*VLOOKUP('Données projet'!$B$11,Paramètres!$A$1:$I$89,3,0)*VLOOKUP('Données projet'!$B$11,Paramètres!$A$1:$I$89,5,0)</f>
        <v>5.0249582272954292E-14</v>
      </c>
      <c r="BF127" s="13">
        <f t="shared" si="91"/>
        <v>8.1784820119191593E-13</v>
      </c>
      <c r="BG127" s="20">
        <f t="shared" si="61"/>
        <v>1.5119369728679821E-12</v>
      </c>
      <c r="BH127" s="59">
        <f t="shared" si="62"/>
        <v>286.53025032573089</v>
      </c>
      <c r="BI127" s="59">
        <f ca="1">AVERAGE(OFFSET($BH$3,0,0,'Données projet'!$E$11+1,1))-AVERAGE(OFFSET($H$3,0,0,'Données projet'!$E$11+1,1))</f>
        <v>409.91320873873292</v>
      </c>
      <c r="BJ127" s="59">
        <f t="shared" si="92"/>
        <v>347.86310581860698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86.449661254795046</v>
      </c>
      <c r="BQ127" s="21">
        <f>EXP(-LN(2)/25)*BQ126+(1-EXP(-LN(2)/25))/(LN(2)/25)*Calculateur!BL127*Calculateur!BN127*VLOOKUP('Données projet'!$B$11,Paramètres!$A$1:$I$89,3,0)*0.475*44/12</f>
        <v>21.22713922327074</v>
      </c>
      <c r="BR127" s="21">
        <f>EXP(-LN(2)/2)*BR126+(1-EXP(-LN(2)/2))/(LN(2)/2)*BL127*BO127*VLOOKUP('Données projet'!$B$11,Paramètres!$A$1:$I$89,3,0)*0.475*44/12</f>
        <v>1.8740628044206014E-5</v>
      </c>
      <c r="BS127" s="22">
        <f t="shared" si="63"/>
        <v>107.67681921869384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68.144613725198923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68.144613725198923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68.144613725198923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68.144613725198923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68.144613725198923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68.144613725198923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68.144613725198923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3.25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11.916666666666666</v>
      </c>
      <c r="H128" s="67">
        <f t="shared" si="56"/>
        <v>209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68.176800529044414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5.6843418860808015E-13</v>
      </c>
      <c r="O128" s="13">
        <f>N128*VLOOKUP('Données projet'!$B$9,Paramètres!$A$1:$I$89,3,0)*VLOOKUP('Données projet'!$B$9,Paramètres!$A$1:$I$89,5,0)</f>
        <v>3.177547114319168E-13</v>
      </c>
      <c r="P128" s="13">
        <f t="shared" si="87"/>
        <v>4.1725404435445377E-12</v>
      </c>
      <c r="Q128" s="20">
        <f t="shared" si="107"/>
        <v>7.820597394917325E-12</v>
      </c>
      <c r="R128" s="59">
        <f t="shared" si="55"/>
        <v>286.64826860650402</v>
      </c>
      <c r="S128" s="59">
        <f ca="1">AVERAGE(OFFSET($R$3,0,0,'Données projet'!$E$9+1,1))-AVERAGE(OFFSET($H$3,0,0,'Données projet'!$E$9+1,1))</f>
        <v>399.91876225849921</v>
      </c>
      <c r="T128" s="59">
        <f t="shared" si="88"/>
        <v>368.64132082233505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77.641185913435706</v>
      </c>
      <c r="AA128" s="21">
        <f>EXP(-LN(2)/25)*AA127+(1-EXP(-LN(2)/25))/(LN(2)/25)*Calculateur!V128*Calculateur!X128*VLOOKUP('Données projet'!$B$9,Paramètres!$A$1:$I$89,3,0)*0.475*44/12</f>
        <v>16.705287531642909</v>
      </c>
      <c r="AB128" s="21">
        <f>EXP(-LN(2)/2)*AB127+(1-EXP(-LN(2)/2))/(LN(2)/2)*V128*Y128*VLOOKUP('Données projet'!$B$9,Paramètres!$A$1:$I$89,3,0)*0.475*44/12</f>
        <v>3.9778998692118943E-7</v>
      </c>
      <c r="AC128" s="22">
        <f t="shared" si="57"/>
        <v>94.346473842868605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68.176800529044414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-2.2737367544323206E-13</v>
      </c>
      <c r="AJ128" s="13">
        <f>AI128*VLOOKUP('Données projet'!$B$10,Paramètres!$A$1:$I$89,3,0)*VLOOKUP('Données projet'!$B$10,Paramètres!$A$1:$I$89,5,0)</f>
        <v>-1.064108801074326E-13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280.35802808205239</v>
      </c>
      <c r="AO128" s="59">
        <f t="shared" si="90"/>
        <v>249.32129349927175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25.741150671904418</v>
      </c>
      <c r="AV128" s="21">
        <f>EXP(-LN(2)/25)*AV127+(1-EXP(-LN(2)/25))/(LN(2)/25)*Calculateur!AQ128*Calculateur!AS128*VLOOKUP('Données projet'!$B$10,Paramètres!$A$1:$I$89,3,0)*0.475*44/12</f>
        <v>7.3879204496887505</v>
      </c>
      <c r="AW128" s="21">
        <f>EXP(-LN(2)/2)*AW127+(1-EXP(-LN(2)/2))/(LN(2)/2)*AQ128*AT128*VLOOKUP('Données projet'!$B$10,Paramètres!$A$1:$I$89,3,0)*0.475*44/12</f>
        <v>2.1916852879657021E-9</v>
      </c>
      <c r="AX128" s="21">
        <f t="shared" si="60"/>
        <v>33.129071123784854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68.176800529044414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1.1368683772161603E-13</v>
      </c>
      <c r="BE128" s="13">
        <f>BD128*VLOOKUP('Données projet'!$B$11,Paramètres!$A$1:$I$89,3,0)*VLOOKUP('Données projet'!$B$11,Paramètres!$A$1:$I$89,5,0)</f>
        <v>5.0249582272954292E-14</v>
      </c>
      <c r="BF128" s="13">
        <f t="shared" si="91"/>
        <v>8.1784820119191593E-13</v>
      </c>
      <c r="BG128" s="20">
        <f t="shared" si="61"/>
        <v>1.5119369728679821E-12</v>
      </c>
      <c r="BH128" s="59">
        <f t="shared" si="62"/>
        <v>286.64826860649771</v>
      </c>
      <c r="BI128" s="59">
        <f ca="1">AVERAGE(OFFSET($BH$3,0,0,'Données projet'!$E$11+1,1))-AVERAGE(OFFSET($H$3,0,0,'Données projet'!$E$11+1,1))</f>
        <v>409.91320873873292</v>
      </c>
      <c r="BJ128" s="59">
        <f t="shared" si="92"/>
        <v>347.86310581860698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84.754436126675316</v>
      </c>
      <c r="BQ128" s="21">
        <f>EXP(-LN(2)/25)*BQ127+(1-EXP(-LN(2)/25))/(LN(2)/25)*Calculateur!BL128*Calculateur!BN128*VLOOKUP('Données projet'!$B$11,Paramètres!$A$1:$I$89,3,0)*0.475*44/12</f>
        <v>20.646681984923664</v>
      </c>
      <c r="BR128" s="21">
        <f>EXP(-LN(2)/2)*BR127+(1-EXP(-LN(2)/2))/(LN(2)/2)*BL128*BO128*VLOOKUP('Données projet'!$B$11,Paramètres!$A$1:$I$89,3,0)*0.475*44/12</f>
        <v>1.3251625173752858E-5</v>
      </c>
      <c r="BS128" s="22">
        <f t="shared" si="63"/>
        <v>105.40113136322415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68.176800529044414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68.176800529044414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68.176800529044414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68.176800529044414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68.176800529044414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68.176800529044414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68.176800529044414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3.25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11.916666666666666</v>
      </c>
      <c r="H129" s="67">
        <f t="shared" si="56"/>
        <v>209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68.208428963802106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5.6843418860808015E-13</v>
      </c>
      <c r="O129" s="13">
        <f>N129*VLOOKUP('Données projet'!$B$9,Paramètres!$A$1:$I$89,3,0)*VLOOKUP('Données projet'!$B$9,Paramètres!$A$1:$I$89,5,0)</f>
        <v>3.177547114319168E-13</v>
      </c>
      <c r="P129" s="13">
        <f t="shared" si="87"/>
        <v>4.1725404435445377E-12</v>
      </c>
      <c r="Q129" s="20">
        <f t="shared" si="107"/>
        <v>7.820597394917325E-12</v>
      </c>
      <c r="R129" s="59">
        <f t="shared" si="55"/>
        <v>286.76423953394891</v>
      </c>
      <c r="S129" s="59">
        <f ca="1">AVERAGE(OFFSET($R$3,0,0,'Données projet'!$E$9+1,1))-AVERAGE(OFFSET($H$3,0,0,'Données projet'!$E$9+1,1))</f>
        <v>399.91876225849921</v>
      </c>
      <c r="T129" s="59">
        <f t="shared" si="88"/>
        <v>368.64132082233505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76.118689614120584</v>
      </c>
      <c r="AA129" s="21">
        <f>EXP(-LN(2)/25)*AA128+(1-EXP(-LN(2)/25))/(LN(2)/25)*Calculateur!V129*Calculateur!X129*VLOOKUP('Données projet'!$B$9,Paramètres!$A$1:$I$89,3,0)*0.475*44/12</f>
        <v>16.248480565597244</v>
      </c>
      <c r="AB129" s="21">
        <f>EXP(-LN(2)/2)*AB128+(1-EXP(-LN(2)/2))/(LN(2)/2)*V129*Y129*VLOOKUP('Données projet'!$B$9,Paramètres!$A$1:$I$89,3,0)*0.475*44/12</f>
        <v>2.8127999724008109E-7</v>
      </c>
      <c r="AC129" s="22">
        <f t="shared" si="57"/>
        <v>92.367170460997826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68.208428963802106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-2.2737367544323206E-13</v>
      </c>
      <c r="AJ129" s="13">
        <f>AI129*VLOOKUP('Données projet'!$B$10,Paramètres!$A$1:$I$89,3,0)*VLOOKUP('Données projet'!$B$10,Paramètres!$A$1:$I$89,5,0)</f>
        <v>-1.064108801074326E-13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280.35802808205239</v>
      </c>
      <c r="AO129" s="59">
        <f t="shared" si="90"/>
        <v>249.32129349927175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25.236382407779981</v>
      </c>
      <c r="AV129" s="21">
        <f>EXP(-LN(2)/25)*AV128+(1-EXP(-LN(2)/25))/(LN(2)/25)*Calculateur!AQ129*Calculateur!AS129*VLOOKUP('Données projet'!$B$10,Paramètres!$A$1:$I$89,3,0)*0.475*44/12</f>
        <v>7.1858973764781604</v>
      </c>
      <c r="AW129" s="21">
        <f>EXP(-LN(2)/2)*AW128+(1-EXP(-LN(2)/2))/(LN(2)/2)*AQ129*AT129*VLOOKUP('Données projet'!$B$10,Paramètres!$A$1:$I$89,3,0)*0.475*44/12</f>
        <v>1.5497555293473392E-9</v>
      </c>
      <c r="AX129" s="21">
        <f t="shared" si="60"/>
        <v>32.422279785807902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68.208428963802106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1.1368683772161603E-13</v>
      </c>
      <c r="BE129" s="13">
        <f>BD129*VLOOKUP('Données projet'!$B$11,Paramètres!$A$1:$I$89,3,0)*VLOOKUP('Données projet'!$B$11,Paramètres!$A$1:$I$89,5,0)</f>
        <v>5.0249582272954292E-14</v>
      </c>
      <c r="BF129" s="13">
        <f t="shared" si="91"/>
        <v>8.1784820119191593E-13</v>
      </c>
      <c r="BG129" s="20">
        <f t="shared" si="61"/>
        <v>1.5119369728679821E-12</v>
      </c>
      <c r="BH129" s="59">
        <f t="shared" si="62"/>
        <v>286.7642395339426</v>
      </c>
      <c r="BI129" s="59">
        <f ca="1">AVERAGE(OFFSET($BH$3,0,0,'Données projet'!$E$11+1,1))-AVERAGE(OFFSET($H$3,0,0,'Données projet'!$E$11+1,1))</f>
        <v>409.91320873873292</v>
      </c>
      <c r="BJ129" s="59">
        <f t="shared" si="92"/>
        <v>347.86310581860698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83.092453329332784</v>
      </c>
      <c r="BQ129" s="21">
        <f>EXP(-LN(2)/25)*BQ128+(1-EXP(-LN(2)/25))/(LN(2)/25)*Calculateur!BL129*Calculateur!BN129*VLOOKUP('Données projet'!$B$11,Paramètres!$A$1:$I$89,3,0)*0.475*44/12</f>
        <v>20.082097380284107</v>
      </c>
      <c r="BR129" s="21">
        <f>EXP(-LN(2)/2)*BR128+(1-EXP(-LN(2)/2))/(LN(2)/2)*BL129*BO129*VLOOKUP('Données projet'!$B$11,Paramètres!$A$1:$I$89,3,0)*0.475*44/12</f>
        <v>9.370314022103007E-6</v>
      </c>
      <c r="BS129" s="22">
        <f t="shared" si="63"/>
        <v>103.17456007993091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68.208428963802106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68.208428963802106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68.208428963802106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68.208428963802106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68.208428963802106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68.208428963802106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68.208428963802106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3.25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11.916666666666666</v>
      </c>
      <c r="H130" s="67">
        <f t="shared" si="56"/>
        <v>209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68.239508715927357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5.6843418860808015E-13</v>
      </c>
      <c r="O130" s="13">
        <f>N130*VLOOKUP('Données projet'!$B$9,Paramètres!$A$1:$I$89,3,0)*VLOOKUP('Données projet'!$B$9,Paramètres!$A$1:$I$89,5,0)</f>
        <v>3.177547114319168E-13</v>
      </c>
      <c r="P130" s="13">
        <f t="shared" si="87"/>
        <v>4.1725404435445377E-12</v>
      </c>
      <c r="Q130" s="20">
        <f t="shared" si="107"/>
        <v>7.820597394917325E-12</v>
      </c>
      <c r="R130" s="59">
        <f t="shared" si="55"/>
        <v>286.87819862507484</v>
      </c>
      <c r="S130" s="59">
        <f ca="1">AVERAGE(OFFSET($R$3,0,0,'Données projet'!$E$9+1,1))-AVERAGE(OFFSET($H$3,0,0,'Données projet'!$E$9+1,1))</f>
        <v>399.91876225849921</v>
      </c>
      <c r="T130" s="59">
        <f t="shared" si="88"/>
        <v>368.64132082233505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74.626048538603982</v>
      </c>
      <c r="AA130" s="21">
        <f>EXP(-LN(2)/25)*AA129+(1-EXP(-LN(2)/25))/(LN(2)/25)*Calculateur!V130*Calculateur!X130*VLOOKUP('Données projet'!$B$9,Paramètres!$A$1:$I$89,3,0)*0.475*44/12</f>
        <v>15.804165010060531</v>
      </c>
      <c r="AB130" s="21">
        <f>EXP(-LN(2)/2)*AB129+(1-EXP(-LN(2)/2))/(LN(2)/2)*V130*Y130*VLOOKUP('Données projet'!$B$9,Paramètres!$A$1:$I$89,3,0)*0.475*44/12</f>
        <v>1.9889499346059472E-7</v>
      </c>
      <c r="AC130" s="22">
        <f t="shared" si="57"/>
        <v>90.430213747559506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68.239508715927357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-2.2737367544323206E-13</v>
      </c>
      <c r="AJ130" s="13">
        <f>AI130*VLOOKUP('Données projet'!$B$10,Paramètres!$A$1:$I$89,3,0)*VLOOKUP('Données projet'!$B$10,Paramètres!$A$1:$I$89,5,0)</f>
        <v>-1.064108801074326E-13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280.35802808205239</v>
      </c>
      <c r="AO130" s="59">
        <f t="shared" si="90"/>
        <v>249.32129349927175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24.741512341436785</v>
      </c>
      <c r="AV130" s="21">
        <f>EXP(-LN(2)/25)*AV129+(1-EXP(-LN(2)/25))/(LN(2)/25)*Calculateur!AQ130*Calculateur!AS130*VLOOKUP('Données projet'!$B$10,Paramètres!$A$1:$I$89,3,0)*0.475*44/12</f>
        <v>6.9893986348284454</v>
      </c>
      <c r="AW130" s="21">
        <f>EXP(-LN(2)/2)*AW129+(1-EXP(-LN(2)/2))/(LN(2)/2)*AQ130*AT130*VLOOKUP('Données projet'!$B$10,Paramètres!$A$1:$I$89,3,0)*0.475*44/12</f>
        <v>1.0958426439828511E-9</v>
      </c>
      <c r="AX130" s="21">
        <f t="shared" si="60"/>
        <v>31.73091097736107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68.239508715927357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1.1368683772161603E-13</v>
      </c>
      <c r="BE130" s="13">
        <f>BD130*VLOOKUP('Données projet'!$B$11,Paramètres!$A$1:$I$89,3,0)*VLOOKUP('Données projet'!$B$11,Paramètres!$A$1:$I$89,5,0)</f>
        <v>5.0249582272954292E-14</v>
      </c>
      <c r="BF130" s="13">
        <f t="shared" si="91"/>
        <v>8.1784820119191593E-13</v>
      </c>
      <c r="BG130" s="20">
        <f t="shared" si="61"/>
        <v>1.5119369728679821E-12</v>
      </c>
      <c r="BH130" s="59">
        <f t="shared" si="62"/>
        <v>286.87819862506853</v>
      </c>
      <c r="BI130" s="59">
        <f ca="1">AVERAGE(OFFSET($BH$3,0,0,'Données projet'!$E$11+1,1))-AVERAGE(OFFSET($H$3,0,0,'Données projet'!$E$11+1,1))</f>
        <v>409.91320873873292</v>
      </c>
      <c r="BJ130" s="59">
        <f t="shared" si="92"/>
        <v>347.86310581860698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81.463061000936733</v>
      </c>
      <c r="BQ130" s="21">
        <f>EXP(-LN(2)/25)*BQ129+(1-EXP(-LN(2)/25))/(LN(2)/25)*Calculateur!BL130*Calculateur!BN130*VLOOKUP('Données projet'!$B$11,Paramètres!$A$1:$I$89,3,0)*0.475*44/12</f>
        <v>19.532951371348634</v>
      </c>
      <c r="BR130" s="21">
        <f>EXP(-LN(2)/2)*BR129+(1-EXP(-LN(2)/2))/(LN(2)/2)*BL130*BO130*VLOOKUP('Données projet'!$B$11,Paramètres!$A$1:$I$89,3,0)*0.475*44/12</f>
        <v>6.6258125868764291E-6</v>
      </c>
      <c r="BS130" s="22">
        <f t="shared" si="63"/>
        <v>100.99601899809795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68.239508715927357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68.239508715927357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68.239508715927357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68.239508715927357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68.239508715927357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68.239508715927357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68.239508715927357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3.25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11.916666666666666</v>
      </c>
      <c r="H131" s="67">
        <f t="shared" si="56"/>
        <v>209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68.270049303837141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5.6843418860808015E-13</v>
      </c>
      <c r="O131" s="13">
        <f>N131*VLOOKUP('Données projet'!$B$9,Paramètres!$A$1:$I$89,3,0)*VLOOKUP('Données projet'!$B$9,Paramètres!$A$1:$I$89,5,0)</f>
        <v>3.177547114319168E-13</v>
      </c>
      <c r="P131" s="13">
        <f t="shared" si="87"/>
        <v>4.1725404435445377E-12</v>
      </c>
      <c r="Q131" s="20">
        <f t="shared" ref="Q131:Q153" si="108">(O131+P131)*0.475*44/12</f>
        <v>7.820597394917325E-12</v>
      </c>
      <c r="R131" s="59">
        <f t="shared" ref="R131:R194" si="109">Q131+(I131+J131)*44/12</f>
        <v>286.99018078074403</v>
      </c>
      <c r="S131" s="59">
        <f ca="1">AVERAGE(OFFSET($R$3,0,0,'Données projet'!$E$9+1,1))-AVERAGE(OFFSET($H$3,0,0,'Données projet'!$E$9+1,1))</f>
        <v>399.91876225849921</v>
      </c>
      <c r="T131" s="59">
        <f t="shared" si="88"/>
        <v>368.64132082233505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73.162677244157095</v>
      </c>
      <c r="AA131" s="21">
        <f>EXP(-LN(2)/25)*AA130+(1-EXP(-LN(2)/25))/(LN(2)/25)*Calculateur!V131*Calculateur!X131*VLOOKUP('Données projet'!$B$9,Paramètres!$A$1:$I$89,3,0)*0.475*44/12</f>
        <v>15.371999286755509</v>
      </c>
      <c r="AB131" s="21">
        <f>EXP(-LN(2)/2)*AB130+(1-EXP(-LN(2)/2))/(LN(2)/2)*V131*Y131*VLOOKUP('Données projet'!$B$9,Paramètres!$A$1:$I$89,3,0)*0.475*44/12</f>
        <v>1.4063999862004055E-7</v>
      </c>
      <c r="AC131" s="22">
        <f t="shared" si="57"/>
        <v>88.534676671552603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68.270049303837141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-2.2737367544323206E-13</v>
      </c>
      <c r="AJ131" s="13">
        <f>AI131*VLOOKUP('Données projet'!$B$10,Paramètres!$A$1:$I$89,3,0)*VLOOKUP('Données projet'!$B$10,Paramètres!$A$1:$I$89,5,0)</f>
        <v>-1.064108801074326E-13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280.35802808205239</v>
      </c>
      <c r="AO131" s="59">
        <f t="shared" si="90"/>
        <v>249.32129349927175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24.256346375253642</v>
      </c>
      <c r="AV131" s="21">
        <f>EXP(-LN(2)/25)*AV130+(1-EXP(-LN(2)/25))/(LN(2)/25)*Calculateur!AQ131*Calculateur!AS131*VLOOKUP('Données projet'!$B$10,Paramètres!$A$1:$I$89,3,0)*0.475*44/12</f>
        <v>6.7982731616025616</v>
      </c>
      <c r="AW131" s="21">
        <f>EXP(-LN(2)/2)*AW130+(1-EXP(-LN(2)/2))/(LN(2)/2)*AQ131*AT131*VLOOKUP('Données projet'!$B$10,Paramètres!$A$1:$I$89,3,0)*0.475*44/12</f>
        <v>7.7487776467366958E-10</v>
      </c>
      <c r="AX131" s="21">
        <f t="shared" si="60"/>
        <v>31.054619537631083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68.270049303837141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1.1368683772161603E-13</v>
      </c>
      <c r="BE131" s="13">
        <f>BD131*VLOOKUP('Données projet'!$B$11,Paramètres!$A$1:$I$89,3,0)*VLOOKUP('Données projet'!$B$11,Paramètres!$A$1:$I$89,5,0)</f>
        <v>5.0249582272954292E-14</v>
      </c>
      <c r="BF131" s="13">
        <f t="shared" si="91"/>
        <v>8.1784820119191593E-13</v>
      </c>
      <c r="BG131" s="20">
        <f t="shared" si="61"/>
        <v>1.5119369728679821E-12</v>
      </c>
      <c r="BH131" s="59">
        <f t="shared" si="62"/>
        <v>286.99018078073772</v>
      </c>
      <c r="BI131" s="59">
        <f ca="1">AVERAGE(OFFSET($BH$3,0,0,'Données projet'!$E$11+1,1))-AVERAGE(OFFSET($H$3,0,0,'Données projet'!$E$11+1,1))</f>
        <v>409.91320873873292</v>
      </c>
      <c r="BJ131" s="59">
        <f t="shared" si="92"/>
        <v>347.86310581860698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79.865620062269329</v>
      </c>
      <c r="BQ131" s="21">
        <f>EXP(-LN(2)/25)*BQ130+(1-EXP(-LN(2)/25))/(LN(2)/25)*Calculateur!BL131*Calculateur!BN131*VLOOKUP('Données projet'!$B$11,Paramètres!$A$1:$I$89,3,0)*0.475*44/12</f>
        <v>18.998821788905836</v>
      </c>
      <c r="BR131" s="21">
        <f>EXP(-LN(2)/2)*BR130+(1-EXP(-LN(2)/2))/(LN(2)/2)*BL131*BO131*VLOOKUP('Données projet'!$B$11,Paramètres!$A$1:$I$89,3,0)*0.475*44/12</f>
        <v>4.6851570110515035E-6</v>
      </c>
      <c r="BS131" s="22">
        <f t="shared" si="63"/>
        <v>98.864446536332181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68.270049303837141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68.270049303837141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68.270049303837141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68.270049303837141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68.270049303837141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68.270049303837141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68.270049303837141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3.25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11.916666666666666</v>
      </c>
      <c r="H132" s="67">
        <f t="shared" ref="H132:H195" si="110">(B132+E132+F132)*44/12+(C132+D132)*0.475*44/12</f>
        <v>209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68.300060080825219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5.6843418860808015E-13</v>
      </c>
      <c r="O132" s="13">
        <f>N132*VLOOKUP('Données projet'!$B$9,Paramètres!$A$1:$I$89,3,0)*VLOOKUP('Données projet'!$B$9,Paramètres!$A$1:$I$89,5,0)</f>
        <v>3.177547114319168E-13</v>
      </c>
      <c r="P132" s="13">
        <f t="shared" si="87"/>
        <v>4.1725404435445377E-12</v>
      </c>
      <c r="Q132" s="20">
        <f t="shared" si="108"/>
        <v>7.820597394917325E-12</v>
      </c>
      <c r="R132" s="59">
        <f t="shared" si="109"/>
        <v>287.10022029636701</v>
      </c>
      <c r="S132" s="59">
        <f ca="1">AVERAGE(OFFSET($R$3,0,0,'Données projet'!$E$9+1,1))-AVERAGE(OFFSET($H$3,0,0,'Données projet'!$E$9+1,1))</f>
        <v>399.91876225849921</v>
      </c>
      <c r="T132" s="59">
        <f t="shared" si="88"/>
        <v>368.64132082233505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71.728001768225951</v>
      </c>
      <c r="AA132" s="21">
        <f>EXP(-LN(2)/25)*AA131+(1-EXP(-LN(2)/25))/(LN(2)/25)*Calculateur!V132*Calculateur!X132*VLOOKUP('Données projet'!$B$9,Paramètres!$A$1:$I$89,3,0)*0.475*44/12</f>
        <v>14.951651157880869</v>
      </c>
      <c r="AB132" s="21">
        <f>EXP(-LN(2)/2)*AB131+(1-EXP(-LN(2)/2))/(LN(2)/2)*V132*Y132*VLOOKUP('Données projet'!$B$9,Paramètres!$A$1:$I$89,3,0)*0.475*44/12</f>
        <v>9.9447496730297358E-8</v>
      </c>
      <c r="AC132" s="22">
        <f t="shared" ref="AC132:AC153" si="111">SUM(Z132:AB132)</f>
        <v>86.679653025554316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68.300060080825219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-2.2737367544323206E-13</v>
      </c>
      <c r="AJ132" s="13">
        <f>AI132*VLOOKUP('Données projet'!$B$10,Paramètres!$A$1:$I$89,3,0)*VLOOKUP('Données projet'!$B$10,Paramètres!$A$1:$I$89,5,0)</f>
        <v>-1.064108801074326E-13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280.35802808205239</v>
      </c>
      <c r="AO132" s="59">
        <f t="shared" si="90"/>
        <v>249.32129349927175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23.780694217745332</v>
      </c>
      <c r="AV132" s="21">
        <f>EXP(-LN(2)/25)*AV131+(1-EXP(-LN(2)/25))/(LN(2)/25)*Calculateur!AQ132*Calculateur!AS132*VLOOKUP('Données projet'!$B$10,Paramètres!$A$1:$I$89,3,0)*0.475*44/12</f>
        <v>6.6123740244928912</v>
      </c>
      <c r="AW132" s="21">
        <f>EXP(-LN(2)/2)*AW131+(1-EXP(-LN(2)/2))/(LN(2)/2)*AQ132*AT132*VLOOKUP('Données projet'!$B$10,Paramètres!$A$1:$I$89,3,0)*0.475*44/12</f>
        <v>5.4792132199142553E-10</v>
      </c>
      <c r="AX132" s="21">
        <f t="shared" ref="AX132:AX153" si="114">SUM(AU132:AW132)</f>
        <v>30.393068242786143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68.300060080825219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1.1368683772161603E-13</v>
      </c>
      <c r="BE132" s="13">
        <f>BD132*VLOOKUP('Données projet'!$B$11,Paramètres!$A$1:$I$89,3,0)*VLOOKUP('Données projet'!$B$11,Paramètres!$A$1:$I$89,5,0)</f>
        <v>5.0249582272954292E-14</v>
      </c>
      <c r="BF132" s="13">
        <f t="shared" si="91"/>
        <v>8.1784820119191593E-13</v>
      </c>
      <c r="BG132" s="20">
        <f t="shared" ref="BG132:BG153" si="115">(BE132+BF132)*0.475*44/12</f>
        <v>1.5119369728679821E-12</v>
      </c>
      <c r="BH132" s="59">
        <f t="shared" ref="BH132:BH195" si="116">BG132+(AY132+AZ132)*44/12</f>
        <v>287.1002202963607</v>
      </c>
      <c r="BI132" s="59">
        <f ca="1">AVERAGE(OFFSET($BH$3,0,0,'Données projet'!$E$11+1,1))-AVERAGE(OFFSET($H$3,0,0,'Données projet'!$E$11+1,1))</f>
        <v>409.91320873873292</v>
      </c>
      <c r="BJ132" s="59">
        <f t="shared" si="92"/>
        <v>347.86310581860698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78.299503966066439</v>
      </c>
      <c r="BQ132" s="21">
        <f>EXP(-LN(2)/25)*BQ131+(1-EXP(-LN(2)/25))/(LN(2)/25)*Calculateur!BL132*Calculateur!BN132*VLOOKUP('Données projet'!$B$11,Paramètres!$A$1:$I$89,3,0)*0.475*44/12</f>
        <v>18.479298007983591</v>
      </c>
      <c r="BR132" s="21">
        <f>EXP(-LN(2)/2)*BR131+(1-EXP(-LN(2)/2))/(LN(2)/2)*BL132*BO132*VLOOKUP('Données projet'!$B$11,Paramètres!$A$1:$I$89,3,0)*0.475*44/12</f>
        <v>3.3129062934382145E-6</v>
      </c>
      <c r="BS132" s="22">
        <f t="shared" ref="BS132:BS153" si="117">SUM(BP132:BR132)</f>
        <v>96.778805286956313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68.300060080825219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68.300060080825219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68.300060080825219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68.300060080825219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68.300060080825219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68.300060080825219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68.300060080825219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3.25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11.916666666666666</v>
      </c>
      <c r="H133" s="67">
        <f t="shared" si="110"/>
        <v>209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68.329550237926611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5.6843418860808015E-13</v>
      </c>
      <c r="O133" s="13">
        <f>N133*VLOOKUP('Données projet'!$B$9,Paramètres!$A$1:$I$89,3,0)*VLOOKUP('Données projet'!$B$9,Paramètres!$A$1:$I$89,5,0)</f>
        <v>3.177547114319168E-13</v>
      </c>
      <c r="P133" s="13">
        <f t="shared" ref="P133:P196" si="141">EXP(-1.0587+0.8836*LN(O133)+0.284)</f>
        <v>4.1725404435445377E-12</v>
      </c>
      <c r="Q133" s="20">
        <f t="shared" si="108"/>
        <v>7.820597394917325E-12</v>
      </c>
      <c r="R133" s="59">
        <f t="shared" si="109"/>
        <v>287.20835087240545</v>
      </c>
      <c r="S133" s="59">
        <f ca="1">AVERAGE(OFFSET($R$3,0,0,'Données projet'!$E$9+1,1))-AVERAGE(OFFSET($H$3,0,0,'Données projet'!$E$9+1,1))</f>
        <v>399.91876225849921</v>
      </c>
      <c r="T133" s="59">
        <f t="shared" ref="T133:T196" si="142">$T$3</f>
        <v>368.64132082233505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70.32145940331219</v>
      </c>
      <c r="AA133" s="21">
        <f>EXP(-LN(2)/25)*AA132+(1-EXP(-LN(2)/25))/(LN(2)/25)*Calculateur!V133*Calculateur!X133*VLOOKUP('Données projet'!$B$9,Paramètres!$A$1:$I$89,3,0)*0.475*44/12</f>
        <v>14.542797470695454</v>
      </c>
      <c r="AB133" s="21">
        <f>EXP(-LN(2)/2)*AB132+(1-EXP(-LN(2)/2))/(LN(2)/2)*V133*Y133*VLOOKUP('Données projet'!$B$9,Paramètres!$A$1:$I$89,3,0)*0.475*44/12</f>
        <v>7.0319999310020273E-8</v>
      </c>
      <c r="AC133" s="22">
        <f t="shared" si="111"/>
        <v>84.86425694432765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68.329550237926611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-2.2737367544323206E-13</v>
      </c>
      <c r="AJ133" s="13">
        <f>AI133*VLOOKUP('Données projet'!$B$10,Paramètres!$A$1:$I$89,3,0)*VLOOKUP('Données projet'!$B$10,Paramètres!$A$1:$I$89,5,0)</f>
        <v>-1.064108801074326E-13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280.35802808205239</v>
      </c>
      <c r="AO133" s="59">
        <f t="shared" ref="AO133:AO196" si="144">$AO$3</f>
        <v>249.32129349927175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23.31436930892659</v>
      </c>
      <c r="AV133" s="21">
        <f>EXP(-LN(2)/25)*AV132+(1-EXP(-LN(2)/25))/(LN(2)/25)*Calculateur!AQ133*Calculateur!AS133*VLOOKUP('Données projet'!$B$10,Paramètres!$A$1:$I$89,3,0)*0.475*44/12</f>
        <v>6.4315583090634956</v>
      </c>
      <c r="AW133" s="21">
        <f>EXP(-LN(2)/2)*AW132+(1-EXP(-LN(2)/2))/(LN(2)/2)*AQ133*AT133*VLOOKUP('Données projet'!$B$10,Paramètres!$A$1:$I$89,3,0)*0.475*44/12</f>
        <v>3.8743888233683479E-10</v>
      </c>
      <c r="AX133" s="21">
        <f t="shared" si="114"/>
        <v>29.745927618377522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68.329550237926611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1.1368683772161603E-13</v>
      </c>
      <c r="BE133" s="13">
        <f>BD133*VLOOKUP('Données projet'!$B$11,Paramètres!$A$1:$I$89,3,0)*VLOOKUP('Données projet'!$B$11,Paramètres!$A$1:$I$89,5,0)</f>
        <v>5.0249582272954292E-14</v>
      </c>
      <c r="BF133" s="13">
        <f t="shared" ref="BF133:BF153" si="145">EXP(-1.0587+0.8836*LN(BE133)+0.284)</f>
        <v>8.1784820119191593E-13</v>
      </c>
      <c r="BG133" s="20">
        <f t="shared" si="115"/>
        <v>1.5119369728679821E-12</v>
      </c>
      <c r="BH133" s="59">
        <f t="shared" si="116"/>
        <v>287.20835087239914</v>
      </c>
      <c r="BI133" s="59">
        <f ca="1">AVERAGE(OFFSET($BH$3,0,0,'Données projet'!$E$11+1,1))-AVERAGE(OFFSET($H$3,0,0,'Données projet'!$E$11+1,1))</f>
        <v>409.91320873873292</v>
      </c>
      <c r="BJ133" s="59">
        <f t="shared" ref="BJ133:BJ196" si="146">$BJ$3</f>
        <v>347.86310581860698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76.764098451273583</v>
      </c>
      <c r="BQ133" s="21">
        <f>EXP(-LN(2)/25)*BQ132+(1-EXP(-LN(2)/25))/(LN(2)/25)*Calculateur!BL133*Calculateur!BN133*VLOOKUP('Données projet'!$B$11,Paramètres!$A$1:$I$89,3,0)*0.475*44/12</f>
        <v>17.973980632171234</v>
      </c>
      <c r="BR133" s="21">
        <f>EXP(-LN(2)/2)*BR132+(1-EXP(-LN(2)/2))/(LN(2)/2)*BL133*BO133*VLOOKUP('Données projet'!$B$11,Paramètres!$A$1:$I$89,3,0)*0.475*44/12</f>
        <v>2.3425785055257517E-6</v>
      </c>
      <c r="BS133" s="22">
        <f t="shared" si="117"/>
        <v>94.738081426023328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68.329550237926611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68.329550237926611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68.329550237926611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68.329550237926611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68.329550237926611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68.329550237926611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68.329550237926611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3.25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11.916666666666666</v>
      </c>
      <c r="H134" s="67">
        <f t="shared" si="110"/>
        <v>209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68.35852880673238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5.6843418860808015E-13</v>
      </c>
      <c r="O134" s="13">
        <f>N134*VLOOKUP('Données projet'!$B$9,Paramètres!$A$1:$I$89,3,0)*VLOOKUP('Données projet'!$B$9,Paramètres!$A$1:$I$89,5,0)</f>
        <v>3.177547114319168E-13</v>
      </c>
      <c r="P134" s="13">
        <f t="shared" si="141"/>
        <v>4.1725404435445377E-12</v>
      </c>
      <c r="Q134" s="20">
        <f t="shared" si="108"/>
        <v>7.820597394917325E-12</v>
      </c>
      <c r="R134" s="59">
        <f t="shared" si="109"/>
        <v>287.31460562469323</v>
      </c>
      <c r="S134" s="59">
        <f ca="1">AVERAGE(OFFSET($R$3,0,0,'Données projet'!$E$9+1,1))-AVERAGE(OFFSET($H$3,0,0,'Données projet'!$E$9+1,1))</f>
        <v>399.91876225849921</v>
      </c>
      <c r="T134" s="59">
        <f t="shared" si="142"/>
        <v>368.64132082233505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68.942498476268256</v>
      </c>
      <c r="AA134" s="21">
        <f>EXP(-LN(2)/25)*AA133+(1-EXP(-LN(2)/25))/(LN(2)/25)*Calculateur!V134*Calculateur!X134*VLOOKUP('Données projet'!$B$9,Paramètres!$A$1:$I$89,3,0)*0.475*44/12</f>
        <v>14.145123909086806</v>
      </c>
      <c r="AB134" s="21">
        <f>EXP(-LN(2)/2)*AB133+(1-EXP(-LN(2)/2))/(LN(2)/2)*V134*Y134*VLOOKUP('Données projet'!$B$9,Paramètres!$A$1:$I$89,3,0)*0.475*44/12</f>
        <v>4.9723748365148679E-8</v>
      </c>
      <c r="AC134" s="22">
        <f t="shared" si="111"/>
        <v>83.087622435078814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68.35852880673238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-2.2737367544323206E-13</v>
      </c>
      <c r="AJ134" s="13">
        <f>AI134*VLOOKUP('Données projet'!$B$10,Paramètres!$A$1:$I$89,3,0)*VLOOKUP('Données projet'!$B$10,Paramètres!$A$1:$I$89,5,0)</f>
        <v>-1.064108801074326E-13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280.35802808205239</v>
      </c>
      <c r="AO134" s="59">
        <f t="shared" si="144"/>
        <v>249.32129349927175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22.857188747139674</v>
      </c>
      <c r="AV134" s="21">
        <f>EXP(-LN(2)/25)*AV133+(1-EXP(-LN(2)/25))/(LN(2)/25)*Calculateur!AQ134*Calculateur!AS134*VLOOKUP('Données projet'!$B$10,Paramètres!$A$1:$I$89,3,0)*0.475*44/12</f>
        <v>6.2556870088812024</v>
      </c>
      <c r="AW134" s="21">
        <f>EXP(-LN(2)/2)*AW133+(1-EXP(-LN(2)/2))/(LN(2)/2)*AQ134*AT134*VLOOKUP('Données projet'!$B$10,Paramètres!$A$1:$I$89,3,0)*0.475*44/12</f>
        <v>2.7396066099571277E-10</v>
      </c>
      <c r="AX134" s="21">
        <f t="shared" si="114"/>
        <v>29.112875756294837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68.35852880673238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1.1368683772161603E-13</v>
      </c>
      <c r="BE134" s="13">
        <f>BD134*VLOOKUP('Données projet'!$B$11,Paramètres!$A$1:$I$89,3,0)*VLOOKUP('Données projet'!$B$11,Paramètres!$A$1:$I$89,5,0)</f>
        <v>5.0249582272954292E-14</v>
      </c>
      <c r="BF134" s="13">
        <f t="shared" si="145"/>
        <v>8.1784820119191593E-13</v>
      </c>
      <c r="BG134" s="20">
        <f t="shared" si="115"/>
        <v>1.5119369728679821E-12</v>
      </c>
      <c r="BH134" s="59">
        <f t="shared" si="116"/>
        <v>287.31460562468692</v>
      </c>
      <c r="BI134" s="59">
        <f ca="1">AVERAGE(OFFSET($BH$3,0,0,'Données projet'!$E$11+1,1))-AVERAGE(OFFSET($H$3,0,0,'Données projet'!$E$11+1,1))</f>
        <v>409.91320873873292</v>
      </c>
      <c r="BJ134" s="59">
        <f t="shared" si="146"/>
        <v>347.86310581860698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75.258801302120929</v>
      </c>
      <c r="BQ134" s="21">
        <f>EXP(-LN(2)/25)*BQ133+(1-EXP(-LN(2)/25))/(LN(2)/25)*Calculateur!BL134*Calculateur!BN134*VLOOKUP('Données projet'!$B$11,Paramètres!$A$1:$I$89,3,0)*0.475*44/12</f>
        <v>17.482481186573949</v>
      </c>
      <c r="BR134" s="21">
        <f>EXP(-LN(2)/2)*BR133+(1-EXP(-LN(2)/2))/(LN(2)/2)*BL134*BO134*VLOOKUP('Données projet'!$B$11,Paramètres!$A$1:$I$89,3,0)*0.475*44/12</f>
        <v>1.6564531467191073E-6</v>
      </c>
      <c r="BS134" s="22">
        <f t="shared" si="117"/>
        <v>92.741284145148029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68.35852880673238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68.35852880673238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68.35852880673238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68.35852880673238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68.35852880673238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68.35852880673238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68.35852880673238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3.25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11.916666666666666</v>
      </c>
      <c r="H135" s="67">
        <f t="shared" si="110"/>
        <v>209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68.387004662155761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5.6843418860808015E-13</v>
      </c>
      <c r="O135" s="13">
        <f>N135*VLOOKUP('Données projet'!$B$9,Paramètres!$A$1:$I$89,3,0)*VLOOKUP('Données projet'!$B$9,Paramètres!$A$1:$I$89,5,0)</f>
        <v>3.177547114319168E-13</v>
      </c>
      <c r="P135" s="13">
        <f t="shared" si="141"/>
        <v>4.1725404435445377E-12</v>
      </c>
      <c r="Q135" s="20">
        <f t="shared" si="108"/>
        <v>7.820597394917325E-12</v>
      </c>
      <c r="R135" s="59">
        <f t="shared" si="109"/>
        <v>287.41901709457898</v>
      </c>
      <c r="S135" s="59">
        <f ca="1">AVERAGE(OFFSET($R$3,0,0,'Données projet'!$E$9+1,1))-AVERAGE(OFFSET($H$3,0,0,'Données projet'!$E$9+1,1))</f>
        <v>399.91876225849921</v>
      </c>
      <c r="T135" s="59">
        <f t="shared" si="142"/>
        <v>368.64132082233505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67.590578131920537</v>
      </c>
      <c r="AA135" s="21">
        <f>EXP(-LN(2)/25)*AA134+(1-EXP(-LN(2)/25))/(LN(2)/25)*Calculateur!V135*Calculateur!X135*VLOOKUP('Données projet'!$B$9,Paramètres!$A$1:$I$89,3,0)*0.475*44/12</f>
        <v>13.75832475193309</v>
      </c>
      <c r="AB135" s="21">
        <f>EXP(-LN(2)/2)*AB134+(1-EXP(-LN(2)/2))/(LN(2)/2)*V135*Y135*VLOOKUP('Données projet'!$B$9,Paramètres!$A$1:$I$89,3,0)*0.475*44/12</f>
        <v>3.5159999655010136E-8</v>
      </c>
      <c r="AC135" s="22">
        <f t="shared" si="111"/>
        <v>81.348902919013625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68.387004662155761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-2.2737367544323206E-13</v>
      </c>
      <c r="AJ135" s="13">
        <f>AI135*VLOOKUP('Données projet'!$B$10,Paramètres!$A$1:$I$89,3,0)*VLOOKUP('Données projet'!$B$10,Paramètres!$A$1:$I$89,5,0)</f>
        <v>-1.064108801074326E-13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280.35802808205239</v>
      </c>
      <c r="AO135" s="59">
        <f t="shared" si="144"/>
        <v>249.32129349927175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22.408973217316792</v>
      </c>
      <c r="AV135" s="21">
        <f>EXP(-LN(2)/25)*AV134+(1-EXP(-LN(2)/25))/(LN(2)/25)*Calculateur!AQ135*Calculateur!AS135*VLOOKUP('Données projet'!$B$10,Paramètres!$A$1:$I$89,3,0)*0.475*44/12</f>
        <v>6.0846249186510635</v>
      </c>
      <c r="AW135" s="21">
        <f>EXP(-LN(2)/2)*AW134+(1-EXP(-LN(2)/2))/(LN(2)/2)*AQ135*AT135*VLOOKUP('Données projet'!$B$10,Paramètres!$A$1:$I$89,3,0)*0.475*44/12</f>
        <v>1.937194411684174E-10</v>
      </c>
      <c r="AX135" s="21">
        <f t="shared" si="114"/>
        <v>28.493598136161573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68.387004662155761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1.1368683772161603E-13</v>
      </c>
      <c r="BE135" s="13">
        <f>BD135*VLOOKUP('Données projet'!$B$11,Paramètres!$A$1:$I$89,3,0)*VLOOKUP('Données projet'!$B$11,Paramètres!$A$1:$I$89,5,0)</f>
        <v>5.0249582272954292E-14</v>
      </c>
      <c r="BF135" s="13">
        <f t="shared" si="145"/>
        <v>8.1784820119191593E-13</v>
      </c>
      <c r="BG135" s="20">
        <f t="shared" si="115"/>
        <v>1.5119369728679821E-12</v>
      </c>
      <c r="BH135" s="59">
        <f t="shared" si="116"/>
        <v>287.41901709457267</v>
      </c>
      <c r="BI135" s="59">
        <f ca="1">AVERAGE(OFFSET($BH$3,0,0,'Données projet'!$E$11+1,1))-AVERAGE(OFFSET($H$3,0,0,'Données projet'!$E$11+1,1))</f>
        <v>409.91320873873292</v>
      </c>
      <c r="BJ135" s="59">
        <f t="shared" si="146"/>
        <v>347.86310581860698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73.783022111922548</v>
      </c>
      <c r="BQ135" s="21">
        <f>EXP(-LN(2)/25)*BQ134+(1-EXP(-LN(2)/25))/(LN(2)/25)*Calculateur!BL135*Calculateur!BN135*VLOOKUP('Données projet'!$B$11,Paramètres!$A$1:$I$89,3,0)*0.475*44/12</f>
        <v>17.004421819163355</v>
      </c>
      <c r="BR135" s="21">
        <f>EXP(-LN(2)/2)*BR134+(1-EXP(-LN(2)/2))/(LN(2)/2)*BL135*BO135*VLOOKUP('Données projet'!$B$11,Paramètres!$A$1:$I$89,3,0)*0.475*44/12</f>
        <v>1.1712892527628759E-6</v>
      </c>
      <c r="BS135" s="22">
        <f t="shared" si="117"/>
        <v>90.787445102375159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68.387004662155761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68.387004662155761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68.387004662155761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68.387004662155761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68.387004662155761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68.387004662155761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68.387004662155761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3.25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11.916666666666666</v>
      </c>
      <c r="H136" s="67">
        <f t="shared" si="110"/>
        <v>209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68.414986525150027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5.6843418860808015E-13</v>
      </c>
      <c r="O136" s="13">
        <f>N136*VLOOKUP('Données projet'!$B$9,Paramètres!$A$1:$I$89,3,0)*VLOOKUP('Données projet'!$B$9,Paramètres!$A$1:$I$89,5,0)</f>
        <v>3.177547114319168E-13</v>
      </c>
      <c r="P136" s="13">
        <f t="shared" si="141"/>
        <v>4.1725404435445377E-12</v>
      </c>
      <c r="Q136" s="20">
        <f t="shared" si="108"/>
        <v>7.820597394917325E-12</v>
      </c>
      <c r="R136" s="59">
        <f t="shared" si="109"/>
        <v>287.5216172588913</v>
      </c>
      <c r="S136" s="59">
        <f ca="1">AVERAGE(OFFSET($R$3,0,0,'Données projet'!$E$9+1,1))-AVERAGE(OFFSET($H$3,0,0,'Données projet'!$E$9+1,1))</f>
        <v>399.91876225849921</v>
      </c>
      <c r="T136" s="59">
        <f t="shared" si="142"/>
        <v>368.64132082233505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66.265168120935485</v>
      </c>
      <c r="AA136" s="21">
        <f>EXP(-LN(2)/25)*AA135+(1-EXP(-LN(2)/25))/(LN(2)/25)*Calculateur!V136*Calculateur!X136*VLOOKUP('Données projet'!$B$9,Paramètres!$A$1:$I$89,3,0)*0.475*44/12</f>
        <v>13.382102638072626</v>
      </c>
      <c r="AB136" s="21">
        <f>EXP(-LN(2)/2)*AB135+(1-EXP(-LN(2)/2))/(LN(2)/2)*V136*Y136*VLOOKUP('Données projet'!$B$9,Paramètres!$A$1:$I$89,3,0)*0.475*44/12</f>
        <v>2.4861874182574339E-8</v>
      </c>
      <c r="AC136" s="22">
        <f t="shared" si="111"/>
        <v>79.647270783869985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68.414986525150027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-2.2737367544323206E-13</v>
      </c>
      <c r="AJ136" s="13">
        <f>AI136*VLOOKUP('Données projet'!$B$10,Paramètres!$A$1:$I$89,3,0)*VLOOKUP('Données projet'!$B$10,Paramètres!$A$1:$I$89,5,0)</f>
        <v>-1.064108801074326E-13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280.35802808205239</v>
      </c>
      <c r="AO136" s="59">
        <f t="shared" si="144"/>
        <v>249.32129349927175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21.969546920649258</v>
      </c>
      <c r="AV136" s="21">
        <f>EXP(-LN(2)/25)*AV135+(1-EXP(-LN(2)/25))/(LN(2)/25)*Calculateur!AQ136*Calculateur!AS136*VLOOKUP('Données projet'!$B$10,Paramètres!$A$1:$I$89,3,0)*0.475*44/12</f>
        <v>5.9182405302740326</v>
      </c>
      <c r="AW136" s="21">
        <f>EXP(-LN(2)/2)*AW135+(1-EXP(-LN(2)/2))/(LN(2)/2)*AQ136*AT136*VLOOKUP('Données projet'!$B$10,Paramètres!$A$1:$I$89,3,0)*0.475*44/12</f>
        <v>1.3698033049785638E-10</v>
      </c>
      <c r="AX136" s="21">
        <f t="shared" si="114"/>
        <v>27.887787451060273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68.414986525150027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1.1368683772161603E-13</v>
      </c>
      <c r="BE136" s="13">
        <f>BD136*VLOOKUP('Données projet'!$B$11,Paramètres!$A$1:$I$89,3,0)*VLOOKUP('Données projet'!$B$11,Paramètres!$A$1:$I$89,5,0)</f>
        <v>5.0249582272954292E-14</v>
      </c>
      <c r="BF136" s="13">
        <f t="shared" si="145"/>
        <v>8.1784820119191593E-13</v>
      </c>
      <c r="BG136" s="20">
        <f t="shared" si="115"/>
        <v>1.5119369728679821E-12</v>
      </c>
      <c r="BH136" s="59">
        <f t="shared" si="116"/>
        <v>287.52161725888499</v>
      </c>
      <c r="BI136" s="59">
        <f ca="1">AVERAGE(OFFSET($BH$3,0,0,'Données projet'!$E$11+1,1))-AVERAGE(OFFSET($H$3,0,0,'Données projet'!$E$11+1,1))</f>
        <v>409.91320873873292</v>
      </c>
      <c r="BJ136" s="59">
        <f t="shared" si="146"/>
        <v>347.86310581860698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72.336182051507535</v>
      </c>
      <c r="BQ136" s="21">
        <f>EXP(-LN(2)/25)*BQ135+(1-EXP(-LN(2)/25))/(LN(2)/25)*Calculateur!BL136*Calculateur!BN136*VLOOKUP('Données projet'!$B$11,Paramètres!$A$1:$I$89,3,0)*0.475*44/12</f>
        <v>16.539435010294653</v>
      </c>
      <c r="BR136" s="21">
        <f>EXP(-LN(2)/2)*BR135+(1-EXP(-LN(2)/2))/(LN(2)/2)*BL136*BO136*VLOOKUP('Données projet'!$B$11,Paramètres!$A$1:$I$89,3,0)*0.475*44/12</f>
        <v>8.2822657335955364E-7</v>
      </c>
      <c r="BS136" s="22">
        <f t="shared" si="117"/>
        <v>88.875617890028764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68.414986525150027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68.414986525150027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68.414986525150027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68.414986525150027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68.414986525150027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68.414986525150027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68.414986525150027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3.25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11.916666666666666</v>
      </c>
      <c r="H137" s="67">
        <f t="shared" si="110"/>
        <v>209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68.442482965379398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5.6843418860808015E-13</v>
      </c>
      <c r="O137" s="13">
        <f>N137*VLOOKUP('Données projet'!$B$9,Paramètres!$A$1:$I$89,3,0)*VLOOKUP('Données projet'!$B$9,Paramètres!$A$1:$I$89,5,0)</f>
        <v>3.177547114319168E-13</v>
      </c>
      <c r="P137" s="13">
        <f t="shared" si="141"/>
        <v>4.1725404435445377E-12</v>
      </c>
      <c r="Q137" s="20">
        <f t="shared" si="108"/>
        <v>7.820597394917325E-12</v>
      </c>
      <c r="R137" s="59">
        <f t="shared" si="109"/>
        <v>287.62243753973229</v>
      </c>
      <c r="S137" s="59">
        <f ca="1">AVERAGE(OFFSET($R$3,0,0,'Données projet'!$E$9+1,1))-AVERAGE(OFFSET($H$3,0,0,'Données projet'!$E$9+1,1))</f>
        <v>399.91876225849921</v>
      </c>
      <c r="T137" s="59">
        <f t="shared" si="142"/>
        <v>368.64132082233505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64.965748591845568</v>
      </c>
      <c r="AA137" s="21">
        <f>EXP(-LN(2)/25)*AA136+(1-EXP(-LN(2)/25))/(LN(2)/25)*Calculateur!V137*Calculateur!X137*VLOOKUP('Données projet'!$B$9,Paramètres!$A$1:$I$89,3,0)*0.475*44/12</f>
        <v>13.016168337700337</v>
      </c>
      <c r="AB137" s="21">
        <f>EXP(-LN(2)/2)*AB136+(1-EXP(-LN(2)/2))/(LN(2)/2)*V137*Y137*VLOOKUP('Données projet'!$B$9,Paramètres!$A$1:$I$89,3,0)*0.475*44/12</f>
        <v>1.7579999827505068E-8</v>
      </c>
      <c r="AC137" s="22">
        <f t="shared" si="111"/>
        <v>77.98191694712591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68.442482965379398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-2.2737367544323206E-13</v>
      </c>
      <c r="AJ137" s="13">
        <f>AI137*VLOOKUP('Données projet'!$B$10,Paramètres!$A$1:$I$89,3,0)*VLOOKUP('Données projet'!$B$10,Paramètres!$A$1:$I$89,5,0)</f>
        <v>-1.064108801074326E-13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280.35802808205239</v>
      </c>
      <c r="AO137" s="59">
        <f t="shared" si="144"/>
        <v>249.32129349927175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21.538737505635797</v>
      </c>
      <c r="AV137" s="21">
        <f>EXP(-LN(2)/25)*AV136+(1-EXP(-LN(2)/25))/(LN(2)/25)*Calculateur!AQ137*Calculateur!AS137*VLOOKUP('Données projet'!$B$10,Paramètres!$A$1:$I$89,3,0)*0.475*44/12</f>
        <v>5.7564059317469463</v>
      </c>
      <c r="AW137" s="21">
        <f>EXP(-LN(2)/2)*AW136+(1-EXP(-LN(2)/2))/(LN(2)/2)*AQ137*AT137*VLOOKUP('Données projet'!$B$10,Paramètres!$A$1:$I$89,3,0)*0.475*44/12</f>
        <v>9.6859720584208698E-11</v>
      </c>
      <c r="AX137" s="21">
        <f t="shared" si="114"/>
        <v>27.295143437479606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68.442482965379398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1.1368683772161603E-13</v>
      </c>
      <c r="BE137" s="13">
        <f>BD137*VLOOKUP('Données projet'!$B$11,Paramètres!$A$1:$I$89,3,0)*VLOOKUP('Données projet'!$B$11,Paramètres!$A$1:$I$89,5,0)</f>
        <v>5.0249582272954292E-14</v>
      </c>
      <c r="BF137" s="13">
        <f t="shared" si="145"/>
        <v>8.1784820119191593E-13</v>
      </c>
      <c r="BG137" s="20">
        <f t="shared" si="115"/>
        <v>1.5119369728679821E-12</v>
      </c>
      <c r="BH137" s="59">
        <f t="shared" si="116"/>
        <v>287.62243753972598</v>
      </c>
      <c r="BI137" s="59">
        <f ca="1">AVERAGE(OFFSET($BH$3,0,0,'Données projet'!$E$11+1,1))-AVERAGE(OFFSET($H$3,0,0,'Données projet'!$E$11+1,1))</f>
        <v>409.91320873873292</v>
      </c>
      <c r="BJ137" s="59">
        <f t="shared" si="146"/>
        <v>347.86310581860698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70.91771364219197</v>
      </c>
      <c r="BQ137" s="21">
        <f>EXP(-LN(2)/25)*BQ136+(1-EXP(-LN(2)/25))/(LN(2)/25)*Calculateur!BL137*Calculateur!BN137*VLOOKUP('Données projet'!$B$11,Paramètres!$A$1:$I$89,3,0)*0.475*44/12</f>
        <v>16.087163290167059</v>
      </c>
      <c r="BR137" s="21">
        <f>EXP(-LN(2)/2)*BR136+(1-EXP(-LN(2)/2))/(LN(2)/2)*BL137*BO137*VLOOKUP('Données projet'!$B$11,Paramètres!$A$1:$I$89,3,0)*0.475*44/12</f>
        <v>5.8564462638143794E-7</v>
      </c>
      <c r="BS137" s="22">
        <f t="shared" si="117"/>
        <v>87.004877518003653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68.442482965379398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68.442482965379398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68.442482965379398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68.442482965379398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68.442482965379398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68.442482965379398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68.442482965379398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3.25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11.916666666666666</v>
      </c>
      <c r="H138" s="67">
        <f t="shared" si="110"/>
        <v>209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68.46950240384362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5.6843418860808015E-13</v>
      </c>
      <c r="O138" s="13">
        <f>N138*VLOOKUP('Données projet'!$B$9,Paramètres!$A$1:$I$89,3,0)*VLOOKUP('Données projet'!$B$9,Paramètres!$A$1:$I$89,5,0)</f>
        <v>3.177547114319168E-13</v>
      </c>
      <c r="P138" s="13">
        <f t="shared" si="141"/>
        <v>4.1725404435445377E-12</v>
      </c>
      <c r="Q138" s="20">
        <f t="shared" si="108"/>
        <v>7.820597394917325E-12</v>
      </c>
      <c r="R138" s="59">
        <f t="shared" si="109"/>
        <v>287.72150881410113</v>
      </c>
      <c r="S138" s="59">
        <f ca="1">AVERAGE(OFFSET($R$3,0,0,'Données projet'!$E$9+1,1))-AVERAGE(OFFSET($H$3,0,0,'Données projet'!$E$9+1,1))</f>
        <v>399.91876225849921</v>
      </c>
      <c r="T138" s="59">
        <f t="shared" si="142"/>
        <v>368.64132082233505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63.691809887153454</v>
      </c>
      <c r="AA138" s="21">
        <f>EXP(-LN(2)/25)*AA137+(1-EXP(-LN(2)/25))/(LN(2)/25)*Calculateur!V138*Calculateur!X138*VLOOKUP('Données projet'!$B$9,Paramètres!$A$1:$I$89,3,0)*0.475*44/12</f>
        <v>12.660240530015377</v>
      </c>
      <c r="AB138" s="21">
        <f>EXP(-LN(2)/2)*AB137+(1-EXP(-LN(2)/2))/(LN(2)/2)*V138*Y138*VLOOKUP('Données projet'!$B$9,Paramètres!$A$1:$I$89,3,0)*0.475*44/12</f>
        <v>1.243093709128717E-8</v>
      </c>
      <c r="AC138" s="22">
        <f t="shared" si="111"/>
        <v>76.352050429599757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68.46950240384362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-2.2737367544323206E-13</v>
      </c>
      <c r="AJ138" s="13">
        <f>AI138*VLOOKUP('Données projet'!$B$10,Paramètres!$A$1:$I$89,3,0)*VLOOKUP('Données projet'!$B$10,Paramètres!$A$1:$I$89,5,0)</f>
        <v>-1.064108801074326E-13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280.35802808205239</v>
      </c>
      <c r="AO138" s="59">
        <f t="shared" si="144"/>
        <v>249.32129349927175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21.116376000482955</v>
      </c>
      <c r="AV138" s="21">
        <f>EXP(-LN(2)/25)*AV137+(1-EXP(-LN(2)/25))/(LN(2)/25)*Calculateur!AQ138*Calculateur!AS138*VLOOKUP('Données projet'!$B$10,Paramètres!$A$1:$I$89,3,0)*0.475*44/12</f>
        <v>5.5989967088270944</v>
      </c>
      <c r="AW138" s="21">
        <f>EXP(-LN(2)/2)*AW137+(1-EXP(-LN(2)/2))/(LN(2)/2)*AQ138*AT138*VLOOKUP('Données projet'!$B$10,Paramètres!$A$1:$I$89,3,0)*0.475*44/12</f>
        <v>6.8490165248928191E-11</v>
      </c>
      <c r="AX138" s="21">
        <f t="shared" si="114"/>
        <v>26.715372709378538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68.46950240384362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1.1368683772161603E-13</v>
      </c>
      <c r="BE138" s="13">
        <f>BD138*VLOOKUP('Données projet'!$B$11,Paramètres!$A$1:$I$89,3,0)*VLOOKUP('Données projet'!$B$11,Paramètres!$A$1:$I$89,5,0)</f>
        <v>5.0249582272954292E-14</v>
      </c>
      <c r="BF138" s="13">
        <f t="shared" si="145"/>
        <v>8.1784820119191593E-13</v>
      </c>
      <c r="BG138" s="20">
        <f t="shared" si="115"/>
        <v>1.5119369728679821E-12</v>
      </c>
      <c r="BH138" s="59">
        <f t="shared" si="116"/>
        <v>287.72150881409482</v>
      </c>
      <c r="BI138" s="59">
        <f ca="1">AVERAGE(OFFSET($BH$3,0,0,'Données projet'!$E$11+1,1))-AVERAGE(OFFSET($H$3,0,0,'Données projet'!$E$11+1,1))</f>
        <v>409.91320873873292</v>
      </c>
      <c r="BJ138" s="59">
        <f t="shared" si="146"/>
        <v>347.86310581860698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69.527060533202771</v>
      </c>
      <c r="BQ138" s="21">
        <f>EXP(-LN(2)/25)*BQ137+(1-EXP(-LN(2)/25))/(LN(2)/25)*Calculateur!BL138*Calculateur!BN138*VLOOKUP('Données projet'!$B$11,Paramètres!$A$1:$I$89,3,0)*0.475*44/12</f>
        <v>15.647258964010291</v>
      </c>
      <c r="BR138" s="21">
        <f>EXP(-LN(2)/2)*BR137+(1-EXP(-LN(2)/2))/(LN(2)/2)*BL138*BO138*VLOOKUP('Données projet'!$B$11,Paramètres!$A$1:$I$89,3,0)*0.475*44/12</f>
        <v>4.1411328667977682E-7</v>
      </c>
      <c r="BS138" s="22">
        <f t="shared" si="117"/>
        <v>85.17431991132635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68.46950240384362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68.46950240384362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68.46950240384362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68.46950240384362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68.46950240384362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68.46950240384362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68.46950240384362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3.25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11.916666666666666</v>
      </c>
      <c r="H139" s="67">
        <f t="shared" si="110"/>
        <v>209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68.496053115456931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5.6843418860808015E-13</v>
      </c>
      <c r="O139" s="13">
        <f>N139*VLOOKUP('Données projet'!$B$9,Paramètres!$A$1:$I$89,3,0)*VLOOKUP('Données projet'!$B$9,Paramètres!$A$1:$I$89,5,0)</f>
        <v>3.177547114319168E-13</v>
      </c>
      <c r="P139" s="13">
        <f t="shared" si="141"/>
        <v>4.1725404435445377E-12</v>
      </c>
      <c r="Q139" s="20">
        <f t="shared" si="108"/>
        <v>7.820597394917325E-12</v>
      </c>
      <c r="R139" s="59">
        <f t="shared" si="109"/>
        <v>287.81886142334992</v>
      </c>
      <c r="S139" s="59">
        <f ca="1">AVERAGE(OFFSET($R$3,0,0,'Données projet'!$E$9+1,1))-AVERAGE(OFFSET($H$3,0,0,'Données projet'!$E$9+1,1))</f>
        <v>399.91876225849921</v>
      </c>
      <c r="T139" s="59">
        <f t="shared" si="142"/>
        <v>368.64132082233505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62.442852343434467</v>
      </c>
      <c r="AA139" s="21">
        <f>EXP(-LN(2)/25)*AA138+(1-EXP(-LN(2)/25))/(LN(2)/25)*Calculateur!V139*Calculateur!X139*VLOOKUP('Données projet'!$B$9,Paramètres!$A$1:$I$89,3,0)*0.475*44/12</f>
        <v>12.314045586948993</v>
      </c>
      <c r="AB139" s="21">
        <f>EXP(-LN(2)/2)*AB138+(1-EXP(-LN(2)/2))/(LN(2)/2)*V139*Y139*VLOOKUP('Données projet'!$B$9,Paramètres!$A$1:$I$89,3,0)*0.475*44/12</f>
        <v>8.7899999137525341E-9</v>
      </c>
      <c r="AC139" s="22">
        <f t="shared" si="111"/>
        <v>74.756897939173456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68.496053115456931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-2.2737367544323206E-13</v>
      </c>
      <c r="AJ139" s="13">
        <f>AI139*VLOOKUP('Données projet'!$B$10,Paramètres!$A$1:$I$89,3,0)*VLOOKUP('Données projet'!$B$10,Paramètres!$A$1:$I$89,5,0)</f>
        <v>-1.064108801074326E-13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280.35802808205239</v>
      </c>
      <c r="AO139" s="59">
        <f t="shared" si="144"/>
        <v>249.32129349927175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20.702296746831077</v>
      </c>
      <c r="AV139" s="21">
        <f>EXP(-LN(2)/25)*AV138+(1-EXP(-LN(2)/25))/(LN(2)/25)*Calculateur!AQ139*Calculateur!AS139*VLOOKUP('Données projet'!$B$10,Paramètres!$A$1:$I$89,3,0)*0.475*44/12</f>
        <v>5.4458918493857773</v>
      </c>
      <c r="AW139" s="21">
        <f>EXP(-LN(2)/2)*AW138+(1-EXP(-LN(2)/2))/(LN(2)/2)*AQ139*AT139*VLOOKUP('Données projet'!$B$10,Paramètres!$A$1:$I$89,3,0)*0.475*44/12</f>
        <v>4.8429860292104349E-11</v>
      </c>
      <c r="AX139" s="21">
        <f t="shared" si="114"/>
        <v>26.148188596265285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68.496053115456931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1.1368683772161603E-13</v>
      </c>
      <c r="BE139" s="13">
        <f>BD139*VLOOKUP('Données projet'!$B$11,Paramètres!$A$1:$I$89,3,0)*VLOOKUP('Données projet'!$B$11,Paramètres!$A$1:$I$89,5,0)</f>
        <v>5.0249582272954292E-14</v>
      </c>
      <c r="BF139" s="13">
        <f t="shared" si="145"/>
        <v>8.1784820119191593E-13</v>
      </c>
      <c r="BG139" s="20">
        <f t="shared" si="115"/>
        <v>1.5119369728679821E-12</v>
      </c>
      <c r="BH139" s="59">
        <f t="shared" si="116"/>
        <v>287.81886142334361</v>
      </c>
      <c r="BI139" s="59">
        <f ca="1">AVERAGE(OFFSET($BH$3,0,0,'Données projet'!$E$11+1,1))-AVERAGE(OFFSET($H$3,0,0,'Données projet'!$E$11+1,1))</f>
        <v>409.91320873873292</v>
      </c>
      <c r="BJ139" s="59">
        <f t="shared" si="146"/>
        <v>347.86310581860698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68.163677283466214</v>
      </c>
      <c r="BQ139" s="21">
        <f>EXP(-LN(2)/25)*BQ138+(1-EXP(-LN(2)/25))/(LN(2)/25)*Calculateur!BL139*Calculateur!BN139*VLOOKUP('Données projet'!$B$11,Paramètres!$A$1:$I$89,3,0)*0.475*44/12</f>
        <v>15.219383844785844</v>
      </c>
      <c r="BR139" s="21">
        <f>EXP(-LN(2)/2)*BR138+(1-EXP(-LN(2)/2))/(LN(2)/2)*BL139*BO139*VLOOKUP('Données projet'!$B$11,Paramètres!$A$1:$I$89,3,0)*0.475*44/12</f>
        <v>2.9282231319071897E-7</v>
      </c>
      <c r="BS139" s="22">
        <f t="shared" si="117"/>
        <v>83.383061421074359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68.496053115456931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68.496053115456931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68.496053115456931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68.496053115456931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68.496053115456931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68.496053115456931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68.496053115456931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3.25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11.916666666666666</v>
      </c>
      <c r="H140" s="67">
        <f t="shared" si="110"/>
        <v>209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68.52214323158222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5.6843418860808015E-13</v>
      </c>
      <c r="O140" s="13">
        <f>N140*VLOOKUP('Données projet'!$B$9,Paramètres!$A$1:$I$89,3,0)*VLOOKUP('Données projet'!$B$9,Paramètres!$A$1:$I$89,5,0)</f>
        <v>3.177547114319168E-13</v>
      </c>
      <c r="P140" s="13">
        <f t="shared" si="141"/>
        <v>4.1725404435445377E-12</v>
      </c>
      <c r="Q140" s="20">
        <f t="shared" si="108"/>
        <v>7.820597394917325E-12</v>
      </c>
      <c r="R140" s="59">
        <f t="shared" si="109"/>
        <v>287.91452518247598</v>
      </c>
      <c r="S140" s="59">
        <f ca="1">AVERAGE(OFFSET($R$3,0,0,'Données projet'!$E$9+1,1))-AVERAGE(OFFSET($H$3,0,0,'Données projet'!$E$9+1,1))</f>
        <v>399.91876225849921</v>
      </c>
      <c r="T140" s="59">
        <f t="shared" si="142"/>
        <v>368.64132082233505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61.21838609535893</v>
      </c>
      <c r="AA140" s="21">
        <f>EXP(-LN(2)/25)*AA139+(1-EXP(-LN(2)/25))/(LN(2)/25)*Calculateur!V140*Calculateur!X140*VLOOKUP('Données projet'!$B$9,Paramètres!$A$1:$I$89,3,0)*0.475*44/12</f>
        <v>11.977317362806359</v>
      </c>
      <c r="AB140" s="21">
        <f>EXP(-LN(2)/2)*AB139+(1-EXP(-LN(2)/2))/(LN(2)/2)*V140*Y140*VLOOKUP('Données projet'!$B$9,Paramètres!$A$1:$I$89,3,0)*0.475*44/12</f>
        <v>6.2154685456435849E-9</v>
      </c>
      <c r="AC140" s="22">
        <f t="shared" si="111"/>
        <v>73.195703464380756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68.52214323158222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-2.2737367544323206E-13</v>
      </c>
      <c r="AJ140" s="13">
        <f>AI140*VLOOKUP('Données projet'!$B$10,Paramètres!$A$1:$I$89,3,0)*VLOOKUP('Données projet'!$B$10,Paramètres!$A$1:$I$89,5,0)</f>
        <v>-1.064108801074326E-13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280.35802808205239</v>
      </c>
      <c r="AO140" s="59">
        <f t="shared" si="144"/>
        <v>249.32129349927175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20.296337334779906</v>
      </c>
      <c r="AV140" s="21">
        <f>EXP(-LN(2)/25)*AV139+(1-EXP(-LN(2)/25))/(LN(2)/25)*Calculateur!AQ140*Calculateur!AS140*VLOOKUP('Données projet'!$B$10,Paramètres!$A$1:$I$89,3,0)*0.475*44/12</f>
        <v>5.2969736503773177</v>
      </c>
      <c r="AW140" s="21">
        <f>EXP(-LN(2)/2)*AW139+(1-EXP(-LN(2)/2))/(LN(2)/2)*AQ140*AT140*VLOOKUP('Données projet'!$B$10,Paramètres!$A$1:$I$89,3,0)*0.475*44/12</f>
        <v>3.4245082624464096E-11</v>
      </c>
      <c r="AX140" s="21">
        <f t="shared" si="114"/>
        <v>25.593310985191469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68.52214323158222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1.1368683772161603E-13</v>
      </c>
      <c r="BE140" s="13">
        <f>BD140*VLOOKUP('Données projet'!$B$11,Paramètres!$A$1:$I$89,3,0)*VLOOKUP('Données projet'!$B$11,Paramètres!$A$1:$I$89,5,0)</f>
        <v>5.0249582272954292E-14</v>
      </c>
      <c r="BF140" s="13">
        <f t="shared" si="145"/>
        <v>8.1784820119191593E-13</v>
      </c>
      <c r="BG140" s="20">
        <f t="shared" si="115"/>
        <v>1.5119369728679821E-12</v>
      </c>
      <c r="BH140" s="59">
        <f t="shared" si="116"/>
        <v>287.91452518246967</v>
      </c>
      <c r="BI140" s="59">
        <f ca="1">AVERAGE(OFFSET($BH$3,0,0,'Données projet'!$E$11+1,1))-AVERAGE(OFFSET($H$3,0,0,'Données projet'!$E$11+1,1))</f>
        <v>409.91320873873292</v>
      </c>
      <c r="BJ140" s="59">
        <f t="shared" si="146"/>
        <v>347.86310581860698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66.827029147675319</v>
      </c>
      <c r="BQ140" s="21">
        <f>EXP(-LN(2)/25)*BQ139+(1-EXP(-LN(2)/25))/(LN(2)/25)*Calculateur!BL140*Calculateur!BN140*VLOOKUP('Données projet'!$B$11,Paramètres!$A$1:$I$89,3,0)*0.475*44/12</f>
        <v>14.803208993197563</v>
      </c>
      <c r="BR140" s="21">
        <f>EXP(-LN(2)/2)*BR139+(1-EXP(-LN(2)/2))/(LN(2)/2)*BL140*BO140*VLOOKUP('Données projet'!$B$11,Paramètres!$A$1:$I$89,3,0)*0.475*44/12</f>
        <v>2.0705664333988841E-7</v>
      </c>
      <c r="BS140" s="22">
        <f t="shared" si="117"/>
        <v>81.63023834792952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68.52214323158222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68.52214323158222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68.52214323158222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68.52214323158222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68.52214323158222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68.52214323158222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68.52214323158222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3.25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11.916666666666666</v>
      </c>
      <c r="H141" s="67">
        <f t="shared" si="110"/>
        <v>209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68.54778074252151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5.6843418860808015E-13</v>
      </c>
      <c r="O141" s="13">
        <f>N141*VLOOKUP('Données projet'!$B$9,Paramètres!$A$1:$I$89,3,0)*VLOOKUP('Données projet'!$B$9,Paramètres!$A$1:$I$89,5,0)</f>
        <v>3.177547114319168E-13</v>
      </c>
      <c r="P141" s="13">
        <f t="shared" si="141"/>
        <v>4.1725404435445377E-12</v>
      </c>
      <c r="Q141" s="20">
        <f t="shared" si="108"/>
        <v>7.820597394917325E-12</v>
      </c>
      <c r="R141" s="59">
        <f t="shared" si="109"/>
        <v>288.0085293892534</v>
      </c>
      <c r="S141" s="59">
        <f ca="1">AVERAGE(OFFSET($R$3,0,0,'Données projet'!$E$9+1,1))-AVERAGE(OFFSET($H$3,0,0,'Données projet'!$E$9+1,1))</f>
        <v>399.91876225849921</v>
      </c>
      <c r="T141" s="59">
        <f t="shared" si="142"/>
        <v>368.64132082233505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60.01793088355749</v>
      </c>
      <c r="AA141" s="21">
        <f>EXP(-LN(2)/25)*AA140+(1-EXP(-LN(2)/25))/(LN(2)/25)*Calculateur!V141*Calculateur!X141*VLOOKUP('Données projet'!$B$9,Paramètres!$A$1:$I$89,3,0)*0.475*44/12</f>
        <v>11.649796989660674</v>
      </c>
      <c r="AB141" s="21">
        <f>EXP(-LN(2)/2)*AB140+(1-EXP(-LN(2)/2))/(LN(2)/2)*V141*Y141*VLOOKUP('Données projet'!$B$9,Paramètres!$A$1:$I$89,3,0)*0.475*44/12</f>
        <v>4.394999956876267E-9</v>
      </c>
      <c r="AC141" s="22">
        <f t="shared" si="111"/>
        <v>71.667727877613174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68.54778074252151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-2.2737367544323206E-13</v>
      </c>
      <c r="AJ141" s="13">
        <f>AI141*VLOOKUP('Données projet'!$B$10,Paramètres!$A$1:$I$89,3,0)*VLOOKUP('Données projet'!$B$10,Paramètres!$A$1:$I$89,5,0)</f>
        <v>-1.064108801074326E-13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280.35802808205239</v>
      </c>
      <c r="AO141" s="59">
        <f t="shared" si="144"/>
        <v>249.32129349927175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19.89833853918827</v>
      </c>
      <c r="AV141" s="21">
        <f>EXP(-LN(2)/25)*AV140+(1-EXP(-LN(2)/25))/(LN(2)/25)*Calculateur!AQ141*Calculateur!AS141*VLOOKUP('Données projet'!$B$10,Paramètres!$A$1:$I$89,3,0)*0.475*44/12</f>
        <v>5.1521276273520122</v>
      </c>
      <c r="AW141" s="21">
        <f>EXP(-LN(2)/2)*AW140+(1-EXP(-LN(2)/2))/(LN(2)/2)*AQ141*AT141*VLOOKUP('Données projet'!$B$10,Paramètres!$A$1:$I$89,3,0)*0.475*44/12</f>
        <v>2.4214930146052174E-11</v>
      </c>
      <c r="AX141" s="21">
        <f t="shared" si="114"/>
        <v>25.050466166564497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68.54778074252151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1.1368683772161603E-13</v>
      </c>
      <c r="BE141" s="13">
        <f>BD141*VLOOKUP('Données projet'!$B$11,Paramètres!$A$1:$I$89,3,0)*VLOOKUP('Données projet'!$B$11,Paramètres!$A$1:$I$89,5,0)</f>
        <v>5.0249582272954292E-14</v>
      </c>
      <c r="BF141" s="13">
        <f t="shared" si="145"/>
        <v>8.1784820119191593E-13</v>
      </c>
      <c r="BG141" s="20">
        <f t="shared" si="115"/>
        <v>1.5119369728679821E-12</v>
      </c>
      <c r="BH141" s="59">
        <f t="shared" si="116"/>
        <v>288.00852938924709</v>
      </c>
      <c r="BI141" s="59">
        <f ca="1">AVERAGE(OFFSET($BH$3,0,0,'Données projet'!$E$11+1,1))-AVERAGE(OFFSET($H$3,0,0,'Données projet'!$E$11+1,1))</f>
        <v>409.91320873873292</v>
      </c>
      <c r="BJ141" s="59">
        <f t="shared" si="146"/>
        <v>347.86310581860698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65.516591866552417</v>
      </c>
      <c r="BQ141" s="21">
        <f>EXP(-LN(2)/25)*BQ140+(1-EXP(-LN(2)/25))/(LN(2)/25)*Calculateur!BL141*Calculateur!BN141*VLOOKUP('Données projet'!$B$11,Paramètres!$A$1:$I$89,3,0)*0.475*44/12</f>
        <v>14.398414464811648</v>
      </c>
      <c r="BR141" s="21">
        <f>EXP(-LN(2)/2)*BR140+(1-EXP(-LN(2)/2))/(LN(2)/2)*BL141*BO141*VLOOKUP('Données projet'!$B$11,Paramètres!$A$1:$I$89,3,0)*0.475*44/12</f>
        <v>1.4641115659535948E-7</v>
      </c>
      <c r="BS141" s="22">
        <f t="shared" si="117"/>
        <v>79.915006477775222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68.54778074252151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68.54778074252151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68.54778074252151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68.54778074252151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68.54778074252151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68.54778074252151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68.54778074252151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3.25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11.916666666666666</v>
      </c>
      <c r="H142" s="67">
        <f t="shared" si="110"/>
        <v>209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68.572973499962899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5.6843418860808015E-13</v>
      </c>
      <c r="O142" s="13">
        <f>N142*VLOOKUP('Données projet'!$B$9,Paramètres!$A$1:$I$89,3,0)*VLOOKUP('Données projet'!$B$9,Paramètres!$A$1:$I$89,5,0)</f>
        <v>3.177547114319168E-13</v>
      </c>
      <c r="P142" s="13">
        <f t="shared" si="141"/>
        <v>4.1725404435445377E-12</v>
      </c>
      <c r="Q142" s="20">
        <f t="shared" si="108"/>
        <v>7.820597394917325E-12</v>
      </c>
      <c r="R142" s="59">
        <f t="shared" si="109"/>
        <v>288.10090283320511</v>
      </c>
      <c r="S142" s="59">
        <f ca="1">AVERAGE(OFFSET($R$3,0,0,'Données projet'!$E$9+1,1))-AVERAGE(OFFSET($H$3,0,0,'Données projet'!$E$9+1,1))</f>
        <v>399.91876225849921</v>
      </c>
      <c r="T142" s="59">
        <f t="shared" si="142"/>
        <v>368.64132082233505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58.841015866254097</v>
      </c>
      <c r="AA142" s="21">
        <f>EXP(-LN(2)/25)*AA141+(1-EXP(-LN(2)/25))/(LN(2)/25)*Calculateur!V142*Calculateur!X142*VLOOKUP('Données projet'!$B$9,Paramètres!$A$1:$I$89,3,0)*0.475*44/12</f>
        <v>11.331232678342205</v>
      </c>
      <c r="AB142" s="21">
        <f>EXP(-LN(2)/2)*AB141+(1-EXP(-LN(2)/2))/(LN(2)/2)*V142*Y142*VLOOKUP('Données projet'!$B$9,Paramètres!$A$1:$I$89,3,0)*0.475*44/12</f>
        <v>3.1077342728217924E-9</v>
      </c>
      <c r="AC142" s="22">
        <f t="shared" si="111"/>
        <v>70.172248547704029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68.572973499962899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-2.2737367544323206E-13</v>
      </c>
      <c r="AJ142" s="13">
        <f>AI142*VLOOKUP('Données projet'!$B$10,Paramètres!$A$1:$I$89,3,0)*VLOOKUP('Données projet'!$B$10,Paramètres!$A$1:$I$89,5,0)</f>
        <v>-1.064108801074326E-13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280.35802808205239</v>
      </c>
      <c r="AO142" s="59">
        <f t="shared" si="144"/>
        <v>249.32129349927175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19.508144257222888</v>
      </c>
      <c r="AV142" s="21">
        <f>EXP(-LN(2)/25)*AV141+(1-EXP(-LN(2)/25))/(LN(2)/25)*Calculateur!AQ142*Calculateur!AS142*VLOOKUP('Données projet'!$B$10,Paramètres!$A$1:$I$89,3,0)*0.475*44/12</f>
        <v>5.011242426443455</v>
      </c>
      <c r="AW142" s="21">
        <f>EXP(-LN(2)/2)*AW141+(1-EXP(-LN(2)/2))/(LN(2)/2)*AQ142*AT142*VLOOKUP('Données projet'!$B$10,Paramètres!$A$1:$I$89,3,0)*0.475*44/12</f>
        <v>1.7122541312232048E-11</v>
      </c>
      <c r="AX142" s="21">
        <f t="shared" si="114"/>
        <v>24.519386683683468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68.572973499962899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1.1368683772161603E-13</v>
      </c>
      <c r="BE142" s="13">
        <f>BD142*VLOOKUP('Données projet'!$B$11,Paramètres!$A$1:$I$89,3,0)*VLOOKUP('Données projet'!$B$11,Paramètres!$A$1:$I$89,5,0)</f>
        <v>5.0249582272954292E-14</v>
      </c>
      <c r="BF142" s="13">
        <f t="shared" si="145"/>
        <v>8.1784820119191593E-13</v>
      </c>
      <c r="BG142" s="20">
        <f t="shared" si="115"/>
        <v>1.5119369728679821E-12</v>
      </c>
      <c r="BH142" s="59">
        <f t="shared" si="116"/>
        <v>288.1009028331988</v>
      </c>
      <c r="BI142" s="59">
        <f ca="1">AVERAGE(OFFSET($BH$3,0,0,'Données projet'!$E$11+1,1))-AVERAGE(OFFSET($H$3,0,0,'Données projet'!$E$11+1,1))</f>
        <v>409.91320873873292</v>
      </c>
      <c r="BJ142" s="59">
        <f t="shared" si="146"/>
        <v>347.86310581860698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64.231851461224522</v>
      </c>
      <c r="BQ142" s="21">
        <f>EXP(-LN(2)/25)*BQ141+(1-EXP(-LN(2)/25))/(LN(2)/25)*Calculateur!BL142*Calculateur!BN142*VLOOKUP('Données projet'!$B$11,Paramètres!$A$1:$I$89,3,0)*0.475*44/12</f>
        <v>14.004689064091664</v>
      </c>
      <c r="BR142" s="21">
        <f>EXP(-LN(2)/2)*BR141+(1-EXP(-LN(2)/2))/(LN(2)/2)*BL142*BO142*VLOOKUP('Données projet'!$B$11,Paramètres!$A$1:$I$89,3,0)*0.475*44/12</f>
        <v>1.035283216699442E-7</v>
      </c>
      <c r="BS142" s="22">
        <f t="shared" si="117"/>
        <v>78.236540628844509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68.572973499962899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68.572973499962899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68.572973499962899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68.572973499962899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68.572973499962899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68.572973499962899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68.572973499962899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3.25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11.916666666666666</v>
      </c>
      <c r="H143" s="67">
        <f t="shared" si="110"/>
        <v>209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68.597729219385229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5.6843418860808015E-13</v>
      </c>
      <c r="O143" s="13">
        <f>N143*VLOOKUP('Données projet'!$B$9,Paramètres!$A$1:$I$89,3,0)*VLOOKUP('Données projet'!$B$9,Paramètres!$A$1:$I$89,5,0)</f>
        <v>3.177547114319168E-13</v>
      </c>
      <c r="P143" s="13">
        <f t="shared" si="141"/>
        <v>4.1725404435445377E-12</v>
      </c>
      <c r="Q143" s="20">
        <f t="shared" si="108"/>
        <v>7.820597394917325E-12</v>
      </c>
      <c r="R143" s="59">
        <f t="shared" si="109"/>
        <v>288.19167380442036</v>
      </c>
      <c r="S143" s="59">
        <f ca="1">AVERAGE(OFFSET($R$3,0,0,'Données projet'!$E$9+1,1))-AVERAGE(OFFSET($H$3,0,0,'Données projet'!$E$9+1,1))</f>
        <v>399.91876225849921</v>
      </c>
      <c r="T143" s="59">
        <f t="shared" si="142"/>
        <v>368.64132082233505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57.687179434592743</v>
      </c>
      <c r="AA143" s="21">
        <f>EXP(-LN(2)/25)*AA142+(1-EXP(-LN(2)/25))/(LN(2)/25)*Calculateur!V143*Calculateur!X143*VLOOKUP('Données projet'!$B$9,Paramètres!$A$1:$I$89,3,0)*0.475*44/12</f>
        <v>11.021379524869308</v>
      </c>
      <c r="AB143" s="21">
        <f>EXP(-LN(2)/2)*AB142+(1-EXP(-LN(2)/2))/(LN(2)/2)*V143*Y143*VLOOKUP('Données projet'!$B$9,Paramètres!$A$1:$I$89,3,0)*0.475*44/12</f>
        <v>2.1974999784381335E-9</v>
      </c>
      <c r="AC143" s="22">
        <f t="shared" si="111"/>
        <v>68.708558961659548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68.597729219385229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-2.2737367544323206E-13</v>
      </c>
      <c r="AJ143" s="13">
        <f>AI143*VLOOKUP('Données projet'!$B$10,Paramètres!$A$1:$I$89,3,0)*VLOOKUP('Données projet'!$B$10,Paramètres!$A$1:$I$89,5,0)</f>
        <v>-1.064108801074326E-13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280.35802808205239</v>
      </c>
      <c r="AO143" s="59">
        <f t="shared" si="144"/>
        <v>249.32129349927175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19.125601447131835</v>
      </c>
      <c r="AV143" s="21">
        <f>EXP(-LN(2)/25)*AV142+(1-EXP(-LN(2)/25))/(LN(2)/25)*Calculateur!AQ143*Calculateur!AS143*VLOOKUP('Données projet'!$B$10,Paramètres!$A$1:$I$89,3,0)*0.475*44/12</f>
        <v>4.8742097387625725</v>
      </c>
      <c r="AW143" s="21">
        <f>EXP(-LN(2)/2)*AW142+(1-EXP(-LN(2)/2))/(LN(2)/2)*AQ143*AT143*VLOOKUP('Données projet'!$B$10,Paramètres!$A$1:$I$89,3,0)*0.475*44/12</f>
        <v>1.2107465073026087E-11</v>
      </c>
      <c r="AX143" s="21">
        <f t="shared" si="114"/>
        <v>23.999811185906516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68.597729219385229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1.1368683772161603E-13</v>
      </c>
      <c r="BE143" s="13">
        <f>BD143*VLOOKUP('Données projet'!$B$11,Paramètres!$A$1:$I$89,3,0)*VLOOKUP('Données projet'!$B$11,Paramètres!$A$1:$I$89,5,0)</f>
        <v>5.0249582272954292E-14</v>
      </c>
      <c r="BF143" s="13">
        <f t="shared" si="145"/>
        <v>8.1784820119191593E-13</v>
      </c>
      <c r="BG143" s="20">
        <f t="shared" si="115"/>
        <v>1.5119369728679821E-12</v>
      </c>
      <c r="BH143" s="59">
        <f t="shared" si="116"/>
        <v>288.19167380441405</v>
      </c>
      <c r="BI143" s="59">
        <f ca="1">AVERAGE(OFFSET($BH$3,0,0,'Données projet'!$E$11+1,1))-AVERAGE(OFFSET($H$3,0,0,'Données projet'!$E$11+1,1))</f>
        <v>409.91320873873292</v>
      </c>
      <c r="BJ143" s="59">
        <f t="shared" si="146"/>
        <v>347.86310581860698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62.972304031630841</v>
      </c>
      <c r="BQ143" s="21">
        <f>EXP(-LN(2)/25)*BQ142+(1-EXP(-LN(2)/25))/(LN(2)/25)*Calculateur!BL143*Calculateur!BN143*VLOOKUP('Données projet'!$B$11,Paramètres!$A$1:$I$89,3,0)*0.475*44/12</f>
        <v>13.621730105159488</v>
      </c>
      <c r="BR143" s="21">
        <f>EXP(-LN(2)/2)*BR142+(1-EXP(-LN(2)/2))/(LN(2)/2)*BL143*BO143*VLOOKUP('Données projet'!$B$11,Paramètres!$A$1:$I$89,3,0)*0.475*44/12</f>
        <v>7.3205578297679742E-8</v>
      </c>
      <c r="BS143" s="22">
        <f t="shared" si="117"/>
        <v>76.594034209995911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68.597729219385229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68.597729219385229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68.597729219385229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68.597729219385229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68.597729219385229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68.597729219385229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68.597729219385229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3.25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11.916666666666666</v>
      </c>
      <c r="H144" s="67">
        <f t="shared" si="110"/>
        <v>209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68.622055482421089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5.6843418860808015E-13</v>
      </c>
      <c r="O144" s="13">
        <f>N144*VLOOKUP('Données projet'!$B$9,Paramètres!$A$1:$I$89,3,0)*VLOOKUP('Données projet'!$B$9,Paramètres!$A$1:$I$89,5,0)</f>
        <v>3.177547114319168E-13</v>
      </c>
      <c r="P144" s="13">
        <f t="shared" si="141"/>
        <v>4.1725404435445377E-12</v>
      </c>
      <c r="Q144" s="20">
        <f t="shared" si="108"/>
        <v>7.820597394917325E-12</v>
      </c>
      <c r="R144" s="59">
        <f t="shared" si="109"/>
        <v>288.2808701022185</v>
      </c>
      <c r="S144" s="59">
        <f ca="1">AVERAGE(OFFSET($R$3,0,0,'Données projet'!$E$9+1,1))-AVERAGE(OFFSET($H$3,0,0,'Données projet'!$E$9+1,1))</f>
        <v>399.91876225849921</v>
      </c>
      <c r="T144" s="59">
        <f t="shared" si="142"/>
        <v>368.64132082233505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56.555969031585533</v>
      </c>
      <c r="AA144" s="21">
        <f>EXP(-LN(2)/25)*AA143+(1-EXP(-LN(2)/25))/(LN(2)/25)*Calculateur!V144*Calculateur!X144*VLOOKUP('Données projet'!$B$9,Paramètres!$A$1:$I$89,3,0)*0.475*44/12</f>
        <v>10.719999322172598</v>
      </c>
      <c r="AB144" s="21">
        <f>EXP(-LN(2)/2)*AB143+(1-EXP(-LN(2)/2))/(LN(2)/2)*V144*Y144*VLOOKUP('Données projet'!$B$9,Paramètres!$A$1:$I$89,3,0)*0.475*44/12</f>
        <v>1.5538671364108962E-9</v>
      </c>
      <c r="AC144" s="22">
        <f t="shared" si="111"/>
        <v>67.275968355312003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68.622055482421089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-2.2737367544323206E-13</v>
      </c>
      <c r="AJ144" s="13">
        <f>AI144*VLOOKUP('Données projet'!$B$10,Paramètres!$A$1:$I$89,3,0)*VLOOKUP('Données projet'!$B$10,Paramètres!$A$1:$I$89,5,0)</f>
        <v>-1.064108801074326E-13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280.35802808205239</v>
      </c>
      <c r="AO144" s="59">
        <f t="shared" si="144"/>
        <v>249.32129349927175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18.750560068218594</v>
      </c>
      <c r="AV144" s="21">
        <f>EXP(-LN(2)/25)*AV143+(1-EXP(-LN(2)/25))/(LN(2)/25)*Calculateur!AQ144*Calculateur!AS144*VLOOKUP('Données projet'!$B$10,Paramètres!$A$1:$I$89,3,0)*0.475*44/12</f>
        <v>4.7409242171325596</v>
      </c>
      <c r="AW144" s="21">
        <f>EXP(-LN(2)/2)*AW143+(1-EXP(-LN(2)/2))/(LN(2)/2)*AQ144*AT144*VLOOKUP('Données projet'!$B$10,Paramètres!$A$1:$I$89,3,0)*0.475*44/12</f>
        <v>8.5612706561160239E-12</v>
      </c>
      <c r="AX144" s="21">
        <f t="shared" si="114"/>
        <v>23.491484285359714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68.622055482421089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1.1368683772161603E-13</v>
      </c>
      <c r="BE144" s="13">
        <f>BD144*VLOOKUP('Données projet'!$B$11,Paramètres!$A$1:$I$89,3,0)*VLOOKUP('Données projet'!$B$11,Paramètres!$A$1:$I$89,5,0)</f>
        <v>5.0249582272954292E-14</v>
      </c>
      <c r="BF144" s="13">
        <f t="shared" si="145"/>
        <v>8.1784820119191593E-13</v>
      </c>
      <c r="BG144" s="20">
        <f t="shared" si="115"/>
        <v>1.5119369728679821E-12</v>
      </c>
      <c r="BH144" s="59">
        <f t="shared" si="116"/>
        <v>288.28087010221219</v>
      </c>
      <c r="BI144" s="59">
        <f ca="1">AVERAGE(OFFSET($BH$3,0,0,'Données projet'!$E$11+1,1))-AVERAGE(OFFSET($H$3,0,0,'Données projet'!$E$11+1,1))</f>
        <v>409.91320873873292</v>
      </c>
      <c r="BJ144" s="59">
        <f t="shared" si="146"/>
        <v>347.86310581860698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61.737455558883418</v>
      </c>
      <c r="BQ144" s="21">
        <f>EXP(-LN(2)/25)*BQ143+(1-EXP(-LN(2)/25))/(LN(2)/25)*Calculateur!BL144*Calculateur!BN144*VLOOKUP('Données projet'!$B$11,Paramètres!$A$1:$I$89,3,0)*0.475*44/12</f>
        <v>13.249243179098249</v>
      </c>
      <c r="BR144" s="21">
        <f>EXP(-LN(2)/2)*BR143+(1-EXP(-LN(2)/2))/(LN(2)/2)*BL144*BO144*VLOOKUP('Données projet'!$B$11,Paramètres!$A$1:$I$89,3,0)*0.475*44/12</f>
        <v>5.1764160834972102E-8</v>
      </c>
      <c r="BS144" s="22">
        <f t="shared" si="117"/>
        <v>74.98669878974583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68.622055482421089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68.622055482421089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68.622055482421089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68.622055482421089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68.622055482421089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68.622055482421089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68.622055482421089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3.25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11.916666666666666</v>
      </c>
      <c r="H145" s="67">
        <f t="shared" si="110"/>
        <v>209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68.645959739178664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5.6843418860808015E-13</v>
      </c>
      <c r="O145" s="13">
        <f>N145*VLOOKUP('Données projet'!$B$9,Paramètres!$A$1:$I$89,3,0)*VLOOKUP('Données projet'!$B$9,Paramètres!$A$1:$I$89,5,0)</f>
        <v>3.177547114319168E-13</v>
      </c>
      <c r="P145" s="13">
        <f t="shared" si="141"/>
        <v>4.1725404435445377E-12</v>
      </c>
      <c r="Q145" s="20">
        <f t="shared" si="108"/>
        <v>7.820597394917325E-12</v>
      </c>
      <c r="R145" s="59">
        <f t="shared" si="109"/>
        <v>288.36851904366296</v>
      </c>
      <c r="S145" s="59">
        <f ca="1">AVERAGE(OFFSET($R$3,0,0,'Données projet'!$E$9+1,1))-AVERAGE(OFFSET($H$3,0,0,'Données projet'!$E$9+1,1))</f>
        <v>399.91876225849921</v>
      </c>
      <c r="T145" s="59">
        <f t="shared" si="142"/>
        <v>368.64132082233505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55.446940974611081</v>
      </c>
      <c r="AA145" s="21">
        <f>EXP(-LN(2)/25)*AA144+(1-EXP(-LN(2)/25))/(LN(2)/25)*Calculateur!V145*Calculateur!X145*VLOOKUP('Données projet'!$B$9,Paramètres!$A$1:$I$89,3,0)*0.475*44/12</f>
        <v>10.426860376967525</v>
      </c>
      <c r="AB145" s="21">
        <f>EXP(-LN(2)/2)*AB144+(1-EXP(-LN(2)/2))/(LN(2)/2)*V145*Y145*VLOOKUP('Données projet'!$B$9,Paramètres!$A$1:$I$89,3,0)*0.475*44/12</f>
        <v>1.0987499892190668E-9</v>
      </c>
      <c r="AC145" s="22">
        <f t="shared" si="111"/>
        <v>65.873801352677361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68.645959739178664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-2.2737367544323206E-13</v>
      </c>
      <c r="AJ145" s="13">
        <f>AI145*VLOOKUP('Données projet'!$B$10,Paramètres!$A$1:$I$89,3,0)*VLOOKUP('Données projet'!$B$10,Paramètres!$A$1:$I$89,5,0)</f>
        <v>-1.064108801074326E-13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280.35802808205239</v>
      </c>
      <c r="AO145" s="59">
        <f t="shared" si="144"/>
        <v>249.32129349927175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18.382873021993188</v>
      </c>
      <c r="AV145" s="21">
        <f>EXP(-LN(2)/25)*AV144+(1-EXP(-LN(2)/25))/(LN(2)/25)*Calculateur!AQ145*Calculateur!AS145*VLOOKUP('Données projet'!$B$10,Paramètres!$A$1:$I$89,3,0)*0.475*44/12</f>
        <v>4.6112833951007008</v>
      </c>
      <c r="AW145" s="21">
        <f>EXP(-LN(2)/2)*AW144+(1-EXP(-LN(2)/2))/(LN(2)/2)*AQ145*AT145*VLOOKUP('Données projet'!$B$10,Paramètres!$A$1:$I$89,3,0)*0.475*44/12</f>
        <v>6.0537325365130436E-12</v>
      </c>
      <c r="AX145" s="21">
        <f t="shared" si="114"/>
        <v>22.994156417099944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68.645959739178664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1.1368683772161603E-13</v>
      </c>
      <c r="BE145" s="13">
        <f>BD145*VLOOKUP('Données projet'!$B$11,Paramètres!$A$1:$I$89,3,0)*VLOOKUP('Données projet'!$B$11,Paramètres!$A$1:$I$89,5,0)</f>
        <v>5.0249582272954292E-14</v>
      </c>
      <c r="BF145" s="13">
        <f t="shared" si="145"/>
        <v>8.1784820119191593E-13</v>
      </c>
      <c r="BG145" s="20">
        <f t="shared" si="115"/>
        <v>1.5119369728679821E-12</v>
      </c>
      <c r="BH145" s="59">
        <f t="shared" si="116"/>
        <v>288.36851904365665</v>
      </c>
      <c r="BI145" s="59">
        <f ca="1">AVERAGE(OFFSET($BH$3,0,0,'Données projet'!$E$11+1,1))-AVERAGE(OFFSET($H$3,0,0,'Données projet'!$E$11+1,1))</f>
        <v>409.91320873873292</v>
      </c>
      <c r="BJ145" s="59">
        <f t="shared" si="146"/>
        <v>347.86310581860698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60.526821711503374</v>
      </c>
      <c r="BQ145" s="21">
        <f>EXP(-LN(2)/25)*BQ144+(1-EXP(-LN(2)/25))/(LN(2)/25)*Calculateur!BL145*Calculateur!BN145*VLOOKUP('Données projet'!$B$11,Paramètres!$A$1:$I$89,3,0)*0.475*44/12</f>
        <v>12.886941927618389</v>
      </c>
      <c r="BR145" s="21">
        <f>EXP(-LN(2)/2)*BR144+(1-EXP(-LN(2)/2))/(LN(2)/2)*BL145*BO145*VLOOKUP('Données projet'!$B$11,Paramètres!$A$1:$I$89,3,0)*0.475*44/12</f>
        <v>3.6602789148839871E-8</v>
      </c>
      <c r="BS145" s="22">
        <f t="shared" si="117"/>
        <v>73.413763675724553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68.645959739178664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68.645959739178664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68.645959739178664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68.645959739178664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68.645959739178664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68.645959739178664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68.645959739178664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3.25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11.916666666666666</v>
      </c>
      <c r="H146" s="67">
        <f t="shared" si="110"/>
        <v>209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68.66944931052339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5.6843418860808015E-13</v>
      </c>
      <c r="O146" s="13">
        <f>N146*VLOOKUP('Données projet'!$B$9,Paramètres!$A$1:$I$89,3,0)*VLOOKUP('Données projet'!$B$9,Paramètres!$A$1:$I$89,5,0)</f>
        <v>3.177547114319168E-13</v>
      </c>
      <c r="P146" s="13">
        <f t="shared" si="141"/>
        <v>4.1725404435445377E-12</v>
      </c>
      <c r="Q146" s="20">
        <f t="shared" si="108"/>
        <v>7.820597394917325E-12</v>
      </c>
      <c r="R146" s="59">
        <f t="shared" si="109"/>
        <v>288.45464747192693</v>
      </c>
      <c r="S146" s="59">
        <f ca="1">AVERAGE(OFFSET($R$3,0,0,'Données projet'!$E$9+1,1))-AVERAGE(OFFSET($H$3,0,0,'Données projet'!$E$9+1,1))</f>
        <v>399.91876225849921</v>
      </c>
      <c r="T146" s="59">
        <f t="shared" si="142"/>
        <v>368.64132082233505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54.359660281393573</v>
      </c>
      <c r="AA146" s="21">
        <f>EXP(-LN(2)/25)*AA145+(1-EXP(-LN(2)/25))/(LN(2)/25)*Calculateur!V146*Calculateur!X146*VLOOKUP('Données projet'!$B$9,Paramètres!$A$1:$I$89,3,0)*0.475*44/12</f>
        <v>10.141737331634593</v>
      </c>
      <c r="AB146" s="21">
        <f>EXP(-LN(2)/2)*AB145+(1-EXP(-LN(2)/2))/(LN(2)/2)*V146*Y146*VLOOKUP('Données projet'!$B$9,Paramètres!$A$1:$I$89,3,0)*0.475*44/12</f>
        <v>7.7693356820544811E-10</v>
      </c>
      <c r="AC146" s="22">
        <f t="shared" si="111"/>
        <v>64.501397613805096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68.66944931052339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-2.2737367544323206E-13</v>
      </c>
      <c r="AJ146" s="13">
        <f>AI146*VLOOKUP('Données projet'!$B$10,Paramètres!$A$1:$I$89,3,0)*VLOOKUP('Données projet'!$B$10,Paramètres!$A$1:$I$89,5,0)</f>
        <v>-1.064108801074326E-13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280.35802808205239</v>
      </c>
      <c r="AO146" s="59">
        <f t="shared" si="144"/>
        <v>249.32129349927175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18.022396094477308</v>
      </c>
      <c r="AV146" s="21">
        <f>EXP(-LN(2)/25)*AV145+(1-EXP(-LN(2)/25))/(LN(2)/25)*Calculateur!AQ146*Calculateur!AS146*VLOOKUP('Données projet'!$B$10,Paramètres!$A$1:$I$89,3,0)*0.475*44/12</f>
        <v>4.4851876081648179</v>
      </c>
      <c r="AW146" s="21">
        <f>EXP(-LN(2)/2)*AW145+(1-EXP(-LN(2)/2))/(LN(2)/2)*AQ146*AT146*VLOOKUP('Données projet'!$B$10,Paramètres!$A$1:$I$89,3,0)*0.475*44/12</f>
        <v>4.280635328058012E-12</v>
      </c>
      <c r="AX146" s="21">
        <f t="shared" si="114"/>
        <v>22.507583702646407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68.66944931052339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1.1368683772161603E-13</v>
      </c>
      <c r="BE146" s="13">
        <f>BD146*VLOOKUP('Données projet'!$B$11,Paramètres!$A$1:$I$89,3,0)*VLOOKUP('Données projet'!$B$11,Paramètres!$A$1:$I$89,5,0)</f>
        <v>5.0249582272954292E-14</v>
      </c>
      <c r="BF146" s="13">
        <f t="shared" si="145"/>
        <v>8.1784820119191593E-13</v>
      </c>
      <c r="BG146" s="20">
        <f t="shared" si="115"/>
        <v>1.5119369728679821E-12</v>
      </c>
      <c r="BH146" s="59">
        <f t="shared" si="116"/>
        <v>288.45464747192062</v>
      </c>
      <c r="BI146" s="59">
        <f ca="1">AVERAGE(OFFSET($BH$3,0,0,'Données projet'!$E$11+1,1))-AVERAGE(OFFSET($H$3,0,0,'Données projet'!$E$11+1,1))</f>
        <v>409.91320873873292</v>
      </c>
      <c r="BJ146" s="59">
        <f t="shared" si="146"/>
        <v>347.86310581860698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59.339927655456712</v>
      </c>
      <c r="BQ146" s="21">
        <f>EXP(-LN(2)/25)*BQ145+(1-EXP(-LN(2)/25))/(LN(2)/25)*Calculateur!BL146*Calculateur!BN146*VLOOKUP('Données projet'!$B$11,Paramètres!$A$1:$I$89,3,0)*0.475*44/12</f>
        <v>12.534547822912842</v>
      </c>
      <c r="BR146" s="21">
        <f>EXP(-LN(2)/2)*BR145+(1-EXP(-LN(2)/2))/(LN(2)/2)*BL146*BO146*VLOOKUP('Données projet'!$B$11,Paramètres!$A$1:$I$89,3,0)*0.475*44/12</f>
        <v>2.5882080417486051E-8</v>
      </c>
      <c r="BS146" s="22">
        <f t="shared" si="117"/>
        <v>71.874475504251635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68.66944931052339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68.66944931052339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68.66944931052339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68.66944931052339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68.66944931052339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68.66944931052339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68.66944931052339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3.25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11.916666666666666</v>
      </c>
      <c r="H147" s="67">
        <f t="shared" si="110"/>
        <v>209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68.692531390320113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5.6843418860808015E-13</v>
      </c>
      <c r="O147" s="13">
        <f>N147*VLOOKUP('Données projet'!$B$9,Paramètres!$A$1:$I$89,3,0)*VLOOKUP('Données projet'!$B$9,Paramètres!$A$1:$I$89,5,0)</f>
        <v>3.177547114319168E-13</v>
      </c>
      <c r="P147" s="13">
        <f t="shared" si="141"/>
        <v>4.1725404435445377E-12</v>
      </c>
      <c r="Q147" s="20">
        <f t="shared" si="108"/>
        <v>7.820597394917325E-12</v>
      </c>
      <c r="R147" s="59">
        <f t="shared" si="109"/>
        <v>288.5392817645149</v>
      </c>
      <c r="S147" s="59">
        <f ca="1">AVERAGE(OFFSET($R$3,0,0,'Données projet'!$E$9+1,1))-AVERAGE(OFFSET($H$3,0,0,'Données projet'!$E$9+1,1))</f>
        <v>399.91876225849921</v>
      </c>
      <c r="T147" s="59">
        <f t="shared" si="142"/>
        <v>368.64132082233505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53.293700499394319</v>
      </c>
      <c r="AA147" s="21">
        <f>EXP(-LN(2)/25)*AA146+(1-EXP(-LN(2)/25))/(LN(2)/25)*Calculateur!V147*Calculateur!X147*VLOOKUP('Données projet'!$B$9,Paramètres!$A$1:$I$89,3,0)*0.475*44/12</f>
        <v>9.8644109909702582</v>
      </c>
      <c r="AB147" s="21">
        <f>EXP(-LN(2)/2)*AB146+(1-EXP(-LN(2)/2))/(LN(2)/2)*V147*Y147*VLOOKUP('Données projet'!$B$9,Paramètres!$A$1:$I$89,3,0)*0.475*44/12</f>
        <v>5.4937499460953338E-10</v>
      </c>
      <c r="AC147" s="22">
        <f t="shared" si="111"/>
        <v>63.158111490913953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68.692531390320113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-2.2737367544323206E-13</v>
      </c>
      <c r="AJ147" s="13">
        <f>AI147*VLOOKUP('Données projet'!$B$10,Paramètres!$A$1:$I$89,3,0)*VLOOKUP('Données projet'!$B$10,Paramètres!$A$1:$I$89,5,0)</f>
        <v>-1.064108801074326E-13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280.35802808205239</v>
      </c>
      <c r="AO147" s="59">
        <f t="shared" si="144"/>
        <v>249.32129349927175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17.668987899640801</v>
      </c>
      <c r="AV147" s="21">
        <f>EXP(-LN(2)/25)*AV146+(1-EXP(-LN(2)/25))/(LN(2)/25)*Calculateur!AQ147*Calculateur!AS147*VLOOKUP('Données projet'!$B$10,Paramètres!$A$1:$I$89,3,0)*0.475*44/12</f>
        <v>4.3625399171537858</v>
      </c>
      <c r="AW147" s="21">
        <f>EXP(-LN(2)/2)*AW146+(1-EXP(-LN(2)/2))/(LN(2)/2)*AQ147*AT147*VLOOKUP('Données projet'!$B$10,Paramètres!$A$1:$I$89,3,0)*0.475*44/12</f>
        <v>3.0268662682565218E-12</v>
      </c>
      <c r="AX147" s="21">
        <f t="shared" si="114"/>
        <v>22.031527816797613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68.692531390320113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1.1368683772161603E-13</v>
      </c>
      <c r="BE147" s="13">
        <f>BD147*VLOOKUP('Données projet'!$B$11,Paramètres!$A$1:$I$89,3,0)*VLOOKUP('Données projet'!$B$11,Paramètres!$A$1:$I$89,5,0)</f>
        <v>5.0249582272954292E-14</v>
      </c>
      <c r="BF147" s="13">
        <f t="shared" si="145"/>
        <v>8.1784820119191593E-13</v>
      </c>
      <c r="BG147" s="20">
        <f t="shared" si="115"/>
        <v>1.5119369728679821E-12</v>
      </c>
      <c r="BH147" s="59">
        <f t="shared" si="116"/>
        <v>288.53928176450859</v>
      </c>
      <c r="BI147" s="59">
        <f ca="1">AVERAGE(OFFSET($BH$3,0,0,'Données projet'!$E$11+1,1))-AVERAGE(OFFSET($H$3,0,0,'Données projet'!$E$11+1,1))</f>
        <v>409.91320873873292</v>
      </c>
      <c r="BJ147" s="59">
        <f t="shared" si="146"/>
        <v>347.86310581860698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58.176307867915234</v>
      </c>
      <c r="BQ147" s="21">
        <f>EXP(-LN(2)/25)*BQ146+(1-EXP(-LN(2)/25))/(LN(2)/25)*Calculateur!BL147*Calculateur!BN147*VLOOKUP('Données projet'!$B$11,Paramètres!$A$1:$I$89,3,0)*0.475*44/12</f>
        <v>12.191789953532068</v>
      </c>
      <c r="BR147" s="21">
        <f>EXP(-LN(2)/2)*BR146+(1-EXP(-LN(2)/2))/(LN(2)/2)*BL147*BO147*VLOOKUP('Données projet'!$B$11,Paramètres!$A$1:$I$89,3,0)*0.475*44/12</f>
        <v>1.8301394574419935E-8</v>
      </c>
      <c r="BS147" s="22">
        <f t="shared" si="117"/>
        <v>70.3680978397487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68.692531390320113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68.692531390320113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68.692531390320113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68.692531390320113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68.692531390320113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68.692531390320113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68.692531390320113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3.25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11.916666666666666</v>
      </c>
      <c r="H148" s="67">
        <f t="shared" si="110"/>
        <v>209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68.715213047636141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5.6843418860808015E-13</v>
      </c>
      <c r="O148" s="13">
        <f>N148*VLOOKUP('Données projet'!$B$9,Paramètres!$A$1:$I$89,3,0)*VLOOKUP('Données projet'!$B$9,Paramètres!$A$1:$I$89,5,0)</f>
        <v>3.177547114319168E-13</v>
      </c>
      <c r="P148" s="13">
        <f t="shared" si="141"/>
        <v>4.1725404435445377E-12</v>
      </c>
      <c r="Q148" s="20">
        <f t="shared" si="108"/>
        <v>7.820597394917325E-12</v>
      </c>
      <c r="R148" s="59">
        <f t="shared" si="109"/>
        <v>288.62244784134037</v>
      </c>
      <c r="S148" s="59">
        <f ca="1">AVERAGE(OFFSET($R$3,0,0,'Données projet'!$E$9+1,1))-AVERAGE(OFFSET($H$3,0,0,'Données projet'!$E$9+1,1))</f>
        <v>399.91876225849921</v>
      </c>
      <c r="T148" s="59">
        <f t="shared" si="142"/>
        <v>368.64132082233505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52.248643538548805</v>
      </c>
      <c r="AA148" s="21">
        <f>EXP(-LN(2)/25)*AA147+(1-EXP(-LN(2)/25))/(LN(2)/25)*Calculateur!V148*Calculateur!X148*VLOOKUP('Données projet'!$B$9,Paramètres!$A$1:$I$89,3,0)*0.475*44/12</f>
        <v>9.5946681536753484</v>
      </c>
      <c r="AB148" s="21">
        <f>EXP(-LN(2)/2)*AB147+(1-EXP(-LN(2)/2))/(LN(2)/2)*V148*Y148*VLOOKUP('Données projet'!$B$9,Paramètres!$A$1:$I$89,3,0)*0.475*44/12</f>
        <v>3.8846678410272405E-10</v>
      </c>
      <c r="AC148" s="22">
        <f t="shared" si="111"/>
        <v>61.843311692612623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68.715213047636141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-2.2737367544323206E-13</v>
      </c>
      <c r="AJ148" s="13">
        <f>AI148*VLOOKUP('Données projet'!$B$10,Paramètres!$A$1:$I$89,3,0)*VLOOKUP('Données projet'!$B$10,Paramètres!$A$1:$I$89,5,0)</f>
        <v>-1.064108801074326E-13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280.35802808205239</v>
      </c>
      <c r="AO148" s="59">
        <f t="shared" si="144"/>
        <v>249.32129349927175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17.322509823947321</v>
      </c>
      <c r="AV148" s="21">
        <f>EXP(-LN(2)/25)*AV147+(1-EXP(-LN(2)/25))/(LN(2)/25)*Calculateur!AQ148*Calculateur!AS148*VLOOKUP('Données projet'!$B$10,Paramètres!$A$1:$I$89,3,0)*0.475*44/12</f>
        <v>4.2432460337032119</v>
      </c>
      <c r="AW148" s="21">
        <f>EXP(-LN(2)/2)*AW147+(1-EXP(-LN(2)/2))/(LN(2)/2)*AQ148*AT148*VLOOKUP('Données projet'!$B$10,Paramètres!$A$1:$I$89,3,0)*0.475*44/12</f>
        <v>2.140317664029006E-12</v>
      </c>
      <c r="AX148" s="21">
        <f t="shared" si="114"/>
        <v>21.565755857652672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68.715213047636141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1.1368683772161603E-13</v>
      </c>
      <c r="BE148" s="13">
        <f>BD148*VLOOKUP('Données projet'!$B$11,Paramètres!$A$1:$I$89,3,0)*VLOOKUP('Données projet'!$B$11,Paramètres!$A$1:$I$89,5,0)</f>
        <v>5.0249582272954292E-14</v>
      </c>
      <c r="BF148" s="13">
        <f t="shared" si="145"/>
        <v>8.1784820119191593E-13</v>
      </c>
      <c r="BG148" s="20">
        <f t="shared" si="115"/>
        <v>1.5119369728679821E-12</v>
      </c>
      <c r="BH148" s="59">
        <f t="shared" si="116"/>
        <v>288.62244784133406</v>
      </c>
      <c r="BI148" s="59">
        <f ca="1">AVERAGE(OFFSET($BH$3,0,0,'Données projet'!$E$11+1,1))-AVERAGE(OFFSET($H$3,0,0,'Données projet'!$E$11+1,1))</f>
        <v>409.91320873873292</v>
      </c>
      <c r="BJ148" s="59">
        <f t="shared" si="146"/>
        <v>347.86310581860698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57.03550595466946</v>
      </c>
      <c r="BQ148" s="21">
        <f>EXP(-LN(2)/25)*BQ147+(1-EXP(-LN(2)/25))/(LN(2)/25)*Calculateur!BL148*Calculateur!BN148*VLOOKUP('Données projet'!$B$11,Paramètres!$A$1:$I$89,3,0)*0.475*44/12</f>
        <v>11.858404816114364</v>
      </c>
      <c r="BR148" s="21">
        <f>EXP(-LN(2)/2)*BR147+(1-EXP(-LN(2)/2))/(LN(2)/2)*BL148*BO148*VLOOKUP('Données projet'!$B$11,Paramètres!$A$1:$I$89,3,0)*0.475*44/12</f>
        <v>1.2941040208743026E-8</v>
      </c>
      <c r="BS148" s="22">
        <f t="shared" si="117"/>
        <v>68.893910783724863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68.715213047636141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68.715213047636141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68.715213047636141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68.715213047636141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68.715213047636141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68.715213047636141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68.715213047636141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3.25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11.916666666666666</v>
      </c>
      <c r="H149" s="67">
        <f t="shared" si="110"/>
        <v>209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68.737501228906353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5.6843418860808015E-13</v>
      </c>
      <c r="O149" s="13">
        <f>N149*VLOOKUP('Données projet'!$B$9,Paramètres!$A$1:$I$89,3,0)*VLOOKUP('Données projet'!$B$9,Paramètres!$A$1:$I$89,5,0)</f>
        <v>3.177547114319168E-13</v>
      </c>
      <c r="P149" s="13">
        <f t="shared" si="141"/>
        <v>4.1725404435445377E-12</v>
      </c>
      <c r="Q149" s="20">
        <f t="shared" si="108"/>
        <v>7.820597394917325E-12</v>
      </c>
      <c r="R149" s="59">
        <f t="shared" si="109"/>
        <v>288.70417117266447</v>
      </c>
      <c r="S149" s="59">
        <f ca="1">AVERAGE(OFFSET($R$3,0,0,'Données projet'!$E$9+1,1))-AVERAGE(OFFSET($H$3,0,0,'Données projet'!$E$9+1,1))</f>
        <v>399.91876225849921</v>
      </c>
      <c r="T149" s="59">
        <f t="shared" si="142"/>
        <v>368.64132082233505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51.224079507283669</v>
      </c>
      <c r="AA149" s="21">
        <f>EXP(-LN(2)/25)*AA148+(1-EXP(-LN(2)/25))/(LN(2)/25)*Calculateur!V149*Calculateur!X149*VLOOKUP('Données projet'!$B$9,Paramètres!$A$1:$I$89,3,0)*0.475*44/12</f>
        <v>9.3323014484514264</v>
      </c>
      <c r="AB149" s="21">
        <f>EXP(-LN(2)/2)*AB148+(1-EXP(-LN(2)/2))/(LN(2)/2)*V149*Y149*VLOOKUP('Données projet'!$B$9,Paramètres!$A$1:$I$89,3,0)*0.475*44/12</f>
        <v>2.7468749730476669E-10</v>
      </c>
      <c r="AC149" s="22">
        <f t="shared" si="111"/>
        <v>60.556380956009782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68.737501228906353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-2.2737367544323206E-13</v>
      </c>
      <c r="AJ149" s="13">
        <f>AI149*VLOOKUP('Données projet'!$B$10,Paramètres!$A$1:$I$89,3,0)*VLOOKUP('Données projet'!$B$10,Paramètres!$A$1:$I$89,5,0)</f>
        <v>-1.064108801074326E-13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280.35802808205239</v>
      </c>
      <c r="AO149" s="59">
        <f t="shared" si="144"/>
        <v>249.32129349927175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16.982825971987431</v>
      </c>
      <c r="AV149" s="21">
        <f>EXP(-LN(2)/25)*AV148+(1-EXP(-LN(2)/25))/(LN(2)/25)*Calculateur!AQ149*Calculateur!AS149*VLOOKUP('Données projet'!$B$10,Paramètres!$A$1:$I$89,3,0)*0.475*44/12</f>
        <v>4.127214247768987</v>
      </c>
      <c r="AW149" s="21">
        <f>EXP(-LN(2)/2)*AW148+(1-EXP(-LN(2)/2))/(LN(2)/2)*AQ149*AT149*VLOOKUP('Données projet'!$B$10,Paramètres!$A$1:$I$89,3,0)*0.475*44/12</f>
        <v>1.5134331341282609E-12</v>
      </c>
      <c r="AX149" s="21">
        <f t="shared" si="114"/>
        <v>21.110040219757931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68.737501228906353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1.1368683772161603E-13</v>
      </c>
      <c r="BE149" s="13">
        <f>BD149*VLOOKUP('Données projet'!$B$11,Paramètres!$A$1:$I$89,3,0)*VLOOKUP('Données projet'!$B$11,Paramètres!$A$1:$I$89,5,0)</f>
        <v>5.0249582272954292E-14</v>
      </c>
      <c r="BF149" s="13">
        <f t="shared" si="145"/>
        <v>8.1784820119191593E-13</v>
      </c>
      <c r="BG149" s="20">
        <f t="shared" si="115"/>
        <v>1.5119369728679821E-12</v>
      </c>
      <c r="BH149" s="59">
        <f t="shared" si="116"/>
        <v>288.70417117265816</v>
      </c>
      <c r="BI149" s="59">
        <f ca="1">AVERAGE(OFFSET($BH$3,0,0,'Données projet'!$E$11+1,1))-AVERAGE(OFFSET($H$3,0,0,'Données projet'!$E$11+1,1))</f>
        <v>409.91320873873292</v>
      </c>
      <c r="BJ149" s="59">
        <f t="shared" si="146"/>
        <v>347.86310581860698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55.917074471121971</v>
      </c>
      <c r="BQ149" s="21">
        <f>EXP(-LN(2)/25)*BQ148+(1-EXP(-LN(2)/25))/(LN(2)/25)*Calculateur!BL149*Calculateur!BN149*VLOOKUP('Données projet'!$B$11,Paramètres!$A$1:$I$89,3,0)*0.475*44/12</f>
        <v>11.534136112811311</v>
      </c>
      <c r="BR149" s="21">
        <f>EXP(-LN(2)/2)*BR148+(1-EXP(-LN(2)/2))/(LN(2)/2)*BL149*BO149*VLOOKUP('Données projet'!$B$11,Paramètres!$A$1:$I$89,3,0)*0.475*44/12</f>
        <v>9.1506972872099677E-9</v>
      </c>
      <c r="BS149" s="22">
        <f t="shared" si="117"/>
        <v>67.451210593083985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68.737501228906353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68.737501228906353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68.737501228906353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68.737501228906353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68.737501228906353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68.737501228906353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68.737501228906353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3.25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11.916666666666666</v>
      </c>
      <c r="H150" s="67">
        <f t="shared" si="110"/>
        <v>209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68.759402760060397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5.6843418860808015E-13</v>
      </c>
      <c r="O150" s="13">
        <f>N150*VLOOKUP('Données projet'!$B$9,Paramètres!$A$1:$I$89,3,0)*VLOOKUP('Données projet'!$B$9,Paramètres!$A$1:$I$89,5,0)</f>
        <v>3.177547114319168E-13</v>
      </c>
      <c r="P150" s="13">
        <f t="shared" si="141"/>
        <v>4.1725404435445377E-12</v>
      </c>
      <c r="Q150" s="20">
        <f t="shared" si="108"/>
        <v>7.820597394917325E-12</v>
      </c>
      <c r="R150" s="59">
        <f t="shared" si="109"/>
        <v>288.78447678689594</v>
      </c>
      <c r="S150" s="59">
        <f ca="1">AVERAGE(OFFSET($R$3,0,0,'Données projet'!$E$9+1,1))-AVERAGE(OFFSET($H$3,0,0,'Données projet'!$E$9+1,1))</f>
        <v>399.91876225849921</v>
      </c>
      <c r="T150" s="59">
        <f t="shared" si="142"/>
        <v>368.64132082233505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50.219606551749287</v>
      </c>
      <c r="AA150" s="21">
        <f>EXP(-LN(2)/25)*AA149+(1-EXP(-LN(2)/25))/(LN(2)/25)*Calculateur!V150*Calculateur!X150*VLOOKUP('Données projet'!$B$9,Paramètres!$A$1:$I$89,3,0)*0.475*44/12</f>
        <v>9.0771091745791175</v>
      </c>
      <c r="AB150" s="21">
        <f>EXP(-LN(2)/2)*AB149+(1-EXP(-LN(2)/2))/(LN(2)/2)*V150*Y150*VLOOKUP('Données projet'!$B$9,Paramètres!$A$1:$I$89,3,0)*0.475*44/12</f>
        <v>1.9423339205136203E-10</v>
      </c>
      <c r="AC150" s="22">
        <f t="shared" si="111"/>
        <v>59.296715726522635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68.759402760060397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-2.2737367544323206E-13</v>
      </c>
      <c r="AJ150" s="13">
        <f>AI150*VLOOKUP('Données projet'!$B$10,Paramètres!$A$1:$I$89,3,0)*VLOOKUP('Données projet'!$B$10,Paramètres!$A$1:$I$89,5,0)</f>
        <v>-1.064108801074326E-13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280.35802808205239</v>
      </c>
      <c r="AO150" s="59">
        <f t="shared" si="144"/>
        <v>249.32129349927175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16.649803113177782</v>
      </c>
      <c r="AV150" s="21">
        <f>EXP(-LN(2)/25)*AV149+(1-EXP(-LN(2)/25))/(LN(2)/25)*Calculateur!AQ150*Calculateur!AS150*VLOOKUP('Données projet'!$B$10,Paramètres!$A$1:$I$89,3,0)*0.475*44/12</f>
        <v>4.0143553571229793</v>
      </c>
      <c r="AW150" s="21">
        <f>EXP(-LN(2)/2)*AW149+(1-EXP(-LN(2)/2))/(LN(2)/2)*AQ150*AT150*VLOOKUP('Données projet'!$B$10,Paramètres!$A$1:$I$89,3,0)*0.475*44/12</f>
        <v>1.070158832014503E-12</v>
      </c>
      <c r="AX150" s="21">
        <f t="shared" si="114"/>
        <v>20.664158470301832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68.759402760060397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1.1368683772161603E-13</v>
      </c>
      <c r="BE150" s="13">
        <f>BD150*VLOOKUP('Données projet'!$B$11,Paramètres!$A$1:$I$89,3,0)*VLOOKUP('Données projet'!$B$11,Paramètres!$A$1:$I$89,5,0)</f>
        <v>5.0249582272954292E-14</v>
      </c>
      <c r="BF150" s="13">
        <f t="shared" si="145"/>
        <v>8.1784820119191593E-13</v>
      </c>
      <c r="BG150" s="20">
        <f t="shared" si="115"/>
        <v>1.5119369728679821E-12</v>
      </c>
      <c r="BH150" s="59">
        <f t="shared" si="116"/>
        <v>288.78447678688963</v>
      </c>
      <c r="BI150" s="59">
        <f ca="1">AVERAGE(OFFSET($BH$3,0,0,'Données projet'!$E$11+1,1))-AVERAGE(OFFSET($H$3,0,0,'Données projet'!$E$11+1,1))</f>
        <v>409.91320873873292</v>
      </c>
      <c r="BJ150" s="59">
        <f t="shared" si="146"/>
        <v>347.86310581860698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54.820574746791003</v>
      </c>
      <c r="BQ150" s="21">
        <f>EXP(-LN(2)/25)*BQ149+(1-EXP(-LN(2)/25))/(LN(2)/25)*Calculateur!BL150*Calculateur!BN150*VLOOKUP('Données projet'!$B$11,Paramètres!$A$1:$I$89,3,0)*0.475*44/12</f>
        <v>11.218734554252629</v>
      </c>
      <c r="BR150" s="21">
        <f>EXP(-LN(2)/2)*BR149+(1-EXP(-LN(2)/2))/(LN(2)/2)*BL150*BO150*VLOOKUP('Données projet'!$B$11,Paramètres!$A$1:$I$89,3,0)*0.475*44/12</f>
        <v>6.4705201043715128E-9</v>
      </c>
      <c r="BS150" s="22">
        <f t="shared" si="117"/>
        <v>66.039309307514145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68.759402760060397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68.759402760060397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68.759402760060397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68.759402760060397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68.759402760060397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68.759402760060397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68.759402760060397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3.25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11.916666666666666</v>
      </c>
      <c r="H151" s="67">
        <f t="shared" si="110"/>
        <v>209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68.780924348613439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5.6843418860808015E-13</v>
      </c>
      <c r="O151" s="13">
        <f>N151*VLOOKUP('Données projet'!$B$9,Paramètres!$A$1:$I$89,3,0)*VLOOKUP('Données projet'!$B$9,Paramètres!$A$1:$I$89,5,0)</f>
        <v>3.177547114319168E-13</v>
      </c>
      <c r="P151" s="13">
        <f t="shared" si="141"/>
        <v>4.1725404435445377E-12</v>
      </c>
      <c r="Q151" s="20">
        <f t="shared" si="108"/>
        <v>7.820597394917325E-12</v>
      </c>
      <c r="R151" s="59">
        <f t="shared" si="109"/>
        <v>288.8633892782571</v>
      </c>
      <c r="S151" s="59">
        <f ca="1">AVERAGE(OFFSET($R$3,0,0,'Données projet'!$E$9+1,1))-AVERAGE(OFFSET($H$3,0,0,'Données projet'!$E$9+1,1))</f>
        <v>399.91876225849921</v>
      </c>
      <c r="T151" s="59">
        <f t="shared" si="142"/>
        <v>368.64132082233505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49.234830698204924</v>
      </c>
      <c r="AA151" s="21">
        <f>EXP(-LN(2)/25)*AA150+(1-EXP(-LN(2)/25))/(LN(2)/25)*Calculateur!V151*Calculateur!X151*VLOOKUP('Données projet'!$B$9,Paramètres!$A$1:$I$89,3,0)*0.475*44/12</f>
        <v>8.8288951468558263</v>
      </c>
      <c r="AB151" s="21">
        <f>EXP(-LN(2)/2)*AB150+(1-EXP(-LN(2)/2))/(LN(2)/2)*V151*Y151*VLOOKUP('Données projet'!$B$9,Paramètres!$A$1:$I$89,3,0)*0.475*44/12</f>
        <v>1.3734374865238334E-10</v>
      </c>
      <c r="AC151" s="22">
        <f t="shared" si="111"/>
        <v>58.063725845198093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68.780924348613439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-2.2737367544323206E-13</v>
      </c>
      <c r="AJ151" s="13">
        <f>AI151*VLOOKUP('Données projet'!$B$10,Paramètres!$A$1:$I$89,3,0)*VLOOKUP('Données projet'!$B$10,Paramètres!$A$1:$I$89,5,0)</f>
        <v>-1.064108801074326E-13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280.35802808205239</v>
      </c>
      <c r="AO151" s="59">
        <f t="shared" si="144"/>
        <v>249.32129349927175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16.323310629505503</v>
      </c>
      <c r="AV151" s="21">
        <f>EXP(-LN(2)/25)*AV150+(1-EXP(-LN(2)/25))/(LN(2)/25)*Calculateur!AQ151*Calculateur!AS151*VLOOKUP('Données projet'!$B$10,Paramètres!$A$1:$I$89,3,0)*0.475*44/12</f>
        <v>3.904582598776678</v>
      </c>
      <c r="AW151" s="21">
        <f>EXP(-LN(2)/2)*AW150+(1-EXP(-LN(2)/2))/(LN(2)/2)*AQ151*AT151*VLOOKUP('Données projet'!$B$10,Paramètres!$A$1:$I$89,3,0)*0.475*44/12</f>
        <v>7.5671656706413045E-13</v>
      </c>
      <c r="AX151" s="21">
        <f t="shared" si="114"/>
        <v>20.227893228282937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68.780924348613439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1.1368683772161603E-13</v>
      </c>
      <c r="BE151" s="13">
        <f>BD151*VLOOKUP('Données projet'!$B$11,Paramètres!$A$1:$I$89,3,0)*VLOOKUP('Données projet'!$B$11,Paramètres!$A$1:$I$89,5,0)</f>
        <v>5.0249582272954292E-14</v>
      </c>
      <c r="BF151" s="13">
        <f t="shared" si="145"/>
        <v>8.1784820119191593E-13</v>
      </c>
      <c r="BG151" s="20">
        <f t="shared" si="115"/>
        <v>1.5119369728679821E-12</v>
      </c>
      <c r="BH151" s="59">
        <f t="shared" si="116"/>
        <v>288.86338927825079</v>
      </c>
      <c r="BI151" s="59">
        <f ca="1">AVERAGE(OFFSET($BH$3,0,0,'Données projet'!$E$11+1,1))-AVERAGE(OFFSET($H$3,0,0,'Données projet'!$E$11+1,1))</f>
        <v>409.91320873873292</v>
      </c>
      <c r="BJ151" s="59">
        <f t="shared" si="146"/>
        <v>347.86310581860698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53.745576713255375</v>
      </c>
      <c r="BQ151" s="21">
        <f>EXP(-LN(2)/25)*BQ150+(1-EXP(-LN(2)/25))/(LN(2)/25)*Calculateur!BL151*Calculateur!BN151*VLOOKUP('Données projet'!$B$11,Paramètres!$A$1:$I$89,3,0)*0.475*44/12</f>
        <v>10.911957667898982</v>
      </c>
      <c r="BR151" s="21">
        <f>EXP(-LN(2)/2)*BR150+(1-EXP(-LN(2)/2))/(LN(2)/2)*BL151*BO151*VLOOKUP('Données projet'!$B$11,Paramètres!$A$1:$I$89,3,0)*0.475*44/12</f>
        <v>4.5753486436049839E-9</v>
      </c>
      <c r="BS151" s="22">
        <f t="shared" si="117"/>
        <v>64.657534385729718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68.780924348613439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68.780924348613439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68.780924348613439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68.780924348613439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68.780924348613439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68.780924348613439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68.780924348613439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3.25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11.916666666666666</v>
      </c>
      <c r="H152" s="67">
        <f t="shared" si="110"/>
        <v>209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68.80207258572014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5.6843418860808015E-13</v>
      </c>
      <c r="O152" s="13">
        <f>N152*VLOOKUP('Données projet'!$B$9,Paramètres!$A$1:$I$89,3,0)*VLOOKUP('Données projet'!$B$9,Paramètres!$A$1:$I$89,5,0)</f>
        <v>3.177547114319168E-13</v>
      </c>
      <c r="P152" s="13">
        <f t="shared" si="141"/>
        <v>4.1725404435445377E-12</v>
      </c>
      <c r="Q152" s="20">
        <f t="shared" si="108"/>
        <v>7.820597394917325E-12</v>
      </c>
      <c r="R152" s="59">
        <f t="shared" si="109"/>
        <v>288.94093281431503</v>
      </c>
      <c r="S152" s="59">
        <f ca="1">AVERAGE(OFFSET($R$3,0,0,'Données projet'!$E$9+1,1))-AVERAGE(OFFSET($H$3,0,0,'Données projet'!$E$9+1,1))</f>
        <v>399.91876225849921</v>
      </c>
      <c r="T152" s="59">
        <f t="shared" si="142"/>
        <v>368.64132082233505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48.26936569849461</v>
      </c>
      <c r="AA152" s="21">
        <f>EXP(-LN(2)/25)*AA151+(1-EXP(-LN(2)/25))/(LN(2)/25)*Calculateur!V152*Calculateur!X152*VLOOKUP('Données projet'!$B$9,Paramètres!$A$1:$I$89,3,0)*0.475*44/12</f>
        <v>8.5874685447736372</v>
      </c>
      <c r="AB152" s="21">
        <f>EXP(-LN(2)/2)*AB151+(1-EXP(-LN(2)/2))/(LN(2)/2)*V152*Y152*VLOOKUP('Données projet'!$B$9,Paramètres!$A$1:$I$89,3,0)*0.475*44/12</f>
        <v>9.7116696025681013E-11</v>
      </c>
      <c r="AC152" s="22">
        <f t="shared" si="111"/>
        <v>56.856834243365363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68.80207258572014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-2.2737367544323206E-13</v>
      </c>
      <c r="AJ152" s="13">
        <f>AI152*VLOOKUP('Données projet'!$B$10,Paramètres!$A$1:$I$89,3,0)*VLOOKUP('Données projet'!$B$10,Paramètres!$A$1:$I$89,5,0)</f>
        <v>-1.064108801074326E-13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280.35802808205239</v>
      </c>
      <c r="AO152" s="59">
        <f t="shared" si="144"/>
        <v>249.32129349927175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16.003220464297286</v>
      </c>
      <c r="AV152" s="21">
        <f>EXP(-LN(2)/25)*AV151+(1-EXP(-LN(2)/25))/(LN(2)/25)*Calculateur!AQ152*Calculateur!AS152*VLOOKUP('Données projet'!$B$10,Paramètres!$A$1:$I$89,3,0)*0.475*44/12</f>
        <v>3.7978115822800551</v>
      </c>
      <c r="AW152" s="21">
        <f>EXP(-LN(2)/2)*AW151+(1-EXP(-LN(2)/2))/(LN(2)/2)*AQ152*AT152*VLOOKUP('Données projet'!$B$10,Paramètres!$A$1:$I$89,3,0)*0.475*44/12</f>
        <v>5.3507941600725149E-13</v>
      </c>
      <c r="AX152" s="21">
        <f t="shared" si="114"/>
        <v>19.801032046577877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68.80207258572014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1.1368683772161603E-13</v>
      </c>
      <c r="BE152" s="13">
        <f>BD152*VLOOKUP('Données projet'!$B$11,Paramètres!$A$1:$I$89,3,0)*VLOOKUP('Données projet'!$B$11,Paramètres!$A$1:$I$89,5,0)</f>
        <v>5.0249582272954292E-14</v>
      </c>
      <c r="BF152" s="13">
        <f t="shared" si="145"/>
        <v>8.1784820119191593E-13</v>
      </c>
      <c r="BG152" s="20">
        <f t="shared" si="115"/>
        <v>1.5119369728679821E-12</v>
      </c>
      <c r="BH152" s="59">
        <f t="shared" si="116"/>
        <v>288.94093281430872</v>
      </c>
      <c r="BI152" s="59">
        <f ca="1">AVERAGE(OFFSET($BH$3,0,0,'Données projet'!$E$11+1,1))-AVERAGE(OFFSET($H$3,0,0,'Données projet'!$E$11+1,1))</f>
        <v>409.91320873873292</v>
      </c>
      <c r="BJ152" s="59">
        <f t="shared" si="146"/>
        <v>347.86310581860698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52.691658735473318</v>
      </c>
      <c r="BQ152" s="21">
        <f>EXP(-LN(2)/25)*BQ151+(1-EXP(-LN(2)/25))/(LN(2)/25)*Calculateur!BL152*Calculateur!BN152*VLOOKUP('Données projet'!$B$11,Paramètres!$A$1:$I$89,3,0)*0.475*44/12</f>
        <v>10.61356961163537</v>
      </c>
      <c r="BR152" s="21">
        <f>EXP(-LN(2)/2)*BR151+(1-EXP(-LN(2)/2))/(LN(2)/2)*BL152*BO152*VLOOKUP('Données projet'!$B$11,Paramètres!$A$1:$I$89,3,0)*0.475*44/12</f>
        <v>3.2352600521857564E-9</v>
      </c>
      <c r="BS152" s="22">
        <f t="shared" si="117"/>
        <v>63.305228350343945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68.80207258572014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68.80207258572014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68.80207258572014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68.80207258572014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68.80207258572014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68.80207258572014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68.80207258572014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3.25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11.916666666666666</v>
      </c>
      <c r="H153" s="67">
        <f t="shared" si="110"/>
        <v>209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68.822853948193426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5.6843418860808015E-13</v>
      </c>
      <c r="O153" s="13">
        <f>N153*VLOOKUP('Données projet'!$B$9,Paramètres!$A$1:$I$89,3,0)*VLOOKUP('Données projet'!$B$9,Paramètres!$A$1:$I$89,5,0)</f>
        <v>3.177547114319168E-13</v>
      </c>
      <c r="P153" s="13">
        <f t="shared" si="141"/>
        <v>4.1725404435445377E-12</v>
      </c>
      <c r="Q153" s="20">
        <f t="shared" si="108"/>
        <v>7.820597394917325E-12</v>
      </c>
      <c r="R153" s="59">
        <f t="shared" si="109"/>
        <v>289.01713114338378</v>
      </c>
      <c r="S153" s="59">
        <f ca="1">AVERAGE(OFFSET($R$3,0,0,'Données projet'!$E$9+1,1))-AVERAGE(OFFSET($H$3,0,0,'Données projet'!$E$9+1,1))</f>
        <v>399.91876225849921</v>
      </c>
      <c r="T153" s="59">
        <f t="shared" si="142"/>
        <v>368.64132082233505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47.322832878553108</v>
      </c>
      <c r="AA153" s="21">
        <f>EXP(-LN(2)/25)*AA152+(1-EXP(-LN(2)/25))/(LN(2)/25)*Calculateur!V153*Calculateur!X153*VLOOKUP('Données projet'!$B$9,Paramètres!$A$1:$I$89,3,0)*0.475*44/12</f>
        <v>8.3526437658214583</v>
      </c>
      <c r="AB153" s="21">
        <f>EXP(-LN(2)/2)*AB152+(1-EXP(-LN(2)/2))/(LN(2)/2)*V153*Y153*VLOOKUP('Données projet'!$B$9,Paramètres!$A$1:$I$89,3,0)*0.475*44/12</f>
        <v>6.8671874326191672E-11</v>
      </c>
      <c r="AC153" s="22">
        <f t="shared" si="111"/>
        <v>55.675476644443243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68.822853948193426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-2.2737367544323206E-13</v>
      </c>
      <c r="AJ153" s="13">
        <f>AI153*VLOOKUP('Données projet'!$B$10,Paramètres!$A$1:$I$89,3,0)*VLOOKUP('Données projet'!$B$10,Paramètres!$A$1:$I$89,5,0)</f>
        <v>-1.064108801074326E-13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280.35802808205239</v>
      </c>
      <c r="AO153" s="59">
        <f t="shared" si="144"/>
        <v>249.32129349927175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15.689407071993081</v>
      </c>
      <c r="AV153" s="21">
        <f>EXP(-LN(2)/25)*AV152+(1-EXP(-LN(2)/25))/(LN(2)/25)*Calculateur!AQ153*Calculateur!AS153*VLOOKUP('Données projet'!$B$10,Paramètres!$A$1:$I$89,3,0)*0.475*44/12</f>
        <v>3.6939602248443757</v>
      </c>
      <c r="AW153" s="21">
        <f>EXP(-LN(2)/2)*AW152+(1-EXP(-LN(2)/2))/(LN(2)/2)*AQ153*AT153*VLOOKUP('Données projet'!$B$10,Paramètres!$A$1:$I$89,3,0)*0.475*44/12</f>
        <v>3.7835828353206523E-13</v>
      </c>
      <c r="AX153" s="21">
        <f t="shared" si="114"/>
        <v>19.383367296837832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68.822853948193426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1.1368683772161603E-13</v>
      </c>
      <c r="BE153" s="13">
        <f>BD153*VLOOKUP('Données projet'!$B$11,Paramètres!$A$1:$I$89,3,0)*VLOOKUP('Données projet'!$B$11,Paramètres!$A$1:$I$89,5,0)</f>
        <v>5.0249582272954292E-14</v>
      </c>
      <c r="BF153" s="13">
        <f t="shared" si="145"/>
        <v>8.1784820119191593E-13</v>
      </c>
      <c r="BG153" s="20">
        <f t="shared" si="115"/>
        <v>1.5119369728679821E-12</v>
      </c>
      <c r="BH153" s="59">
        <f t="shared" si="116"/>
        <v>289.01713114337747</v>
      </c>
      <c r="BI153" s="59">
        <f ca="1">AVERAGE(OFFSET($BH$3,0,0,'Données projet'!$E$11+1,1))-AVERAGE(OFFSET($H$3,0,0,'Données projet'!$E$11+1,1))</f>
        <v>409.91320873873292</v>
      </c>
      <c r="BJ153" s="59">
        <f t="shared" si="146"/>
        <v>347.86310581860698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51.658407446409079</v>
      </c>
      <c r="BQ153" s="21">
        <f>EXP(-LN(2)/25)*BQ152+(1-EXP(-LN(2)/25))/(LN(2)/25)*Calculateur!BL153*Calculateur!BN153*VLOOKUP('Données projet'!$B$11,Paramètres!$A$1:$I$89,3,0)*0.475*44/12</f>
        <v>10.323340992461832</v>
      </c>
      <c r="BR153" s="21">
        <f>EXP(-LN(2)/2)*BR152+(1-EXP(-LN(2)/2))/(LN(2)/2)*BL153*BO153*VLOOKUP('Données projet'!$B$11,Paramètres!$A$1:$I$89,3,0)*0.475*44/12</f>
        <v>2.2876743218024919E-9</v>
      </c>
      <c r="BS153" s="22">
        <f t="shared" si="117"/>
        <v>61.981748441158587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68.822853948193426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68.822853948193426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68.822853948193426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68.822853948193426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68.822853948193426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68.822853948193426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68.822853948193426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3.25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11.916666666666666</v>
      </c>
      <c r="H154" s="67">
        <f t="shared" si="110"/>
        <v>209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68.843274800487947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5.6843418860808015E-13</v>
      </c>
      <c r="O154" s="13">
        <f>N154*VLOOKUP('Données projet'!$B$9,Paramètres!$A$1:$I$89,3,0)*VLOOKUP('Données projet'!$B$9,Paramètres!$A$1:$I$89,5,0)</f>
        <v>3.177547114319168E-13</v>
      </c>
      <c r="P154" s="13">
        <f t="shared" si="141"/>
        <v>4.1725404435445377E-12</v>
      </c>
      <c r="Q154" s="20">
        <f t="shared" ref="Q154:Q203" si="162">(O154+P154)*0.475*44/12</f>
        <v>7.820597394917325E-12</v>
      </c>
      <c r="R154" s="59">
        <f t="shared" si="109"/>
        <v>289.09200760179698</v>
      </c>
      <c r="S154" s="59">
        <f ca="1">AVERAGE(OFFSET($R$3,0,0,'Données projet'!$E$9+1,1))-AVERAGE(OFFSET($H$3,0,0,'Données projet'!$E$9+1,1))</f>
        <v>399.91876225849921</v>
      </c>
      <c r="T154" s="59">
        <f t="shared" si="142"/>
        <v>368.64132082233505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46.394860989882645</v>
      </c>
      <c r="AA154" s="21">
        <f>EXP(-LN(2)/25)*AA153+(1-EXP(-LN(2)/25))/(LN(2)/25)*Calculateur!V154*Calculateur!X154*VLOOKUP('Données projet'!$B$9,Paramètres!$A$1:$I$89,3,0)*0.475*44/12</f>
        <v>8.1242402827986258</v>
      </c>
      <c r="AB154" s="21">
        <f>EXP(-LN(2)/2)*AB153+(1-EXP(-LN(2)/2))/(LN(2)/2)*V154*Y154*VLOOKUP('Données projet'!$B$9,Paramètres!$A$1:$I$89,3,0)*0.475*44/12</f>
        <v>4.8558348012840507E-11</v>
      </c>
      <c r="AC154" s="22">
        <f t="shared" ref="AC154:AC203" si="163">SUM(Z154:AB154)</f>
        <v>54.519101272729827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68.843274800487947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-1.064108801074326E-13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280.35802808205239</v>
      </c>
      <c r="AO154" s="59">
        <f t="shared" si="144"/>
        <v>249.32129349927175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15.381747368904692</v>
      </c>
      <c r="AV154" s="21">
        <f>EXP(-LN(2)/25)*AV153+(1-EXP(-LN(2)/25))/(LN(2)/25)*Calculateur!AQ154*Calculateur!AS154*VLOOKUP('Données projet'!$B$10,Paramètres!$A$1:$I$89,3,0)*0.475*44/12</f>
        <v>3.5929486882390806</v>
      </c>
      <c r="AW154" s="21">
        <f>EXP(-LN(2)/2)*AW153+(1-EXP(-LN(2)/2))/(LN(2)/2)*AQ154*AT154*VLOOKUP('Données projet'!$B$10,Paramètres!$A$1:$I$89,3,0)*0.475*44/12</f>
        <v>2.6753970800362575E-13</v>
      </c>
      <c r="AX154" s="21">
        <f t="shared" ref="AX154:AX203" si="166">SUM(AU154:AW154)</f>
        <v>18.97469605714404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68.843274800487947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1.1368683772161603E-13</v>
      </c>
      <c r="BE154" s="13">
        <f>BD154*VLOOKUP('Données projet'!$B$11,Paramètres!$A$1:$I$89,3,0)*VLOOKUP('Données projet'!$B$11,Paramètres!$A$1:$I$89,5,0)</f>
        <v>5.0249582272954292E-14</v>
      </c>
      <c r="BF154" s="13">
        <f t="shared" ref="BF154:BF203" si="167">EXP(-1.0587+0.8836*LN(BE154)+0.284)</f>
        <v>8.1784820119191593E-13</v>
      </c>
      <c r="BG154" s="20">
        <f t="shared" ref="BG154:BG203" si="168">(BE154+BF154)*0.475*44/12</f>
        <v>1.5119369728679821E-12</v>
      </c>
      <c r="BH154" s="59">
        <f t="shared" si="116"/>
        <v>289.09200760179067</v>
      </c>
      <c r="BI154" s="59">
        <f ca="1">AVERAGE(OFFSET($BH$3,0,0,'Données projet'!$E$11+1,1))-AVERAGE(OFFSET($H$3,0,0,'Données projet'!$E$11+1,1))</f>
        <v>409.91320873873292</v>
      </c>
      <c r="BJ154" s="59">
        <f t="shared" si="146"/>
        <v>347.86310581860698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50.645417584902333</v>
      </c>
      <c r="BQ154" s="21">
        <f>EXP(-LN(2)/25)*BQ153+(1-EXP(-LN(2)/25))/(LN(2)/25)*Calculateur!BL154*Calculateur!BN154*VLOOKUP('Données projet'!$B$11,Paramètres!$A$1:$I$89,3,0)*0.475*44/12</f>
        <v>10.041048690142054</v>
      </c>
      <c r="BR154" s="21">
        <f>EXP(-LN(2)/2)*BR153+(1-EXP(-LN(2)/2))/(LN(2)/2)*BL154*BO154*VLOOKUP('Données projet'!$B$11,Paramètres!$A$1:$I$89,3,0)*0.475*44/12</f>
        <v>1.6176300260928782E-9</v>
      </c>
      <c r="BS154" s="22">
        <f t="shared" ref="BS154:BS203" si="169">SUM(BP154:BR154)</f>
        <v>60.686466276662017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68.843274800487947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68.843274800487947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68.843274800487947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68.843274800487947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68.843274800487947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68.843274800487947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68.843274800487947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3.25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11.916666666666666</v>
      </c>
      <c r="H155" s="67">
        <f t="shared" si="110"/>
        <v>209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68.863341396649361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5.6843418860808015E-13</v>
      </c>
      <c r="O155" s="13">
        <f>N155*VLOOKUP('Données projet'!$B$9,Paramètres!$A$1:$I$89,3,0)*VLOOKUP('Données projet'!$B$9,Paramètres!$A$1:$I$89,5,0)</f>
        <v>3.177547114319168E-13</v>
      </c>
      <c r="P155" s="13">
        <f t="shared" si="141"/>
        <v>4.1725404435445377E-12</v>
      </c>
      <c r="Q155" s="20">
        <f t="shared" si="162"/>
        <v>7.820597394917325E-12</v>
      </c>
      <c r="R155" s="59">
        <f t="shared" si="109"/>
        <v>289.16558512105547</v>
      </c>
      <c r="S155" s="59">
        <f ca="1">AVERAGE(OFFSET($R$3,0,0,'Données projet'!$E$9+1,1))-AVERAGE(OFFSET($H$3,0,0,'Données projet'!$E$9+1,1))</f>
        <v>399.91876225849921</v>
      </c>
      <c r="T155" s="59">
        <f t="shared" si="142"/>
        <v>368.64132082233505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45.485086063942049</v>
      </c>
      <c r="AA155" s="21">
        <f>EXP(-LN(2)/25)*AA154+(1-EXP(-LN(2)/25))/(LN(2)/25)*Calculateur!V155*Calculateur!X155*VLOOKUP('Données projet'!$B$9,Paramètres!$A$1:$I$89,3,0)*0.475*44/12</f>
        <v>7.9020825050302692</v>
      </c>
      <c r="AB155" s="21">
        <f>EXP(-LN(2)/2)*AB154+(1-EXP(-LN(2)/2))/(LN(2)/2)*V155*Y155*VLOOKUP('Données projet'!$B$9,Paramètres!$A$1:$I$89,3,0)*0.475*44/12</f>
        <v>3.4335937163095836E-11</v>
      </c>
      <c r="AC155" s="22">
        <f t="shared" si="163"/>
        <v>53.387168569006654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68.863341396649361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-1.064108801074326E-13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280.35802808205239</v>
      </c>
      <c r="AO155" s="59">
        <f t="shared" si="144"/>
        <v>249.32129349927175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15.080120684939978</v>
      </c>
      <c r="AV155" s="21">
        <f>EXP(-LN(2)/25)*AV154+(1-EXP(-LN(2)/25))/(LN(2)/25)*Calculateur!AQ155*Calculateur!AS155*VLOOKUP('Données projet'!$B$10,Paramètres!$A$1:$I$89,3,0)*0.475*44/12</f>
        <v>3.4946993174142231</v>
      </c>
      <c r="AW155" s="21">
        <f>EXP(-LN(2)/2)*AW154+(1-EXP(-LN(2)/2))/(LN(2)/2)*AQ155*AT155*VLOOKUP('Données projet'!$B$10,Paramètres!$A$1:$I$89,3,0)*0.475*44/12</f>
        <v>1.8917914176603261E-13</v>
      </c>
      <c r="AX155" s="21">
        <f t="shared" si="166"/>
        <v>18.574820002354389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68.863341396649361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1.1368683772161603E-13</v>
      </c>
      <c r="BE155" s="13">
        <f>BD155*VLOOKUP('Données projet'!$B$11,Paramètres!$A$1:$I$89,3,0)*VLOOKUP('Données projet'!$B$11,Paramètres!$A$1:$I$89,5,0)</f>
        <v>5.0249582272954292E-14</v>
      </c>
      <c r="BF155" s="13">
        <f t="shared" si="167"/>
        <v>8.1784820119191593E-13</v>
      </c>
      <c r="BG155" s="20">
        <f t="shared" si="168"/>
        <v>1.5119369728679821E-12</v>
      </c>
      <c r="BH155" s="59">
        <f t="shared" si="116"/>
        <v>289.16558512104916</v>
      </c>
      <c r="BI155" s="59">
        <f ca="1">AVERAGE(OFFSET($BH$3,0,0,'Données projet'!$E$11+1,1))-AVERAGE(OFFSET($H$3,0,0,'Données projet'!$E$11+1,1))</f>
        <v>409.91320873873292</v>
      </c>
      <c r="BJ155" s="59">
        <f t="shared" si="146"/>
        <v>347.86310581860698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49.652291836716927</v>
      </c>
      <c r="BQ155" s="21">
        <f>EXP(-LN(2)/25)*BQ154+(1-EXP(-LN(2)/25))/(LN(2)/25)*Calculateur!BL155*Calculateur!BN155*VLOOKUP('Données projet'!$B$11,Paramètres!$A$1:$I$89,3,0)*0.475*44/12</f>
        <v>9.7664756856743171</v>
      </c>
      <c r="BR155" s="21">
        <f>EXP(-LN(2)/2)*BR154+(1-EXP(-LN(2)/2))/(LN(2)/2)*BL155*BO155*VLOOKUP('Données projet'!$B$11,Paramètres!$A$1:$I$89,3,0)*0.475*44/12</f>
        <v>1.143837160901246E-9</v>
      </c>
      <c r="BS155" s="22">
        <f t="shared" si="169"/>
        <v>59.418767523535081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68.863341396649361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68.863341396649361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68.863341396649361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68.863341396649361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68.863341396649361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68.863341396649361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68.863341396649361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3.25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11.916666666666666</v>
      </c>
      <c r="H156" s="67">
        <f t="shared" si="110"/>
        <v>209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68.88305988222956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5.6843418860808015E-13</v>
      </c>
      <c r="O156" s="13">
        <f>N156*VLOOKUP('Données projet'!$B$9,Paramètres!$A$1:$I$89,3,0)*VLOOKUP('Données projet'!$B$9,Paramètres!$A$1:$I$89,5,0)</f>
        <v>3.177547114319168E-13</v>
      </c>
      <c r="P156" s="13">
        <f t="shared" si="141"/>
        <v>4.1725404435445377E-12</v>
      </c>
      <c r="Q156" s="20">
        <f t="shared" si="162"/>
        <v>7.820597394917325E-12</v>
      </c>
      <c r="R156" s="59">
        <f t="shared" si="109"/>
        <v>289.23788623484955</v>
      </c>
      <c r="S156" s="59">
        <f ca="1">AVERAGE(OFFSET($R$3,0,0,'Données projet'!$E$9+1,1))-AVERAGE(OFFSET($H$3,0,0,'Données projet'!$E$9+1,1))</f>
        <v>399.91876225849921</v>
      </c>
      <c r="T156" s="59">
        <f t="shared" si="142"/>
        <v>368.64132082233505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44.593151269391235</v>
      </c>
      <c r="AA156" s="21">
        <f>EXP(-LN(2)/25)*AA155+(1-EXP(-LN(2)/25))/(LN(2)/25)*Calculateur!V156*Calculateur!X156*VLOOKUP('Données projet'!$B$9,Paramètres!$A$1:$I$89,3,0)*0.475*44/12</f>
        <v>7.685999643377758</v>
      </c>
      <c r="AB156" s="21">
        <f>EXP(-LN(2)/2)*AB155+(1-EXP(-LN(2)/2))/(LN(2)/2)*V156*Y156*VLOOKUP('Données projet'!$B$9,Paramètres!$A$1:$I$89,3,0)*0.475*44/12</f>
        <v>2.4279174006420253E-11</v>
      </c>
      <c r="AC156" s="22">
        <f t="shared" si="163"/>
        <v>52.27915091279327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68.88305988222956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-1.064108801074326E-13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280.35802808205239</v>
      </c>
      <c r="AO156" s="59">
        <f t="shared" si="144"/>
        <v>249.32129349927175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14.784408716273699</v>
      </c>
      <c r="AV156" s="21">
        <f>EXP(-LN(2)/25)*AV155+(1-EXP(-LN(2)/25))/(LN(2)/25)*Calculateur!AQ156*Calculateur!AS156*VLOOKUP('Données projet'!$B$10,Paramètres!$A$1:$I$89,3,0)*0.475*44/12</f>
        <v>3.3991365808012812</v>
      </c>
      <c r="AW156" s="21">
        <f>EXP(-LN(2)/2)*AW155+(1-EXP(-LN(2)/2))/(LN(2)/2)*AQ156*AT156*VLOOKUP('Données projet'!$B$10,Paramètres!$A$1:$I$89,3,0)*0.475*44/12</f>
        <v>1.3376985400181287E-13</v>
      </c>
      <c r="AX156" s="21">
        <f t="shared" si="166"/>
        <v>18.183545297075113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68.88305988222956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1.1368683772161603E-13</v>
      </c>
      <c r="BE156" s="13">
        <f>BD156*VLOOKUP('Données projet'!$B$11,Paramètres!$A$1:$I$89,3,0)*VLOOKUP('Données projet'!$B$11,Paramètres!$A$1:$I$89,5,0)</f>
        <v>5.0249582272954292E-14</v>
      </c>
      <c r="BF156" s="13">
        <f t="shared" si="167"/>
        <v>8.1784820119191593E-13</v>
      </c>
      <c r="BG156" s="20">
        <f t="shared" si="168"/>
        <v>1.5119369728679821E-12</v>
      </c>
      <c r="BH156" s="59">
        <f t="shared" si="116"/>
        <v>289.23788623484324</v>
      </c>
      <c r="BI156" s="59">
        <f ca="1">AVERAGE(OFFSET($BH$3,0,0,'Données projet'!$E$11+1,1))-AVERAGE(OFFSET($H$3,0,0,'Données projet'!$E$11+1,1))</f>
        <v>409.91320873873292</v>
      </c>
      <c r="BJ156" s="59">
        <f t="shared" si="146"/>
        <v>347.86310581860698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48.678640678706543</v>
      </c>
      <c r="BQ156" s="21">
        <f>EXP(-LN(2)/25)*BQ155+(1-EXP(-LN(2)/25))/(LN(2)/25)*Calculateur!BL156*Calculateur!BN156*VLOOKUP('Données projet'!$B$11,Paramètres!$A$1:$I$89,3,0)*0.475*44/12</f>
        <v>9.4994108944529181</v>
      </c>
      <c r="BR156" s="21">
        <f>EXP(-LN(2)/2)*BR155+(1-EXP(-LN(2)/2))/(LN(2)/2)*BL156*BO156*VLOOKUP('Données projet'!$B$11,Paramètres!$A$1:$I$89,3,0)*0.475*44/12</f>
        <v>8.088150130464391E-10</v>
      </c>
      <c r="BS156" s="22">
        <f t="shared" si="169"/>
        <v>58.178051573968283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68.88305988222956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68.88305988222956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68.88305988222956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68.88305988222956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68.88305988222956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68.88305988222956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68.88305988222956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3.25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11.916666666666666</v>
      </c>
      <c r="H157" s="67">
        <f t="shared" si="110"/>
        <v>209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68.902436296168844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5.6843418860808015E-13</v>
      </c>
      <c r="O157" s="13">
        <f>N157*VLOOKUP('Données projet'!$B$9,Paramètres!$A$1:$I$89,3,0)*VLOOKUP('Données projet'!$B$9,Paramètres!$A$1:$I$89,5,0)</f>
        <v>3.177547114319168E-13</v>
      </c>
      <c r="P157" s="13">
        <f t="shared" si="141"/>
        <v>4.1725404435445377E-12</v>
      </c>
      <c r="Q157" s="20">
        <f t="shared" si="162"/>
        <v>7.820597394917325E-12</v>
      </c>
      <c r="R157" s="59">
        <f t="shared" si="109"/>
        <v>289.30893308596029</v>
      </c>
      <c r="S157" s="59">
        <f ca="1">AVERAGE(OFFSET($R$3,0,0,'Données projet'!$E$9+1,1))-AVERAGE(OFFSET($H$3,0,0,'Données projet'!$E$9+1,1))</f>
        <v>399.91876225849921</v>
      </c>
      <c r="T157" s="59">
        <f t="shared" si="142"/>
        <v>368.64132082233505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43.718706772135057</v>
      </c>
      <c r="AA157" s="21">
        <f>EXP(-LN(2)/25)*AA156+(1-EXP(-LN(2)/25))/(LN(2)/25)*Calculateur!V157*Calculateur!X157*VLOOKUP('Données projet'!$B$9,Paramètres!$A$1:$I$89,3,0)*0.475*44/12</f>
        <v>7.4758255789404382</v>
      </c>
      <c r="AB157" s="21">
        <f>EXP(-LN(2)/2)*AB156+(1-EXP(-LN(2)/2))/(LN(2)/2)*V157*Y157*VLOOKUP('Données projet'!$B$9,Paramètres!$A$1:$I$89,3,0)*0.475*44/12</f>
        <v>1.7167968581547918E-11</v>
      </c>
      <c r="AC157" s="22">
        <f t="shared" si="163"/>
        <v>51.194532351092661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68.902436296168844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-1.064108801074326E-13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280.35802808205239</v>
      </c>
      <c r="AO157" s="59">
        <f t="shared" si="144"/>
        <v>249.32129349927175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14.494495478946474</v>
      </c>
      <c r="AV157" s="21">
        <f>EXP(-LN(2)/25)*AV156+(1-EXP(-LN(2)/25))/(LN(2)/25)*Calculateur!AQ157*Calculateur!AS157*VLOOKUP('Données projet'!$B$10,Paramètres!$A$1:$I$89,3,0)*0.475*44/12</f>
        <v>3.3061870122464461</v>
      </c>
      <c r="AW157" s="21">
        <f>EXP(-LN(2)/2)*AW156+(1-EXP(-LN(2)/2))/(LN(2)/2)*AQ157*AT157*VLOOKUP('Données projet'!$B$10,Paramètres!$A$1:$I$89,3,0)*0.475*44/12</f>
        <v>9.4589570883016307E-14</v>
      </c>
      <c r="AX157" s="21">
        <f t="shared" si="166"/>
        <v>17.800682491193015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68.902436296168844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1.1368683772161603E-13</v>
      </c>
      <c r="BE157" s="13">
        <f>BD157*VLOOKUP('Données projet'!$B$11,Paramètres!$A$1:$I$89,3,0)*VLOOKUP('Données projet'!$B$11,Paramètres!$A$1:$I$89,5,0)</f>
        <v>5.0249582272954292E-14</v>
      </c>
      <c r="BF157" s="13">
        <f t="shared" si="167"/>
        <v>8.1784820119191593E-13</v>
      </c>
      <c r="BG157" s="20">
        <f t="shared" si="168"/>
        <v>1.5119369728679821E-12</v>
      </c>
      <c r="BH157" s="59">
        <f t="shared" si="116"/>
        <v>289.30893308595398</v>
      </c>
      <c r="BI157" s="59">
        <f ca="1">AVERAGE(OFFSET($BH$3,0,0,'Données projet'!$E$11+1,1))-AVERAGE(OFFSET($H$3,0,0,'Données projet'!$E$11+1,1))</f>
        <v>409.91320873873292</v>
      </c>
      <c r="BJ157" s="59">
        <f t="shared" si="146"/>
        <v>347.86310581860698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47.724082226036174</v>
      </c>
      <c r="BQ157" s="21">
        <f>EXP(-LN(2)/25)*BQ156+(1-EXP(-LN(2)/25))/(LN(2)/25)*Calculateur!BL157*Calculateur!BN157*VLOOKUP('Données projet'!$B$11,Paramètres!$A$1:$I$89,3,0)*0.475*44/12</f>
        <v>9.2396490039917953</v>
      </c>
      <c r="BR157" s="21">
        <f>EXP(-LN(2)/2)*BR156+(1-EXP(-LN(2)/2))/(LN(2)/2)*BL157*BO157*VLOOKUP('Données projet'!$B$11,Paramètres!$A$1:$I$89,3,0)*0.475*44/12</f>
        <v>5.7191858045062298E-10</v>
      </c>
      <c r="BS157" s="22">
        <f t="shared" si="169"/>
        <v>56.963731230599883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68.902436296168844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68.902436296168844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68.902436296168844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68.902436296168844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68.902436296168844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68.902436296168844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68.902436296168844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3.25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11.916666666666666</v>
      </c>
      <c r="H158" s="67">
        <f t="shared" si="110"/>
        <v>209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68.921476572645489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5.6843418860808015E-13</v>
      </c>
      <c r="O158" s="13">
        <f>N158*VLOOKUP('Données projet'!$B$9,Paramètres!$A$1:$I$89,3,0)*VLOOKUP('Données projet'!$B$9,Paramètres!$A$1:$I$89,5,0)</f>
        <v>3.177547114319168E-13</v>
      </c>
      <c r="P158" s="13">
        <f t="shared" si="141"/>
        <v>4.1725404435445377E-12</v>
      </c>
      <c r="Q158" s="20">
        <f t="shared" si="162"/>
        <v>7.820597394917325E-12</v>
      </c>
      <c r="R158" s="59">
        <f t="shared" si="109"/>
        <v>289.37874743304127</v>
      </c>
      <c r="S158" s="59">
        <f ca="1">AVERAGE(OFFSET($R$3,0,0,'Données projet'!$E$9+1,1))-AVERAGE(OFFSET($H$3,0,0,'Données projet'!$E$9+1,1))</f>
        <v>399.91876225849921</v>
      </c>
      <c r="T158" s="59">
        <f t="shared" si="142"/>
        <v>368.64132082233505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42.861409598111592</v>
      </c>
      <c r="AA158" s="21">
        <f>EXP(-LN(2)/25)*AA157+(1-EXP(-LN(2)/25))/(LN(2)/25)*Calculateur!V158*Calculateur!X158*VLOOKUP('Données projet'!$B$9,Paramètres!$A$1:$I$89,3,0)*0.475*44/12</f>
        <v>7.2713987353477307</v>
      </c>
      <c r="AB158" s="21">
        <f>EXP(-LN(2)/2)*AB157+(1-EXP(-LN(2)/2))/(LN(2)/2)*V158*Y158*VLOOKUP('Données projet'!$B$9,Paramètres!$A$1:$I$89,3,0)*0.475*44/12</f>
        <v>1.2139587003210127E-11</v>
      </c>
      <c r="AC158" s="22">
        <f t="shared" si="163"/>
        <v>50.132808333471459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68.921476572645489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-1.064108801074326E-13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280.35802808205239</v>
      </c>
      <c r="AO158" s="59">
        <f t="shared" si="144"/>
        <v>249.32129349927175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14.210267263373623</v>
      </c>
      <c r="AV158" s="21">
        <f>EXP(-LN(2)/25)*AV157+(1-EXP(-LN(2)/25))/(LN(2)/25)*Calculateur!AQ158*Calculateur!AS158*VLOOKUP('Données projet'!$B$10,Paramètres!$A$1:$I$89,3,0)*0.475*44/12</f>
        <v>3.2157791545317482</v>
      </c>
      <c r="AW158" s="21">
        <f>EXP(-LN(2)/2)*AW157+(1-EXP(-LN(2)/2))/(LN(2)/2)*AQ158*AT158*VLOOKUP('Données projet'!$B$10,Paramètres!$A$1:$I$89,3,0)*0.475*44/12</f>
        <v>6.6884927000906437E-14</v>
      </c>
      <c r="AX158" s="21">
        <f t="shared" si="166"/>
        <v>17.42604641790544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68.921476572645489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1.1368683772161603E-13</v>
      </c>
      <c r="BE158" s="13">
        <f>BD158*VLOOKUP('Données projet'!$B$11,Paramètres!$A$1:$I$89,3,0)*VLOOKUP('Données projet'!$B$11,Paramètres!$A$1:$I$89,5,0)</f>
        <v>5.0249582272954292E-14</v>
      </c>
      <c r="BF158" s="13">
        <f t="shared" si="167"/>
        <v>8.1784820119191593E-13</v>
      </c>
      <c r="BG158" s="20">
        <f t="shared" si="168"/>
        <v>1.5119369728679821E-12</v>
      </c>
      <c r="BH158" s="59">
        <f t="shared" si="116"/>
        <v>289.37874743303496</v>
      </c>
      <c r="BI158" s="59">
        <f ca="1">AVERAGE(OFFSET($BH$3,0,0,'Données projet'!$E$11+1,1))-AVERAGE(OFFSET($H$3,0,0,'Données projet'!$E$11+1,1))</f>
        <v>409.91320873873292</v>
      </c>
      <c r="BJ158" s="59">
        <f t="shared" si="146"/>
        <v>347.86310581860698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46.788242082399506</v>
      </c>
      <c r="BQ158" s="21">
        <f>EXP(-LN(2)/25)*BQ157+(1-EXP(-LN(2)/25))/(LN(2)/25)*Calculateur!BL158*Calculateur!BN158*VLOOKUP('Données projet'!$B$11,Paramètres!$A$1:$I$89,3,0)*0.475*44/12</f>
        <v>8.9869903160856168</v>
      </c>
      <c r="BR158" s="21">
        <f>EXP(-LN(2)/2)*BR157+(1-EXP(-LN(2)/2))/(LN(2)/2)*BL158*BO158*VLOOKUP('Données projet'!$B$11,Paramètres!$A$1:$I$89,3,0)*0.475*44/12</f>
        <v>4.0440750652321955E-10</v>
      </c>
      <c r="BS158" s="22">
        <f t="shared" si="169"/>
        <v>55.775232398889528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68.921476572645489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68.921476572645489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68.921476572645489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68.921476572645489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68.921476572645489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68.921476572645489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68.921476572645489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3.25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11.916666666666666</v>
      </c>
      <c r="H159" s="67">
        <f t="shared" si="110"/>
        <v>209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68.940186542892917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5.6843418860808015E-13</v>
      </c>
      <c r="O159" s="13">
        <f>N159*VLOOKUP('Données projet'!$B$9,Paramètres!$A$1:$I$89,3,0)*VLOOKUP('Données projet'!$B$9,Paramètres!$A$1:$I$89,5,0)</f>
        <v>3.177547114319168E-13</v>
      </c>
      <c r="P159" s="13">
        <f t="shared" si="141"/>
        <v>4.1725404435445377E-12</v>
      </c>
      <c r="Q159" s="20">
        <f t="shared" si="162"/>
        <v>7.820597394917325E-12</v>
      </c>
      <c r="R159" s="59">
        <f t="shared" si="109"/>
        <v>289.4473506572819</v>
      </c>
      <c r="S159" s="59">
        <f ca="1">AVERAGE(OFFSET($R$3,0,0,'Données projet'!$E$9+1,1))-AVERAGE(OFFSET($H$3,0,0,'Données projet'!$E$9+1,1))</f>
        <v>399.91876225849921</v>
      </c>
      <c r="T159" s="59">
        <f t="shared" si="142"/>
        <v>368.64132082233505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42.020923498771083</v>
      </c>
      <c r="AA159" s="21">
        <f>EXP(-LN(2)/25)*AA158+(1-EXP(-LN(2)/25))/(LN(2)/25)*Calculateur!V159*Calculateur!X159*VLOOKUP('Données projet'!$B$9,Paramètres!$A$1:$I$89,3,0)*0.475*44/12</f>
        <v>7.0725619545434064</v>
      </c>
      <c r="AB159" s="21">
        <f>EXP(-LN(2)/2)*AB158+(1-EXP(-LN(2)/2))/(LN(2)/2)*V159*Y159*VLOOKUP('Données projet'!$B$9,Paramètres!$A$1:$I$89,3,0)*0.475*44/12</f>
        <v>8.583984290773959E-12</v>
      </c>
      <c r="AC159" s="22">
        <f t="shared" si="163"/>
        <v>49.093485453323069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68.940186542892917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-1.064108801074326E-13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280.35802808205239</v>
      </c>
      <c r="AO159" s="59">
        <f t="shared" si="144"/>
        <v>249.32129349927175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13.931612589746061</v>
      </c>
      <c r="AV159" s="21">
        <f>EXP(-LN(2)/25)*AV158+(1-EXP(-LN(2)/25))/(LN(2)/25)*Calculateur!AQ159*Calculateur!AS159*VLOOKUP('Données projet'!$B$10,Paramètres!$A$1:$I$89,3,0)*0.475*44/12</f>
        <v>3.1278435044406017</v>
      </c>
      <c r="AW159" s="21">
        <f>EXP(-LN(2)/2)*AW158+(1-EXP(-LN(2)/2))/(LN(2)/2)*AQ159*AT159*VLOOKUP('Données projet'!$B$10,Paramètres!$A$1:$I$89,3,0)*0.475*44/12</f>
        <v>4.7294785441508153E-14</v>
      </c>
      <c r="AX159" s="21">
        <f t="shared" si="166"/>
        <v>17.059456094186711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68.940186542892917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1.1368683772161603E-13</v>
      </c>
      <c r="BE159" s="13">
        <f>BD159*VLOOKUP('Données projet'!$B$11,Paramètres!$A$1:$I$89,3,0)*VLOOKUP('Données projet'!$B$11,Paramètres!$A$1:$I$89,5,0)</f>
        <v>5.0249582272954292E-14</v>
      </c>
      <c r="BF159" s="13">
        <f t="shared" si="167"/>
        <v>8.1784820119191593E-13</v>
      </c>
      <c r="BG159" s="20">
        <f t="shared" si="168"/>
        <v>1.5119369728679821E-12</v>
      </c>
      <c r="BH159" s="59">
        <f t="shared" si="116"/>
        <v>289.44735065727559</v>
      </c>
      <c r="BI159" s="59">
        <f ca="1">AVERAGE(OFFSET($BH$3,0,0,'Données projet'!$E$11+1,1))-AVERAGE(OFFSET($H$3,0,0,'Données projet'!$E$11+1,1))</f>
        <v>409.91320873873292</v>
      </c>
      <c r="BJ159" s="59">
        <f t="shared" si="146"/>
        <v>347.86310581860698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45.870753193173428</v>
      </c>
      <c r="BQ159" s="21">
        <f>EXP(-LN(2)/25)*BQ158+(1-EXP(-LN(2)/25))/(LN(2)/25)*Calculateur!BL159*Calculateur!BN159*VLOOKUP('Données projet'!$B$11,Paramètres!$A$1:$I$89,3,0)*0.475*44/12</f>
        <v>8.7412405932869746</v>
      </c>
      <c r="BR159" s="21">
        <f>EXP(-LN(2)/2)*BR158+(1-EXP(-LN(2)/2))/(LN(2)/2)*BL159*BO159*VLOOKUP('Données projet'!$B$11,Paramètres!$A$1:$I$89,3,0)*0.475*44/12</f>
        <v>2.8595929022531149E-10</v>
      </c>
      <c r="BS159" s="22">
        <f t="shared" si="169"/>
        <v>54.611993786746361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68.940186542892917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68.940186542892917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68.940186542892917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68.940186542892917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68.940186542892917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68.940186542892917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68.940186542892917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3.25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11.916666666666666</v>
      </c>
      <c r="H160" s="67">
        <f t="shared" si="110"/>
        <v>209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68.958571936985805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5.6843418860808015E-13</v>
      </c>
      <c r="O160" s="13">
        <f>N160*VLOOKUP('Données projet'!$B$9,Paramètres!$A$1:$I$89,3,0)*VLOOKUP('Données projet'!$B$9,Paramètres!$A$1:$I$89,5,0)</f>
        <v>3.177547114319168E-13</v>
      </c>
      <c r="P160" s="13">
        <f t="shared" si="141"/>
        <v>4.1725404435445377E-12</v>
      </c>
      <c r="Q160" s="20">
        <f t="shared" si="162"/>
        <v>7.820597394917325E-12</v>
      </c>
      <c r="R160" s="59">
        <f t="shared" si="109"/>
        <v>289.51476376895579</v>
      </c>
      <c r="S160" s="59">
        <f ca="1">AVERAGE(OFFSET($R$3,0,0,'Données projet'!$E$9+1,1))-AVERAGE(OFFSET($H$3,0,0,'Données projet'!$E$9+1,1))</f>
        <v>399.91876225849921</v>
      </c>
      <c r="T160" s="59">
        <f t="shared" si="142"/>
        <v>368.64132082233505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41.196918819192739</v>
      </c>
      <c r="AA160" s="21">
        <f>EXP(-LN(2)/25)*AA159+(1-EXP(-LN(2)/25))/(LN(2)/25)*Calculateur!V160*Calculateur!X160*VLOOKUP('Données projet'!$B$9,Paramètres!$A$1:$I$89,3,0)*0.475*44/12</f>
        <v>6.8791623759665486</v>
      </c>
      <c r="AB160" s="21">
        <f>EXP(-LN(2)/2)*AB159+(1-EXP(-LN(2)/2))/(LN(2)/2)*V160*Y160*VLOOKUP('Données projet'!$B$9,Paramètres!$A$1:$I$89,3,0)*0.475*44/12</f>
        <v>6.0697935016050633E-12</v>
      </c>
      <c r="AC160" s="22">
        <f t="shared" si="163"/>
        <v>48.076081195165358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68.958571936985805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-1.064108801074326E-13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280.35802808205239</v>
      </c>
      <c r="AO160" s="59">
        <f t="shared" si="144"/>
        <v>249.32129349927175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13.658422164305767</v>
      </c>
      <c r="AV160" s="21">
        <f>EXP(-LN(2)/25)*AV159+(1-EXP(-LN(2)/25))/(LN(2)/25)*Calculateur!AQ160*Calculateur!AS160*VLOOKUP('Données projet'!$B$10,Paramètres!$A$1:$I$89,3,0)*0.475*44/12</f>
        <v>3.0423124593255322</v>
      </c>
      <c r="AW160" s="21">
        <f>EXP(-LN(2)/2)*AW159+(1-EXP(-LN(2)/2))/(LN(2)/2)*AQ160*AT160*VLOOKUP('Données projet'!$B$10,Paramètres!$A$1:$I$89,3,0)*0.475*44/12</f>
        <v>3.3442463500453218E-14</v>
      </c>
      <c r="AX160" s="21">
        <f t="shared" si="166"/>
        <v>16.70073462363133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68.958571936985805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1.1368683772161603E-13</v>
      </c>
      <c r="BE160" s="13">
        <f>BD160*VLOOKUP('Données projet'!$B$11,Paramètres!$A$1:$I$89,3,0)*VLOOKUP('Données projet'!$B$11,Paramètres!$A$1:$I$89,5,0)</f>
        <v>5.0249582272954292E-14</v>
      </c>
      <c r="BF160" s="13">
        <f t="shared" si="167"/>
        <v>8.1784820119191593E-13</v>
      </c>
      <c r="BG160" s="20">
        <f t="shared" si="168"/>
        <v>1.5119369728679821E-12</v>
      </c>
      <c r="BH160" s="59">
        <f t="shared" si="116"/>
        <v>289.51476376894948</v>
      </c>
      <c r="BI160" s="59">
        <f ca="1">AVERAGE(OFFSET($BH$3,0,0,'Données projet'!$E$11+1,1))-AVERAGE(OFFSET($H$3,0,0,'Données projet'!$E$11+1,1))</f>
        <v>409.91320873873292</v>
      </c>
      <c r="BJ160" s="59">
        <f t="shared" si="146"/>
        <v>347.86310581860698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44.971255701452108</v>
      </c>
      <c r="BQ160" s="21">
        <f>EXP(-LN(2)/25)*BQ159+(1-EXP(-LN(2)/25))/(LN(2)/25)*Calculateur!BL160*Calculateur!BN160*VLOOKUP('Données projet'!$B$11,Paramètres!$A$1:$I$89,3,0)*0.475*44/12</f>
        <v>8.5022109095816774</v>
      </c>
      <c r="BR160" s="21">
        <f>EXP(-LN(2)/2)*BR159+(1-EXP(-LN(2)/2))/(LN(2)/2)*BL160*BO160*VLOOKUP('Données projet'!$B$11,Paramètres!$A$1:$I$89,3,0)*0.475*44/12</f>
        <v>2.0220375326160977E-10</v>
      </c>
      <c r="BS160" s="22">
        <f t="shared" si="169"/>
        <v>53.473466611235992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68.958571936985805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68.958571936985805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68.958571936985805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68.958571936985805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68.958571936985805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68.958571936985805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68.958571936985805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3.25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11.916666666666666</v>
      </c>
      <c r="H161" s="67">
        <f t="shared" si="110"/>
        <v>209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68.976638385594754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5.6843418860808015E-13</v>
      </c>
      <c r="O161" s="13">
        <f>N161*VLOOKUP('Données projet'!$B$9,Paramètres!$A$1:$I$89,3,0)*VLOOKUP('Données projet'!$B$9,Paramètres!$A$1:$I$89,5,0)</f>
        <v>3.177547114319168E-13</v>
      </c>
      <c r="P161" s="13">
        <f t="shared" si="141"/>
        <v>4.1725404435445377E-12</v>
      </c>
      <c r="Q161" s="20">
        <f t="shared" si="162"/>
        <v>7.820597394917325E-12</v>
      </c>
      <c r="R161" s="59">
        <f t="shared" si="109"/>
        <v>289.58100741385527</v>
      </c>
      <c r="S161" s="59">
        <f ca="1">AVERAGE(OFFSET($R$3,0,0,'Données projet'!$E$9+1,1))-AVERAGE(OFFSET($H$3,0,0,'Données projet'!$E$9+1,1))</f>
        <v>399.91876225849921</v>
      </c>
      <c r="T161" s="59">
        <f t="shared" si="142"/>
        <v>368.64132082233505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40.389072368787701</v>
      </c>
      <c r="AA161" s="21">
        <f>EXP(-LN(2)/25)*AA160+(1-EXP(-LN(2)/25))/(LN(2)/25)*Calculateur!V161*Calculateur!X161*VLOOKUP('Données projet'!$B$9,Paramètres!$A$1:$I$89,3,0)*0.475*44/12</f>
        <v>6.6910513190363163</v>
      </c>
      <c r="AB161" s="21">
        <f>EXP(-LN(2)/2)*AB160+(1-EXP(-LN(2)/2))/(LN(2)/2)*V161*Y161*VLOOKUP('Données projet'!$B$9,Paramètres!$A$1:$I$89,3,0)*0.475*44/12</f>
        <v>4.2919921453869795E-12</v>
      </c>
      <c r="AC161" s="22">
        <f t="shared" si="163"/>
        <v>47.080123687828312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68.976638385594754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-1.064108801074326E-13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280.35802808205239</v>
      </c>
      <c r="AO161" s="59">
        <f t="shared" si="144"/>
        <v>249.32129349927175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13.390588836478651</v>
      </c>
      <c r="AV161" s="21">
        <f>EXP(-LN(2)/25)*AV160+(1-EXP(-LN(2)/25))/(LN(2)/25)*Calculateur!AQ161*Calculateur!AS161*VLOOKUP('Données projet'!$B$10,Paramètres!$A$1:$I$89,3,0)*0.475*44/12</f>
        <v>2.9591202651370168</v>
      </c>
      <c r="AW161" s="21">
        <f>EXP(-LN(2)/2)*AW160+(1-EXP(-LN(2)/2))/(LN(2)/2)*AQ161*AT161*VLOOKUP('Données projet'!$B$10,Paramètres!$A$1:$I$89,3,0)*0.475*44/12</f>
        <v>2.3647392720754077E-14</v>
      </c>
      <c r="AX161" s="21">
        <f t="shared" si="166"/>
        <v>16.349709101615691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68.976638385594754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1.1368683772161603E-13</v>
      </c>
      <c r="BE161" s="13">
        <f>BD161*VLOOKUP('Données projet'!$B$11,Paramètres!$A$1:$I$89,3,0)*VLOOKUP('Données projet'!$B$11,Paramètres!$A$1:$I$89,5,0)</f>
        <v>5.0249582272954292E-14</v>
      </c>
      <c r="BF161" s="13">
        <f t="shared" si="167"/>
        <v>8.1784820119191593E-13</v>
      </c>
      <c r="BG161" s="20">
        <f t="shared" si="168"/>
        <v>1.5119369728679821E-12</v>
      </c>
      <c r="BH161" s="59">
        <f t="shared" si="116"/>
        <v>289.58100741384897</v>
      </c>
      <c r="BI161" s="59">
        <f ca="1">AVERAGE(OFFSET($BH$3,0,0,'Données projet'!$E$11+1,1))-AVERAGE(OFFSET($H$3,0,0,'Données projet'!$E$11+1,1))</f>
        <v>409.91320873873292</v>
      </c>
      <c r="BJ161" s="59">
        <f t="shared" si="146"/>
        <v>347.86310581860698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44.089396806904148</v>
      </c>
      <c r="BQ161" s="21">
        <f>EXP(-LN(2)/25)*BQ160+(1-EXP(-LN(2)/25))/(LN(2)/25)*Calculateur!BL161*Calculateur!BN161*VLOOKUP('Données projet'!$B$11,Paramètres!$A$1:$I$89,3,0)*0.475*44/12</f>
        <v>8.2697175051473266</v>
      </c>
      <c r="BR161" s="21">
        <f>EXP(-LN(2)/2)*BR160+(1-EXP(-LN(2)/2))/(LN(2)/2)*BL161*BO161*VLOOKUP('Données projet'!$B$11,Paramètres!$A$1:$I$89,3,0)*0.475*44/12</f>
        <v>1.4297964511265575E-10</v>
      </c>
      <c r="BS161" s="22">
        <f t="shared" si="169"/>
        <v>52.359114312194457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68.976638385594754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68.976638385594754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68.976638385594754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68.976638385594754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68.976638385594754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68.976638385594754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68.976638385594754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3.25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11.916666666666666</v>
      </c>
      <c r="H162" s="67">
        <f t="shared" si="110"/>
        <v>209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68.994391421710873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5.6843418860808015E-13</v>
      </c>
      <c r="O162" s="13">
        <f>N162*VLOOKUP('Données projet'!$B$9,Paramètres!$A$1:$I$89,3,0)*VLOOKUP('Données projet'!$B$9,Paramètres!$A$1:$I$89,5,0)</f>
        <v>3.177547114319168E-13</v>
      </c>
      <c r="P162" s="13">
        <f t="shared" si="141"/>
        <v>4.1725404435445377E-12</v>
      </c>
      <c r="Q162" s="20">
        <f t="shared" si="162"/>
        <v>7.820597394917325E-12</v>
      </c>
      <c r="R162" s="59">
        <f t="shared" si="109"/>
        <v>289.64610187961438</v>
      </c>
      <c r="S162" s="59">
        <f ca="1">AVERAGE(OFFSET($R$3,0,0,'Données projet'!$E$9+1,1))-AVERAGE(OFFSET($H$3,0,0,'Données projet'!$E$9+1,1))</f>
        <v>399.91876225849921</v>
      </c>
      <c r="T162" s="59">
        <f t="shared" si="142"/>
        <v>368.64132082233505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39.597067294537425</v>
      </c>
      <c r="AA162" s="21">
        <f>EXP(-LN(2)/25)*AA161+(1-EXP(-LN(2)/25))/(LN(2)/25)*Calculateur!V162*Calculateur!X162*VLOOKUP('Données projet'!$B$9,Paramètres!$A$1:$I$89,3,0)*0.475*44/12</f>
        <v>6.5080841688501723</v>
      </c>
      <c r="AB162" s="21">
        <f>EXP(-LN(2)/2)*AB161+(1-EXP(-LN(2)/2))/(LN(2)/2)*V162*Y162*VLOOKUP('Données projet'!$B$9,Paramètres!$A$1:$I$89,3,0)*0.475*44/12</f>
        <v>3.0348967508025317E-12</v>
      </c>
      <c r="AC162" s="22">
        <f t="shared" si="163"/>
        <v>46.105151463390634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68.994391421710873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-1.064108801074326E-13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280.35802808205239</v>
      </c>
      <c r="AO162" s="59">
        <f t="shared" si="144"/>
        <v>249.32129349927175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13.128007556848026</v>
      </c>
      <c r="AV162" s="21">
        <f>EXP(-LN(2)/25)*AV161+(1-EXP(-LN(2)/25))/(LN(2)/25)*Calculateur!AQ162*Calculateur!AS162*VLOOKUP('Données projet'!$B$10,Paramètres!$A$1:$I$89,3,0)*0.475*44/12</f>
        <v>2.8782029658734736</v>
      </c>
      <c r="AW162" s="21">
        <f>EXP(-LN(2)/2)*AW161+(1-EXP(-LN(2)/2))/(LN(2)/2)*AQ162*AT162*VLOOKUP('Données projet'!$B$10,Paramètres!$A$1:$I$89,3,0)*0.475*44/12</f>
        <v>1.6721231750226609E-14</v>
      </c>
      <c r="AX162" s="21">
        <f t="shared" si="166"/>
        <v>16.006210522721517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68.994391421710873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1.1368683772161603E-13</v>
      </c>
      <c r="BE162" s="13">
        <f>BD162*VLOOKUP('Données projet'!$B$11,Paramètres!$A$1:$I$89,3,0)*VLOOKUP('Données projet'!$B$11,Paramètres!$A$1:$I$89,5,0)</f>
        <v>5.0249582272954292E-14</v>
      </c>
      <c r="BF162" s="13">
        <f t="shared" si="167"/>
        <v>8.1784820119191593E-13</v>
      </c>
      <c r="BG162" s="20">
        <f t="shared" si="168"/>
        <v>1.5119369728679821E-12</v>
      </c>
      <c r="BH162" s="59">
        <f t="shared" si="116"/>
        <v>289.64610187960807</v>
      </c>
      <c r="BI162" s="59">
        <f ca="1">AVERAGE(OFFSET($BH$3,0,0,'Données projet'!$E$11+1,1))-AVERAGE(OFFSET($H$3,0,0,'Données projet'!$E$11+1,1))</f>
        <v>409.91320873873292</v>
      </c>
      <c r="BJ162" s="59">
        <f t="shared" si="146"/>
        <v>347.86310581860698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43.224830627397459</v>
      </c>
      <c r="BQ162" s="21">
        <f>EXP(-LN(2)/25)*BQ161+(1-EXP(-LN(2)/25))/(LN(2)/25)*Calculateur!BL162*Calculateur!BN162*VLOOKUP('Données projet'!$B$11,Paramètres!$A$1:$I$89,3,0)*0.475*44/12</f>
        <v>8.0435816450835294</v>
      </c>
      <c r="BR162" s="21">
        <f>EXP(-LN(2)/2)*BR161+(1-EXP(-LN(2)/2))/(LN(2)/2)*BL162*BO162*VLOOKUP('Données projet'!$B$11,Paramètres!$A$1:$I$89,3,0)*0.475*44/12</f>
        <v>1.0110187663080489E-10</v>
      </c>
      <c r="BS162" s="22">
        <f t="shared" si="169"/>
        <v>51.26841227258209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68.994391421710873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68.994391421710873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68.994391421710873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68.994391421710873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68.994391421710873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68.994391421710873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68.994391421710873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3.25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11.916666666666666</v>
      </c>
      <c r="H163" s="67">
        <f t="shared" si="110"/>
        <v>209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69.011836482340215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5.6843418860808015E-13</v>
      </c>
      <c r="O163" s="13">
        <f>N163*VLOOKUP('Données projet'!$B$9,Paramètres!$A$1:$I$89,3,0)*VLOOKUP('Données projet'!$B$9,Paramètres!$A$1:$I$89,5,0)</f>
        <v>3.177547114319168E-13</v>
      </c>
      <c r="P163" s="13">
        <f t="shared" si="141"/>
        <v>4.1725404435445377E-12</v>
      </c>
      <c r="Q163" s="20">
        <f t="shared" si="162"/>
        <v>7.820597394917325E-12</v>
      </c>
      <c r="R163" s="59">
        <f t="shared" si="109"/>
        <v>289.71006710192199</v>
      </c>
      <c r="S163" s="59">
        <f ca="1">AVERAGE(OFFSET($R$3,0,0,'Données projet'!$E$9+1,1))-AVERAGE(OFFSET($H$3,0,0,'Données projet'!$E$9+1,1))</f>
        <v>399.91876225849921</v>
      </c>
      <c r="T163" s="59">
        <f t="shared" si="142"/>
        <v>368.64132082233505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38.820592956717803</v>
      </c>
      <c r="AA163" s="21">
        <f>EXP(-LN(2)/25)*AA162+(1-EXP(-LN(2)/25))/(LN(2)/25)*Calculateur!V163*Calculateur!X163*VLOOKUP('Données projet'!$B$9,Paramètres!$A$1:$I$89,3,0)*0.475*44/12</f>
        <v>6.3301202650076922</v>
      </c>
      <c r="AB163" s="21">
        <f>EXP(-LN(2)/2)*AB162+(1-EXP(-LN(2)/2))/(LN(2)/2)*V163*Y163*VLOOKUP('Données projet'!$B$9,Paramètres!$A$1:$I$89,3,0)*0.475*44/12</f>
        <v>2.1459960726934898E-12</v>
      </c>
      <c r="AC163" s="22">
        <f t="shared" si="163"/>
        <v>45.150713221727642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69.011836482340215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-1.064108801074326E-13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280.35802808205239</v>
      </c>
      <c r="AO163" s="59">
        <f t="shared" si="144"/>
        <v>249.32129349927175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12.870575335952191</v>
      </c>
      <c r="AV163" s="21">
        <f>EXP(-LN(2)/25)*AV162+(1-EXP(-LN(2)/25))/(LN(2)/25)*Calculateur!AQ163*Calculateur!AS163*VLOOKUP('Données projet'!$B$10,Paramètres!$A$1:$I$89,3,0)*0.475*44/12</f>
        <v>2.7994983544135477</v>
      </c>
      <c r="AW163" s="21">
        <f>EXP(-LN(2)/2)*AW162+(1-EXP(-LN(2)/2))/(LN(2)/2)*AQ163*AT163*VLOOKUP('Données projet'!$B$10,Paramètres!$A$1:$I$89,3,0)*0.475*44/12</f>
        <v>1.1823696360377038E-14</v>
      </c>
      <c r="AX163" s="21">
        <f t="shared" si="166"/>
        <v>15.670073690365751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69.011836482340215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1.1368683772161603E-13</v>
      </c>
      <c r="BE163" s="13">
        <f>BD163*VLOOKUP('Données projet'!$B$11,Paramètres!$A$1:$I$89,3,0)*VLOOKUP('Données projet'!$B$11,Paramètres!$A$1:$I$89,5,0)</f>
        <v>5.0249582272954292E-14</v>
      </c>
      <c r="BF163" s="13">
        <f t="shared" si="167"/>
        <v>8.1784820119191593E-13</v>
      </c>
      <c r="BG163" s="20">
        <f t="shared" si="168"/>
        <v>1.5119369728679821E-12</v>
      </c>
      <c r="BH163" s="59">
        <f t="shared" si="116"/>
        <v>289.71006710191568</v>
      </c>
      <c r="BI163" s="59">
        <f ca="1">AVERAGE(OFFSET($BH$3,0,0,'Données projet'!$E$11+1,1))-AVERAGE(OFFSET($H$3,0,0,'Données projet'!$E$11+1,1))</f>
        <v>409.91320873873292</v>
      </c>
      <c r="BJ163" s="59">
        <f t="shared" si="146"/>
        <v>347.86310581860698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42.377218063337594</v>
      </c>
      <c r="BQ163" s="21">
        <f>EXP(-LN(2)/25)*BQ162+(1-EXP(-LN(2)/25))/(LN(2)/25)*Calculateur!BL163*Calculateur!BN163*VLOOKUP('Données projet'!$B$11,Paramètres!$A$1:$I$89,3,0)*0.475*44/12</f>
        <v>7.8236294820051455</v>
      </c>
      <c r="BR163" s="21">
        <f>EXP(-LN(2)/2)*BR162+(1-EXP(-LN(2)/2))/(LN(2)/2)*BL163*BO163*VLOOKUP('Données projet'!$B$11,Paramètres!$A$1:$I$89,3,0)*0.475*44/12</f>
        <v>7.1489822556327873E-11</v>
      </c>
      <c r="BS163" s="22">
        <f t="shared" si="169"/>
        <v>50.200847545414227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69.011836482340215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69.011836482340215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69.011836482340215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69.011836482340215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69.011836482340215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69.011836482340215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69.011836482340215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3.25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11.916666666666666</v>
      </c>
      <c r="H164" s="67">
        <f t="shared" si="110"/>
        <v>209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69.028978910168945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5.6843418860808015E-13</v>
      </c>
      <c r="O164" s="13">
        <f>N164*VLOOKUP('Données projet'!$B$9,Paramètres!$A$1:$I$89,3,0)*VLOOKUP('Données projet'!$B$9,Paramètres!$A$1:$I$89,5,0)</f>
        <v>3.177547114319168E-13</v>
      </c>
      <c r="P164" s="13">
        <f t="shared" si="141"/>
        <v>4.1725404435445377E-12</v>
      </c>
      <c r="Q164" s="20">
        <f t="shared" si="162"/>
        <v>7.820597394917325E-12</v>
      </c>
      <c r="R164" s="59">
        <f t="shared" si="109"/>
        <v>289.77292267062734</v>
      </c>
      <c r="S164" s="59">
        <f ca="1">AVERAGE(OFFSET($R$3,0,0,'Données projet'!$E$9+1,1))-AVERAGE(OFFSET($H$3,0,0,'Données projet'!$E$9+1,1))</f>
        <v>399.91876225849921</v>
      </c>
      <c r="T164" s="59">
        <f t="shared" si="142"/>
        <v>368.64132082233505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38.059344807060242</v>
      </c>
      <c r="AA164" s="21">
        <f>EXP(-LN(2)/25)*AA163+(1-EXP(-LN(2)/25))/(LN(2)/25)*Calculateur!V164*Calculateur!X164*VLOOKUP('Données projet'!$B$9,Paramètres!$A$1:$I$89,3,0)*0.475*44/12</f>
        <v>6.1570227934744999</v>
      </c>
      <c r="AB164" s="21">
        <f>EXP(-LN(2)/2)*AB163+(1-EXP(-LN(2)/2))/(LN(2)/2)*V164*Y164*VLOOKUP('Données projet'!$B$9,Paramètres!$A$1:$I$89,3,0)*0.475*44/12</f>
        <v>1.5174483754012658E-12</v>
      </c>
      <c r="AC164" s="22">
        <f t="shared" si="163"/>
        <v>44.216367600536259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69.028978910168945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-1.064108801074326E-13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280.35802808205239</v>
      </c>
      <c r="AO164" s="59">
        <f t="shared" si="144"/>
        <v>249.32129349927175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12.618191203889973</v>
      </c>
      <c r="AV164" s="21">
        <f>EXP(-LN(2)/25)*AV163+(1-EXP(-LN(2)/25))/(LN(2)/25)*Calculateur!AQ164*Calculateur!AS164*VLOOKUP('Données projet'!$B$10,Paramètres!$A$1:$I$89,3,0)*0.475*44/12</f>
        <v>2.7229459246928891</v>
      </c>
      <c r="AW164" s="21">
        <f>EXP(-LN(2)/2)*AW163+(1-EXP(-LN(2)/2))/(LN(2)/2)*AQ164*AT164*VLOOKUP('Données projet'!$B$10,Paramètres!$A$1:$I$89,3,0)*0.475*44/12</f>
        <v>8.3606158751133046E-15</v>
      </c>
      <c r="AX164" s="21">
        <f t="shared" si="166"/>
        <v>15.34113712858287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69.028978910168945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1.1368683772161603E-13</v>
      </c>
      <c r="BE164" s="13">
        <f>BD164*VLOOKUP('Données projet'!$B$11,Paramètres!$A$1:$I$89,3,0)*VLOOKUP('Données projet'!$B$11,Paramètres!$A$1:$I$89,5,0)</f>
        <v>5.0249582272954292E-14</v>
      </c>
      <c r="BF164" s="13">
        <f t="shared" si="167"/>
        <v>8.1784820119191593E-13</v>
      </c>
      <c r="BG164" s="20">
        <f t="shared" si="168"/>
        <v>1.5119369728679821E-12</v>
      </c>
      <c r="BH164" s="59">
        <f t="shared" si="116"/>
        <v>289.77292267062103</v>
      </c>
      <c r="BI164" s="59">
        <f ca="1">AVERAGE(OFFSET($BH$3,0,0,'Données projet'!$E$11+1,1))-AVERAGE(OFFSET($H$3,0,0,'Données projet'!$E$11+1,1))</f>
        <v>409.91320873873292</v>
      </c>
      <c r="BJ164" s="59">
        <f t="shared" si="146"/>
        <v>347.86310581860698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41.546226664666328</v>
      </c>
      <c r="BQ164" s="21">
        <f>EXP(-LN(2)/25)*BQ163+(1-EXP(-LN(2)/25))/(LN(2)/25)*Calculateur!BL164*Calculateur!BN164*VLOOKUP('Données projet'!$B$11,Paramètres!$A$1:$I$89,3,0)*0.475*44/12</f>
        <v>7.6096919223929218</v>
      </c>
      <c r="BR164" s="21">
        <f>EXP(-LN(2)/2)*BR163+(1-EXP(-LN(2)/2))/(LN(2)/2)*BL164*BO164*VLOOKUP('Données projet'!$B$11,Paramètres!$A$1:$I$89,3,0)*0.475*44/12</f>
        <v>5.0550938315402444E-11</v>
      </c>
      <c r="BS164" s="22">
        <f t="shared" si="169"/>
        <v>49.155918587109795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69.028978910168945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69.028978910168945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69.028978910168945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69.028978910168945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69.028978910168945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69.028978910168945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69.028978910168945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3.25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11.916666666666666</v>
      </c>
      <c r="H165" s="67">
        <f t="shared" si="110"/>
        <v>209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69.04582395519958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5.6843418860808015E-13</v>
      </c>
      <c r="O165" s="13">
        <f>N165*VLOOKUP('Données projet'!$B$9,Paramètres!$A$1:$I$89,3,0)*VLOOKUP('Données projet'!$B$9,Paramètres!$A$1:$I$89,5,0)</f>
        <v>3.177547114319168E-13</v>
      </c>
      <c r="P165" s="13">
        <f t="shared" si="141"/>
        <v>4.1725404435445377E-12</v>
      </c>
      <c r="Q165" s="20">
        <f t="shared" si="162"/>
        <v>7.820597394917325E-12</v>
      </c>
      <c r="R165" s="59">
        <f t="shared" si="109"/>
        <v>289.83468783573966</v>
      </c>
      <c r="S165" s="59">
        <f ca="1">AVERAGE(OFFSET($R$3,0,0,'Données projet'!$E$9+1,1))-AVERAGE(OFFSET($H$3,0,0,'Données projet'!$E$9+1,1))</f>
        <v>399.91876225849921</v>
      </c>
      <c r="T165" s="59">
        <f t="shared" si="142"/>
        <v>368.64132082233505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37.313024269301941</v>
      </c>
      <c r="AA165" s="21">
        <f>EXP(-LN(2)/25)*AA164+(1-EXP(-LN(2)/25))/(LN(2)/25)*Calculateur!V165*Calculateur!X165*VLOOKUP('Données projet'!$B$9,Paramètres!$A$1:$I$89,3,0)*0.475*44/12</f>
        <v>5.9886586814031828</v>
      </c>
      <c r="AB165" s="21">
        <f>EXP(-LN(2)/2)*AB164+(1-EXP(-LN(2)/2))/(LN(2)/2)*V165*Y165*VLOOKUP('Données projet'!$B$9,Paramètres!$A$1:$I$89,3,0)*0.475*44/12</f>
        <v>1.0729980363467449E-12</v>
      </c>
      <c r="AC165" s="22">
        <f t="shared" si="163"/>
        <v>43.301682950706194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69.04582395519958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-1.064108801074326E-13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280.35802808205239</v>
      </c>
      <c r="AO165" s="59">
        <f t="shared" si="144"/>
        <v>249.32129349927175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12.370756170718375</v>
      </c>
      <c r="AV165" s="21">
        <f>EXP(-LN(2)/25)*AV164+(1-EXP(-LN(2)/25))/(LN(2)/25)*Calculateur!AQ165*Calculateur!AS165*VLOOKUP('Données projet'!$B$10,Paramètres!$A$1:$I$89,3,0)*0.475*44/12</f>
        <v>2.6484868251886593</v>
      </c>
      <c r="AW165" s="21">
        <f>EXP(-LN(2)/2)*AW164+(1-EXP(-LN(2)/2))/(LN(2)/2)*AQ165*AT165*VLOOKUP('Données projet'!$B$10,Paramètres!$A$1:$I$89,3,0)*0.475*44/12</f>
        <v>5.9118481801885192E-15</v>
      </c>
      <c r="AX165" s="21">
        <f t="shared" si="166"/>
        <v>15.019242995907039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69.04582395519958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1.1368683772161603E-13</v>
      </c>
      <c r="BE165" s="13">
        <f>BD165*VLOOKUP('Données projet'!$B$11,Paramètres!$A$1:$I$89,3,0)*VLOOKUP('Données projet'!$B$11,Paramètres!$A$1:$I$89,5,0)</f>
        <v>5.0249582272954292E-14</v>
      </c>
      <c r="BF165" s="13">
        <f t="shared" si="167"/>
        <v>8.1784820119191593E-13</v>
      </c>
      <c r="BG165" s="20">
        <f t="shared" si="168"/>
        <v>1.5119369728679821E-12</v>
      </c>
      <c r="BH165" s="59">
        <f t="shared" si="116"/>
        <v>289.83468783573335</v>
      </c>
      <c r="BI165" s="59">
        <f ca="1">AVERAGE(OFFSET($BH$3,0,0,'Données projet'!$E$11+1,1))-AVERAGE(OFFSET($H$3,0,0,'Données projet'!$E$11+1,1))</f>
        <v>409.91320873873292</v>
      </c>
      <c r="BJ165" s="59">
        <f t="shared" si="146"/>
        <v>347.86310581860698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40.731530500468303</v>
      </c>
      <c r="BQ165" s="21">
        <f>EXP(-LN(2)/25)*BQ164+(1-EXP(-LN(2)/25))/(LN(2)/25)*Calculateur!BL165*Calculateur!BN165*VLOOKUP('Données projet'!$B$11,Paramètres!$A$1:$I$89,3,0)*0.475*44/12</f>
        <v>7.4016044965987815</v>
      </c>
      <c r="BR165" s="21">
        <f>EXP(-LN(2)/2)*BR164+(1-EXP(-LN(2)/2))/(LN(2)/2)*BL165*BO165*VLOOKUP('Données projet'!$B$11,Paramètres!$A$1:$I$89,3,0)*0.475*44/12</f>
        <v>3.5744911278163936E-11</v>
      </c>
      <c r="BS165" s="22">
        <f t="shared" si="169"/>
        <v>48.133134997102829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69.04582395519958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69.04582395519958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69.04582395519958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69.04582395519958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69.04582395519958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69.04582395519958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69.04582395519958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3.25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11.916666666666666</v>
      </c>
      <c r="H166" s="67">
        <f t="shared" si="110"/>
        <v>209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69.062376776358803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5.6843418860808015E-13</v>
      </c>
      <c r="O166" s="13">
        <f>N166*VLOOKUP('Données projet'!$B$9,Paramètres!$A$1:$I$89,3,0)*VLOOKUP('Données projet'!$B$9,Paramètres!$A$1:$I$89,5,0)</f>
        <v>3.177547114319168E-13</v>
      </c>
      <c r="P166" s="13">
        <f t="shared" si="141"/>
        <v>4.1725404435445377E-12</v>
      </c>
      <c r="Q166" s="20">
        <f t="shared" si="162"/>
        <v>7.820597394917325E-12</v>
      </c>
      <c r="R166" s="59">
        <f t="shared" si="109"/>
        <v>289.89538151332346</v>
      </c>
      <c r="S166" s="59">
        <f ca="1">AVERAGE(OFFSET($R$3,0,0,'Données projet'!$E$9+1,1))-AVERAGE(OFFSET($H$3,0,0,'Données projet'!$E$9+1,1))</f>
        <v>399.91876225849921</v>
      </c>
      <c r="T166" s="59">
        <f t="shared" si="142"/>
        <v>368.64132082233505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36.581338622078498</v>
      </c>
      <c r="AA166" s="21">
        <f>EXP(-LN(2)/25)*AA165+(1-EXP(-LN(2)/25))/(LN(2)/25)*Calculateur!V166*Calculateur!X166*VLOOKUP('Données projet'!$B$9,Paramètres!$A$1:$I$89,3,0)*0.475*44/12</f>
        <v>5.8248984948303404</v>
      </c>
      <c r="AB166" s="21">
        <f>EXP(-LN(2)/2)*AB165+(1-EXP(-LN(2)/2))/(LN(2)/2)*V166*Y166*VLOOKUP('Données projet'!$B$9,Paramètres!$A$1:$I$89,3,0)*0.475*44/12</f>
        <v>7.5872418770063292E-13</v>
      </c>
      <c r="AC166" s="22">
        <f t="shared" si="163"/>
        <v>42.406237116909601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69.062376776358803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-1.064108801074326E-13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280.35802808205239</v>
      </c>
      <c r="AO166" s="59">
        <f t="shared" si="144"/>
        <v>249.32129349927175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12.128173187626803</v>
      </c>
      <c r="AV166" s="21">
        <f>EXP(-LN(2)/25)*AV165+(1-EXP(-LN(2)/25))/(LN(2)/25)*Calculateur!AQ166*Calculateur!AS166*VLOOKUP('Données projet'!$B$10,Paramètres!$A$1:$I$89,3,0)*0.475*44/12</f>
        <v>2.5760638136760066</v>
      </c>
      <c r="AW166" s="21">
        <f>EXP(-LN(2)/2)*AW165+(1-EXP(-LN(2)/2))/(LN(2)/2)*AQ166*AT166*VLOOKUP('Données projet'!$B$10,Paramètres!$A$1:$I$89,3,0)*0.475*44/12</f>
        <v>4.1803079375566523E-15</v>
      </c>
      <c r="AX166" s="21">
        <f t="shared" si="166"/>
        <v>14.704237001302813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69.062376776358803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1.1368683772161603E-13</v>
      </c>
      <c r="BE166" s="13">
        <f>BD166*VLOOKUP('Données projet'!$B$11,Paramètres!$A$1:$I$89,3,0)*VLOOKUP('Données projet'!$B$11,Paramètres!$A$1:$I$89,5,0)</f>
        <v>5.0249582272954292E-14</v>
      </c>
      <c r="BF166" s="13">
        <f t="shared" si="167"/>
        <v>8.1784820119191593E-13</v>
      </c>
      <c r="BG166" s="20">
        <f t="shared" si="168"/>
        <v>1.5119369728679821E-12</v>
      </c>
      <c r="BH166" s="59">
        <f t="shared" si="116"/>
        <v>289.89538151331715</v>
      </c>
      <c r="BI166" s="59">
        <f ca="1">AVERAGE(OFFSET($BH$3,0,0,'Données projet'!$E$11+1,1))-AVERAGE(OFFSET($H$3,0,0,'Données projet'!$E$11+1,1))</f>
        <v>409.91320873873292</v>
      </c>
      <c r="BJ166" s="59">
        <f t="shared" si="146"/>
        <v>347.86310581860698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39.932810031134608</v>
      </c>
      <c r="BQ166" s="21">
        <f>EXP(-LN(2)/25)*BQ165+(1-EXP(-LN(2)/25))/(LN(2)/25)*Calculateur!BL166*Calculateur!BN166*VLOOKUP('Données projet'!$B$11,Paramètres!$A$1:$I$89,3,0)*0.475*44/12</f>
        <v>7.1992072324058238</v>
      </c>
      <c r="BR166" s="21">
        <f>EXP(-LN(2)/2)*BR165+(1-EXP(-LN(2)/2))/(LN(2)/2)*BL166*BO166*VLOOKUP('Données projet'!$B$11,Paramètres!$A$1:$I$89,3,0)*0.475*44/12</f>
        <v>2.5275469157701222E-11</v>
      </c>
      <c r="BS166" s="22">
        <f t="shared" si="169"/>
        <v>47.132017263565707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69.062376776358803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69.062376776358803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69.062376776358803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69.062376776358803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69.062376776358803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69.062376776358803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69.062376776358803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3.25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11.916666666666666</v>
      </c>
      <c r="H167" s="67">
        <f t="shared" si="110"/>
        <v>209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69.078642443077484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5.6843418860808015E-13</v>
      </c>
      <c r="O167" s="13">
        <f>N167*VLOOKUP('Données projet'!$B$9,Paramètres!$A$1:$I$89,3,0)*VLOOKUP('Données projet'!$B$9,Paramètres!$A$1:$I$89,5,0)</f>
        <v>3.177547114319168E-13</v>
      </c>
      <c r="P167" s="13">
        <f t="shared" si="141"/>
        <v>4.1725404435445377E-12</v>
      </c>
      <c r="Q167" s="20">
        <f t="shared" si="162"/>
        <v>7.820597394917325E-12</v>
      </c>
      <c r="R167" s="59">
        <f t="shared" si="109"/>
        <v>289.95502229129198</v>
      </c>
      <c r="S167" s="59">
        <f ca="1">AVERAGE(OFFSET($R$3,0,0,'Données projet'!$E$9+1,1))-AVERAGE(OFFSET($H$3,0,0,'Données projet'!$E$9+1,1))</f>
        <v>399.91876225849921</v>
      </c>
      <c r="T167" s="59">
        <f t="shared" si="142"/>
        <v>368.64132082233505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35.864000884112933</v>
      </c>
      <c r="AA167" s="21">
        <f>EXP(-LN(2)/25)*AA166+(1-EXP(-LN(2)/25))/(LN(2)/25)*Calculateur!V167*Calculateur!X167*VLOOKUP('Données projet'!$B$9,Paramètres!$A$1:$I$89,3,0)*0.475*44/12</f>
        <v>5.6656163391711063</v>
      </c>
      <c r="AB167" s="21">
        <f>EXP(-LN(2)/2)*AB166+(1-EXP(-LN(2)/2))/(LN(2)/2)*V167*Y167*VLOOKUP('Données projet'!$B$9,Paramètres!$A$1:$I$89,3,0)*0.475*44/12</f>
        <v>5.3649901817337244E-13</v>
      </c>
      <c r="AC167" s="22">
        <f t="shared" si="163"/>
        <v>41.529617223284582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69.078642443077484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-1.064108801074326E-13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280.35802808205239</v>
      </c>
      <c r="AO167" s="59">
        <f t="shared" si="144"/>
        <v>249.32129349927175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11.890347108872648</v>
      </c>
      <c r="AV167" s="21">
        <f>EXP(-LN(2)/25)*AV166+(1-EXP(-LN(2)/25))/(LN(2)/25)*Calculateur!AQ167*Calculateur!AS167*VLOOKUP('Données projet'!$B$10,Paramètres!$A$1:$I$89,3,0)*0.475*44/12</f>
        <v>2.5056212132217279</v>
      </c>
      <c r="AW167" s="21">
        <f>EXP(-LN(2)/2)*AW166+(1-EXP(-LN(2)/2))/(LN(2)/2)*AQ167*AT167*VLOOKUP('Données projet'!$B$10,Paramètres!$A$1:$I$89,3,0)*0.475*44/12</f>
        <v>2.9559240900942596E-15</v>
      </c>
      <c r="AX167" s="21">
        <f t="shared" si="166"/>
        <v>14.395968322094379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69.078642443077484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1.1368683772161603E-13</v>
      </c>
      <c r="BE167" s="13">
        <f>BD167*VLOOKUP('Données projet'!$B$11,Paramètres!$A$1:$I$89,3,0)*VLOOKUP('Données projet'!$B$11,Paramètres!$A$1:$I$89,5,0)</f>
        <v>5.0249582272954292E-14</v>
      </c>
      <c r="BF167" s="13">
        <f t="shared" si="167"/>
        <v>8.1784820119191593E-13</v>
      </c>
      <c r="BG167" s="20">
        <f t="shared" si="168"/>
        <v>1.5119369728679821E-12</v>
      </c>
      <c r="BH167" s="59">
        <f t="shared" si="116"/>
        <v>289.95502229128567</v>
      </c>
      <c r="BI167" s="59">
        <f ca="1">AVERAGE(OFFSET($BH$3,0,0,'Données projet'!$E$11+1,1))-AVERAGE(OFFSET($H$3,0,0,'Données projet'!$E$11+1,1))</f>
        <v>409.91320873873292</v>
      </c>
      <c r="BJ167" s="59">
        <f t="shared" si="146"/>
        <v>347.86310581860698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39.149751983033163</v>
      </c>
      <c r="BQ167" s="21">
        <f>EXP(-LN(2)/25)*BQ166+(1-EXP(-LN(2)/25))/(LN(2)/25)*Calculateur!BL167*Calculateur!BN167*VLOOKUP('Données projet'!$B$11,Paramètres!$A$1:$I$89,3,0)*0.475*44/12</f>
        <v>7.0023445320458322</v>
      </c>
      <c r="BR167" s="21">
        <f>EXP(-LN(2)/2)*BR166+(1-EXP(-LN(2)/2))/(LN(2)/2)*BL167*BO167*VLOOKUP('Données projet'!$B$11,Paramètres!$A$1:$I$89,3,0)*0.475*44/12</f>
        <v>1.7872455639081968E-11</v>
      </c>
      <c r="BS167" s="22">
        <f t="shared" si="169"/>
        <v>46.152096515096865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69.078642443077484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69.078642443077484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69.078642443077484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69.078642443077484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69.078642443077484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69.078642443077484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69.078642443077484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3.25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11.916666666666666</v>
      </c>
      <c r="H168" s="67">
        <f t="shared" si="110"/>
        <v>209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69.094625936843187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5.6843418860808015E-13</v>
      </c>
      <c r="O168" s="13">
        <f>N168*VLOOKUP('Données projet'!$B$9,Paramètres!$A$1:$I$89,3,0)*VLOOKUP('Données projet'!$B$9,Paramètres!$A$1:$I$89,5,0)</f>
        <v>3.177547114319168E-13</v>
      </c>
      <c r="P168" s="13">
        <f t="shared" si="141"/>
        <v>4.1725404435445377E-12</v>
      </c>
      <c r="Q168" s="20">
        <f t="shared" si="162"/>
        <v>7.820597394917325E-12</v>
      </c>
      <c r="R168" s="59">
        <f t="shared" si="109"/>
        <v>290.01362843509952</v>
      </c>
      <c r="S168" s="59">
        <f ca="1">AVERAGE(OFFSET($R$3,0,0,'Données projet'!$E$9+1,1))-AVERAGE(OFFSET($H$3,0,0,'Données projet'!$E$9+1,1))</f>
        <v>399.91876225849921</v>
      </c>
      <c r="T168" s="59">
        <f t="shared" si="142"/>
        <v>368.64132082233505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35.160729701656052</v>
      </c>
      <c r="AA168" s="21">
        <f>EXP(-LN(2)/25)*AA167+(1-EXP(-LN(2)/25))/(LN(2)/25)*Calculateur!V168*Calculateur!X168*VLOOKUP('Données projet'!$B$9,Paramètres!$A$1:$I$89,3,0)*0.475*44/12</f>
        <v>5.5106897624346578</v>
      </c>
      <c r="AB168" s="21">
        <f>EXP(-LN(2)/2)*AB167+(1-EXP(-LN(2)/2))/(LN(2)/2)*V168*Y168*VLOOKUP('Données projet'!$B$9,Paramètres!$A$1:$I$89,3,0)*0.475*44/12</f>
        <v>3.7936209385031646E-13</v>
      </c>
      <c r="AC168" s="22">
        <f t="shared" si="163"/>
        <v>40.671419464091088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69.094625936843187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-1.064108801074326E-13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280.35802808205239</v>
      </c>
      <c r="AO168" s="59">
        <f t="shared" si="144"/>
        <v>249.32129349927175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11.657184654463277</v>
      </c>
      <c r="AV168" s="21">
        <f>EXP(-LN(2)/25)*AV167+(1-EXP(-LN(2)/25))/(LN(2)/25)*Calculateur!AQ168*Calculateur!AS168*VLOOKUP('Données projet'!$B$10,Paramètres!$A$1:$I$89,3,0)*0.475*44/12</f>
        <v>2.4371048693812867</v>
      </c>
      <c r="AW168" s="21">
        <f>EXP(-LN(2)/2)*AW167+(1-EXP(-LN(2)/2))/(LN(2)/2)*AQ168*AT168*VLOOKUP('Données projet'!$B$10,Paramètres!$A$1:$I$89,3,0)*0.475*44/12</f>
        <v>2.0901539687783261E-15</v>
      </c>
      <c r="AX168" s="21">
        <f t="shared" si="166"/>
        <v>14.094289523844566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69.094625936843187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1.1368683772161603E-13</v>
      </c>
      <c r="BE168" s="13">
        <f>BD168*VLOOKUP('Données projet'!$B$11,Paramètres!$A$1:$I$89,3,0)*VLOOKUP('Données projet'!$B$11,Paramètres!$A$1:$I$89,5,0)</f>
        <v>5.0249582272954292E-14</v>
      </c>
      <c r="BF168" s="13">
        <f t="shared" si="167"/>
        <v>8.1784820119191593E-13</v>
      </c>
      <c r="BG168" s="20">
        <f t="shared" si="168"/>
        <v>1.5119369728679821E-12</v>
      </c>
      <c r="BH168" s="59">
        <f t="shared" si="116"/>
        <v>290.01362843509321</v>
      </c>
      <c r="BI168" s="59">
        <f ca="1">AVERAGE(OFFSET($BH$3,0,0,'Données projet'!$E$11+1,1))-AVERAGE(OFFSET($H$3,0,0,'Données projet'!$E$11+1,1))</f>
        <v>409.91320873873292</v>
      </c>
      <c r="BJ168" s="59">
        <f t="shared" si="146"/>
        <v>347.86310581860698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38.382049225636734</v>
      </c>
      <c r="BQ168" s="21">
        <f>EXP(-LN(2)/25)*BQ167+(1-EXP(-LN(2)/25))/(LN(2)/25)*Calculateur!BL168*Calculateur!BN168*VLOOKUP('Données projet'!$B$11,Paramètres!$A$1:$I$89,3,0)*0.475*44/12</f>
        <v>6.8108650525797438</v>
      </c>
      <c r="BR168" s="21">
        <f>EXP(-LN(2)/2)*BR167+(1-EXP(-LN(2)/2))/(LN(2)/2)*BL168*BO168*VLOOKUP('Données projet'!$B$11,Paramètres!$A$1:$I$89,3,0)*0.475*44/12</f>
        <v>1.2637734578850611E-11</v>
      </c>
      <c r="BS168" s="22">
        <f t="shared" si="169"/>
        <v>45.192914278229118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69.094625936843187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69.094625936843187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69.094625936843187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69.094625936843187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69.094625936843187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69.094625936843187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69.094625936843187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3.25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11.916666666666666</v>
      </c>
      <c r="H169" s="67">
        <f t="shared" si="110"/>
        <v>209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69.110332152725789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5.6843418860808015E-13</v>
      </c>
      <c r="O169" s="13">
        <f>N169*VLOOKUP('Données projet'!$B$9,Paramètres!$A$1:$I$89,3,0)*VLOOKUP('Données projet'!$B$9,Paramètres!$A$1:$I$89,5,0)</f>
        <v>3.177547114319168E-13</v>
      </c>
      <c r="P169" s="13">
        <f t="shared" si="141"/>
        <v>4.1725404435445377E-12</v>
      </c>
      <c r="Q169" s="20">
        <f t="shared" si="162"/>
        <v>7.820597394917325E-12</v>
      </c>
      <c r="R169" s="59">
        <f t="shared" si="109"/>
        <v>290.07121789333576</v>
      </c>
      <c r="S169" s="59">
        <f ca="1">AVERAGE(OFFSET($R$3,0,0,'Données projet'!$E$9+1,1))-AVERAGE(OFFSET($H$3,0,0,'Données projet'!$E$9+1,1))</f>
        <v>399.91876225849921</v>
      </c>
      <c r="T169" s="59">
        <f t="shared" si="142"/>
        <v>368.64132082233505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34.471249238134085</v>
      </c>
      <c r="AA169" s="21">
        <f>EXP(-LN(2)/25)*AA168+(1-EXP(-LN(2)/25))/(LN(2)/25)*Calculateur!V169*Calculateur!X169*VLOOKUP('Données projet'!$B$9,Paramètres!$A$1:$I$89,3,0)*0.475*44/12</f>
        <v>5.3599996610863023</v>
      </c>
      <c r="AB169" s="21">
        <f>EXP(-LN(2)/2)*AB168+(1-EXP(-LN(2)/2))/(LN(2)/2)*V169*Y169*VLOOKUP('Données projet'!$B$9,Paramètres!$A$1:$I$89,3,0)*0.475*44/12</f>
        <v>2.6824950908668622E-13</v>
      </c>
      <c r="AC169" s="22">
        <f t="shared" si="163"/>
        <v>39.831248899220654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69.110332152725789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-1.064108801074326E-13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280.35802808205239</v>
      </c>
      <c r="AO169" s="59">
        <f t="shared" si="144"/>
        <v>249.32129349927175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11.428594373569819</v>
      </c>
      <c r="AV169" s="21">
        <f>EXP(-LN(2)/25)*AV168+(1-EXP(-LN(2)/25))/(LN(2)/25)*Calculateur!AQ169*Calculateur!AS169*VLOOKUP('Données projet'!$B$10,Paramètres!$A$1:$I$89,3,0)*0.475*44/12</f>
        <v>2.3704621085662803</v>
      </c>
      <c r="AW169" s="21">
        <f>EXP(-LN(2)/2)*AW168+(1-EXP(-LN(2)/2))/(LN(2)/2)*AQ169*AT169*VLOOKUP('Données projet'!$B$10,Paramètres!$A$1:$I$89,3,0)*0.475*44/12</f>
        <v>1.4779620450471298E-15</v>
      </c>
      <c r="AX169" s="21">
        <f t="shared" si="166"/>
        <v>13.7990564821361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69.110332152725789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1.1368683772161603E-13</v>
      </c>
      <c r="BE169" s="13">
        <f>BD169*VLOOKUP('Données projet'!$B$11,Paramètres!$A$1:$I$89,3,0)*VLOOKUP('Données projet'!$B$11,Paramètres!$A$1:$I$89,5,0)</f>
        <v>5.0249582272954292E-14</v>
      </c>
      <c r="BF169" s="13">
        <f t="shared" si="167"/>
        <v>8.1784820119191593E-13</v>
      </c>
      <c r="BG169" s="20">
        <f t="shared" si="168"/>
        <v>1.5119369728679821E-12</v>
      </c>
      <c r="BH169" s="59">
        <f t="shared" si="116"/>
        <v>290.07121789332945</v>
      </c>
      <c r="BI169" s="59">
        <f ca="1">AVERAGE(OFFSET($BH$3,0,0,'Données projet'!$E$11+1,1))-AVERAGE(OFFSET($H$3,0,0,'Données projet'!$E$11+1,1))</f>
        <v>409.91320873873292</v>
      </c>
      <c r="BJ169" s="59">
        <f t="shared" si="146"/>
        <v>347.86310581860698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37.629400651060408</v>
      </c>
      <c r="BQ169" s="21">
        <f>EXP(-LN(2)/25)*BQ168+(1-EXP(-LN(2)/25))/(LN(2)/25)*Calculateur!BL169*Calculateur!BN169*VLOOKUP('Données projet'!$B$11,Paramètres!$A$1:$I$89,3,0)*0.475*44/12</f>
        <v>6.6246215895491245</v>
      </c>
      <c r="BR169" s="21">
        <f>EXP(-LN(2)/2)*BR168+(1-EXP(-LN(2)/2))/(LN(2)/2)*BL169*BO169*VLOOKUP('Données projet'!$B$11,Paramètres!$A$1:$I$89,3,0)*0.475*44/12</f>
        <v>8.9362278195409841E-12</v>
      </c>
      <c r="BS169" s="22">
        <f t="shared" si="169"/>
        <v>44.254022240618468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69.110332152725789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69.110332152725789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69.110332152725789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69.110332152725789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69.110332152725789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69.110332152725789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69.110332152725789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3.25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11.916666666666666</v>
      </c>
      <c r="H170" s="67">
        <f t="shared" si="110"/>
        <v>209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69.125765900876672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5.6843418860808015E-13</v>
      </c>
      <c r="O170" s="13">
        <f>N170*VLOOKUP('Données projet'!$B$9,Paramètres!$A$1:$I$89,3,0)*VLOOKUP('Données projet'!$B$9,Paramètres!$A$1:$I$89,5,0)</f>
        <v>3.177547114319168E-13</v>
      </c>
      <c r="P170" s="13">
        <f t="shared" si="141"/>
        <v>4.1725404435445377E-12</v>
      </c>
      <c r="Q170" s="20">
        <f t="shared" si="162"/>
        <v>7.820597394917325E-12</v>
      </c>
      <c r="R170" s="59">
        <f t="shared" si="109"/>
        <v>290.12780830322231</v>
      </c>
      <c r="S170" s="59">
        <f ca="1">AVERAGE(OFFSET($R$3,0,0,'Données projet'!$E$9+1,1))-AVERAGE(OFFSET($H$3,0,0,'Données projet'!$E$9+1,1))</f>
        <v>399.91876225849921</v>
      </c>
      <c r="T170" s="59">
        <f t="shared" si="142"/>
        <v>368.64132082233505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33.795289065960226</v>
      </c>
      <c r="AA170" s="21">
        <f>EXP(-LN(2)/25)*AA169+(1-EXP(-LN(2)/25))/(LN(2)/25)*Calculateur!V170*Calculateur!X170*VLOOKUP('Données projet'!$B$9,Paramètres!$A$1:$I$89,3,0)*0.475*44/12</f>
        <v>5.2134301884837653</v>
      </c>
      <c r="AB170" s="21">
        <f>EXP(-LN(2)/2)*AB169+(1-EXP(-LN(2)/2))/(LN(2)/2)*V170*Y170*VLOOKUP('Données projet'!$B$9,Paramètres!$A$1:$I$89,3,0)*0.475*44/12</f>
        <v>1.8968104692515823E-13</v>
      </c>
      <c r="AC170" s="22">
        <f t="shared" si="163"/>
        <v>39.008719254444181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69.125765900876672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-1.064108801074326E-13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280.35802808205239</v>
      </c>
      <c r="AO170" s="59">
        <f t="shared" si="144"/>
        <v>249.32129349927175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11.204486608658378</v>
      </c>
      <c r="AV170" s="21">
        <f>EXP(-LN(2)/25)*AV169+(1-EXP(-LN(2)/25))/(LN(2)/25)*Calculateur!AQ170*Calculateur!AS170*VLOOKUP('Données projet'!$B$10,Paramètres!$A$1:$I$89,3,0)*0.475*44/12</f>
        <v>2.3056416975503509</v>
      </c>
      <c r="AW170" s="21">
        <f>EXP(-LN(2)/2)*AW169+(1-EXP(-LN(2)/2))/(LN(2)/2)*AQ170*AT170*VLOOKUP('Données projet'!$B$10,Paramètres!$A$1:$I$89,3,0)*0.475*44/12</f>
        <v>1.0450769843891631E-15</v>
      </c>
      <c r="AX170" s="21">
        <f t="shared" si="166"/>
        <v>13.510128306208731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69.125765900876672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1.1368683772161603E-13</v>
      </c>
      <c r="BE170" s="13">
        <f>BD170*VLOOKUP('Données projet'!$B$11,Paramètres!$A$1:$I$89,3,0)*VLOOKUP('Données projet'!$B$11,Paramètres!$A$1:$I$89,5,0)</f>
        <v>5.0249582272954292E-14</v>
      </c>
      <c r="BF170" s="13">
        <f t="shared" si="167"/>
        <v>8.1784820119191593E-13</v>
      </c>
      <c r="BG170" s="20">
        <f t="shared" si="168"/>
        <v>1.5119369728679821E-12</v>
      </c>
      <c r="BH170" s="59">
        <f t="shared" si="116"/>
        <v>290.127808303216</v>
      </c>
      <c r="BI170" s="59">
        <f ca="1">AVERAGE(OFFSET($BH$3,0,0,'Données projet'!$E$11+1,1))-AVERAGE(OFFSET($H$3,0,0,'Données projet'!$E$11+1,1))</f>
        <v>409.91320873873292</v>
      </c>
      <c r="BJ170" s="59">
        <f t="shared" si="146"/>
        <v>347.86310581860698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36.891511055961224</v>
      </c>
      <c r="BQ170" s="21">
        <f>EXP(-LN(2)/25)*BQ169+(1-EXP(-LN(2)/25))/(LN(2)/25)*Calculateur!BL170*Calculateur!BN170*VLOOKUP('Données projet'!$B$11,Paramètres!$A$1:$I$89,3,0)*0.475*44/12</f>
        <v>6.4434709638091947</v>
      </c>
      <c r="BR170" s="21">
        <f>EXP(-LN(2)/2)*BR169+(1-EXP(-LN(2)/2))/(LN(2)/2)*BL170*BO170*VLOOKUP('Données projet'!$B$11,Paramètres!$A$1:$I$89,3,0)*0.475*44/12</f>
        <v>6.3188672894253054E-12</v>
      </c>
      <c r="BS170" s="22">
        <f t="shared" si="169"/>
        <v>43.334982019776739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69.125765900876672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69.125765900876672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69.125765900876672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69.125765900876672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69.125765900876672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69.125765900876672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69.125765900876672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3.25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11.916666666666666</v>
      </c>
      <c r="H171" s="67">
        <f t="shared" si="110"/>
        <v>209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69.140931908001818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5.6843418860808015E-13</v>
      </c>
      <c r="O171" s="13">
        <f>N171*VLOOKUP('Données projet'!$B$9,Paramètres!$A$1:$I$89,3,0)*VLOOKUP('Données projet'!$B$9,Paramètres!$A$1:$I$89,5,0)</f>
        <v>3.177547114319168E-13</v>
      </c>
      <c r="P171" s="13">
        <f t="shared" si="141"/>
        <v>4.1725404435445377E-12</v>
      </c>
      <c r="Q171" s="20">
        <f t="shared" si="162"/>
        <v>7.820597394917325E-12</v>
      </c>
      <c r="R171" s="59">
        <f t="shared" si="109"/>
        <v>290.1834169960145</v>
      </c>
      <c r="S171" s="59">
        <f ca="1">AVERAGE(OFFSET($R$3,0,0,'Données projet'!$E$9+1,1))-AVERAGE(OFFSET($H$3,0,0,'Données projet'!$E$9+1,1))</f>
        <v>399.91876225849921</v>
      </c>
      <c r="T171" s="59">
        <f t="shared" si="142"/>
        <v>368.64132082233505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33.1325840604677</v>
      </c>
      <c r="AA171" s="21">
        <f>EXP(-LN(2)/25)*AA170+(1-EXP(-LN(2)/25))/(LN(2)/25)*Calculateur!V171*Calculateur!X171*VLOOKUP('Données projet'!$B$9,Paramètres!$A$1:$I$89,3,0)*0.475*44/12</f>
        <v>5.0708686658172981</v>
      </c>
      <c r="AB171" s="21">
        <f>EXP(-LN(2)/2)*AB170+(1-EXP(-LN(2)/2))/(LN(2)/2)*V171*Y171*VLOOKUP('Données projet'!$B$9,Paramètres!$A$1:$I$89,3,0)*0.475*44/12</f>
        <v>1.3412475454334311E-13</v>
      </c>
      <c r="AC171" s="22">
        <f t="shared" si="163"/>
        <v>38.203452726285136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69.140931908001818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-1.064108801074326E-13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280.35802808205239</v>
      </c>
      <c r="AO171" s="59">
        <f t="shared" si="144"/>
        <v>249.32129349927175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10.984773460324611</v>
      </c>
      <c r="AV171" s="21">
        <f>EXP(-LN(2)/25)*AV170+(1-EXP(-LN(2)/25))/(LN(2)/25)*Calculateur!AQ171*Calculateur!AS171*VLOOKUP('Données projet'!$B$10,Paramètres!$A$1:$I$89,3,0)*0.475*44/12</f>
        <v>2.2425938040824094</v>
      </c>
      <c r="AW171" s="21">
        <f>EXP(-LN(2)/2)*AW170+(1-EXP(-LN(2)/2))/(LN(2)/2)*AQ171*AT171*VLOOKUP('Données projet'!$B$10,Paramètres!$A$1:$I$89,3,0)*0.475*44/12</f>
        <v>7.389810225235649E-16</v>
      </c>
      <c r="AX171" s="21">
        <f t="shared" si="166"/>
        <v>13.22736726440702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69.140931908001818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1.1368683772161603E-13</v>
      </c>
      <c r="BE171" s="13">
        <f>BD171*VLOOKUP('Données projet'!$B$11,Paramètres!$A$1:$I$89,3,0)*VLOOKUP('Données projet'!$B$11,Paramètres!$A$1:$I$89,5,0)</f>
        <v>5.0249582272954292E-14</v>
      </c>
      <c r="BF171" s="13">
        <f t="shared" si="167"/>
        <v>8.1784820119191593E-13</v>
      </c>
      <c r="BG171" s="20">
        <f t="shared" si="168"/>
        <v>1.5119369728679821E-12</v>
      </c>
      <c r="BH171" s="59">
        <f t="shared" si="116"/>
        <v>290.18341699600819</v>
      </c>
      <c r="BI171" s="59">
        <f ca="1">AVERAGE(OFFSET($BH$3,0,0,'Données projet'!$E$11+1,1))-AVERAGE(OFFSET($H$3,0,0,'Données projet'!$E$11+1,1))</f>
        <v>409.91320873873292</v>
      </c>
      <c r="BJ171" s="59">
        <f t="shared" si="146"/>
        <v>347.86310581860698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36.168091025753718</v>
      </c>
      <c r="BQ171" s="21">
        <f>EXP(-LN(2)/25)*BQ170+(1-EXP(-LN(2)/25))/(LN(2)/25)*Calculateur!BL171*Calculateur!BN171*VLOOKUP('Données projet'!$B$11,Paramètres!$A$1:$I$89,3,0)*0.475*44/12</f>
        <v>6.2672739114564209</v>
      </c>
      <c r="BR171" s="21">
        <f>EXP(-LN(2)/2)*BR170+(1-EXP(-LN(2)/2))/(LN(2)/2)*BL171*BO171*VLOOKUP('Données projet'!$B$11,Paramètres!$A$1:$I$89,3,0)*0.475*44/12</f>
        <v>4.4681139097704921E-12</v>
      </c>
      <c r="BS171" s="22">
        <f t="shared" si="169"/>
        <v>42.435364937214608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69.140931908001818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69.140931908001818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69.140931908001818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69.140931908001818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69.140931908001818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69.140931908001818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69.140931908001818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3.25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11.916666666666666</v>
      </c>
      <c r="H172" s="67">
        <f t="shared" si="110"/>
        <v>209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69.155834818809453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5.6843418860808015E-13</v>
      </c>
      <c r="O172" s="13">
        <f>N172*VLOOKUP('Données projet'!$B$9,Paramètres!$A$1:$I$89,3,0)*VLOOKUP('Données projet'!$B$9,Paramètres!$A$1:$I$89,5,0)</f>
        <v>3.177547114319168E-13</v>
      </c>
      <c r="P172" s="13">
        <f t="shared" si="141"/>
        <v>4.1725404435445377E-12</v>
      </c>
      <c r="Q172" s="20">
        <f t="shared" si="162"/>
        <v>7.820597394917325E-12</v>
      </c>
      <c r="R172" s="59">
        <f t="shared" si="109"/>
        <v>290.23806100230917</v>
      </c>
      <c r="S172" s="59">
        <f ca="1">AVERAGE(OFFSET($R$3,0,0,'Données projet'!$E$9+1,1))-AVERAGE(OFFSET($H$3,0,0,'Données projet'!$E$9+1,1))</f>
        <v>399.91876225849921</v>
      </c>
      <c r="T172" s="59">
        <f t="shared" si="142"/>
        <v>368.64132082233505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32.482874295922741</v>
      </c>
      <c r="AA172" s="21">
        <f>EXP(-LN(2)/25)*AA171+(1-EXP(-LN(2)/25))/(LN(2)/25)*Calculateur!V172*Calculateur!X172*VLOOKUP('Données projet'!$B$9,Paramètres!$A$1:$I$89,3,0)*0.475*44/12</f>
        <v>4.9322054954851309</v>
      </c>
      <c r="AB172" s="21">
        <f>EXP(-LN(2)/2)*AB171+(1-EXP(-LN(2)/2))/(LN(2)/2)*V172*Y172*VLOOKUP('Données projet'!$B$9,Paramètres!$A$1:$I$89,3,0)*0.475*44/12</f>
        <v>9.4840523462579115E-14</v>
      </c>
      <c r="AC172" s="22">
        <f t="shared" si="163"/>
        <v>37.415079791407962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69.155834818809453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-1.064108801074326E-13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280.35802808205239</v>
      </c>
      <c r="AO172" s="59">
        <f t="shared" si="144"/>
        <v>249.32129349927175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10.769368752817881</v>
      </c>
      <c r="AV172" s="21">
        <f>EXP(-LN(2)/25)*AV171+(1-EXP(-LN(2)/25))/(LN(2)/25)*Calculateur!AQ172*Calculateur!AS172*VLOOKUP('Données projet'!$B$10,Paramètres!$A$1:$I$89,3,0)*0.475*44/12</f>
        <v>2.1812699585768933</v>
      </c>
      <c r="AW172" s="21">
        <f>EXP(-LN(2)/2)*AW171+(1-EXP(-LN(2)/2))/(LN(2)/2)*AQ172*AT172*VLOOKUP('Données projet'!$B$10,Paramètres!$A$1:$I$89,3,0)*0.475*44/12</f>
        <v>5.2253849219458154E-16</v>
      </c>
      <c r="AX172" s="21">
        <f t="shared" si="166"/>
        <v>12.950638711394774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69.155834818809453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1.1368683772161603E-13</v>
      </c>
      <c r="BE172" s="13">
        <f>BD172*VLOOKUP('Données projet'!$B$11,Paramètres!$A$1:$I$89,3,0)*VLOOKUP('Données projet'!$B$11,Paramètres!$A$1:$I$89,5,0)</f>
        <v>5.0249582272954292E-14</v>
      </c>
      <c r="BF172" s="13">
        <f t="shared" si="167"/>
        <v>8.1784820119191593E-13</v>
      </c>
      <c r="BG172" s="20">
        <f t="shared" si="168"/>
        <v>1.5119369728679821E-12</v>
      </c>
      <c r="BH172" s="59">
        <f t="shared" si="116"/>
        <v>290.23806100230286</v>
      </c>
      <c r="BI172" s="59">
        <f ca="1">AVERAGE(OFFSET($BH$3,0,0,'Données projet'!$E$11+1,1))-AVERAGE(OFFSET($H$3,0,0,'Données projet'!$E$11+1,1))</f>
        <v>409.91320873873292</v>
      </c>
      <c r="BJ172" s="59">
        <f t="shared" si="146"/>
        <v>347.86310581860698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35.458856821095935</v>
      </c>
      <c r="BQ172" s="21">
        <f>EXP(-LN(2)/25)*BQ171+(1-EXP(-LN(2)/25))/(LN(2)/25)*Calculateur!BL172*Calculateur!BN172*VLOOKUP('Données projet'!$B$11,Paramètres!$A$1:$I$89,3,0)*0.475*44/12</f>
        <v>6.0958949767660338</v>
      </c>
      <c r="BR172" s="21">
        <f>EXP(-LN(2)/2)*BR171+(1-EXP(-LN(2)/2))/(LN(2)/2)*BL172*BO172*VLOOKUP('Données projet'!$B$11,Paramètres!$A$1:$I$89,3,0)*0.475*44/12</f>
        <v>3.1594336447126527E-12</v>
      </c>
      <c r="BS172" s="22">
        <f t="shared" si="169"/>
        <v>41.55475179786513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69.155834818809453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69.155834818809453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69.155834818809453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69.155834818809453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69.155834818809453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69.155834818809453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69.155834818809453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3.25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11.916666666666666</v>
      </c>
      <c r="H173" s="67">
        <f t="shared" si="110"/>
        <v>209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69.170479197432485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5.6843418860808015E-13</v>
      </c>
      <c r="O173" s="13">
        <f>N173*VLOOKUP('Données projet'!$B$9,Paramètres!$A$1:$I$89,3,0)*VLOOKUP('Données projet'!$B$9,Paramètres!$A$1:$I$89,5,0)</f>
        <v>3.177547114319168E-13</v>
      </c>
      <c r="P173" s="13">
        <f t="shared" si="141"/>
        <v>4.1725404435445377E-12</v>
      </c>
      <c r="Q173" s="20">
        <f t="shared" si="162"/>
        <v>7.820597394917325E-12</v>
      </c>
      <c r="R173" s="59">
        <f t="shared" si="109"/>
        <v>290.29175705726027</v>
      </c>
      <c r="S173" s="59">
        <f ca="1">AVERAGE(OFFSET($R$3,0,0,'Données projet'!$E$9+1,1))-AVERAGE(OFFSET($H$3,0,0,'Données projet'!$E$9+1,1))</f>
        <v>399.91876225849921</v>
      </c>
      <c r="T173" s="59">
        <f t="shared" si="142"/>
        <v>368.64132082233505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31.845904943576684</v>
      </c>
      <c r="AA173" s="21">
        <f>EXP(-LN(2)/25)*AA172+(1-EXP(-LN(2)/25))/(LN(2)/25)*Calculateur!V173*Calculateur!X173*VLOOKUP('Données projet'!$B$9,Paramètres!$A$1:$I$89,3,0)*0.475*44/12</f>
        <v>4.797334076837676</v>
      </c>
      <c r="AB173" s="21">
        <f>EXP(-LN(2)/2)*AB172+(1-EXP(-LN(2)/2))/(LN(2)/2)*V173*Y173*VLOOKUP('Données projet'!$B$9,Paramètres!$A$1:$I$89,3,0)*0.475*44/12</f>
        <v>6.7062377271671555E-14</v>
      </c>
      <c r="AC173" s="22">
        <f t="shared" si="163"/>
        <v>36.643239020414427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69.170479197432485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-1.064108801074326E-13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280.35802808205239</v>
      </c>
      <c r="AO173" s="59">
        <f t="shared" si="144"/>
        <v>249.32129349927175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10.55818800024146</v>
      </c>
      <c r="AV173" s="21">
        <f>EXP(-LN(2)/25)*AV172+(1-EXP(-LN(2)/25))/(LN(2)/25)*Calculateur!AQ173*Calculateur!AS173*VLOOKUP('Données projet'!$B$10,Paramètres!$A$1:$I$89,3,0)*0.475*44/12</f>
        <v>2.1216230168516064</v>
      </c>
      <c r="AW173" s="21">
        <f>EXP(-LN(2)/2)*AW172+(1-EXP(-LN(2)/2))/(LN(2)/2)*AQ173*AT173*VLOOKUP('Données projet'!$B$10,Paramètres!$A$1:$I$89,3,0)*0.475*44/12</f>
        <v>3.6949051126178245E-16</v>
      </c>
      <c r="AX173" s="21">
        <f t="shared" si="166"/>
        <v>12.679811017093066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69.170479197432485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1.1368683772161603E-13</v>
      </c>
      <c r="BE173" s="13">
        <f>BD173*VLOOKUP('Données projet'!$B$11,Paramètres!$A$1:$I$89,3,0)*VLOOKUP('Données projet'!$B$11,Paramètres!$A$1:$I$89,5,0)</f>
        <v>5.0249582272954292E-14</v>
      </c>
      <c r="BF173" s="13">
        <f t="shared" si="167"/>
        <v>8.1784820119191593E-13</v>
      </c>
      <c r="BG173" s="20">
        <f t="shared" si="168"/>
        <v>1.5119369728679821E-12</v>
      </c>
      <c r="BH173" s="59">
        <f t="shared" si="116"/>
        <v>290.29175705725396</v>
      </c>
      <c r="BI173" s="59">
        <f ca="1">AVERAGE(OFFSET($BH$3,0,0,'Données projet'!$E$11+1,1))-AVERAGE(OFFSET($H$3,0,0,'Données projet'!$E$11+1,1))</f>
        <v>409.91320873873292</v>
      </c>
      <c r="BJ173" s="59">
        <f t="shared" si="146"/>
        <v>347.86310581860698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34.763530266601343</v>
      </c>
      <c r="BQ173" s="21">
        <f>EXP(-LN(2)/25)*BQ172+(1-EXP(-LN(2)/25))/(LN(2)/25)*Calculateur!BL173*Calculateur!BN173*VLOOKUP('Données projet'!$B$11,Paramètres!$A$1:$I$89,3,0)*0.475*44/12</f>
        <v>5.9292024080571819</v>
      </c>
      <c r="BR173" s="21">
        <f>EXP(-LN(2)/2)*BR172+(1-EXP(-LN(2)/2))/(LN(2)/2)*BL173*BO173*VLOOKUP('Données projet'!$B$11,Paramètres!$A$1:$I$89,3,0)*0.475*44/12</f>
        <v>2.234056954885246E-12</v>
      </c>
      <c r="BS173" s="22">
        <f t="shared" si="169"/>
        <v>40.692732674660753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69.170479197432485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69.170479197432485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69.170479197432485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69.170479197432485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69.170479197432485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69.170479197432485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69.170479197432485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3.25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11.916666666666666</v>
      </c>
      <c r="H174" s="67">
        <f t="shared" si="110"/>
        <v>209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69.184869528826354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5.6843418860808015E-13</v>
      </c>
      <c r="O174" s="13">
        <f>N174*VLOOKUP('Données projet'!$B$9,Paramètres!$A$1:$I$89,3,0)*VLOOKUP('Données projet'!$B$9,Paramètres!$A$1:$I$89,5,0)</f>
        <v>3.177547114319168E-13</v>
      </c>
      <c r="P174" s="13">
        <f t="shared" si="141"/>
        <v>4.1725404435445377E-12</v>
      </c>
      <c r="Q174" s="20">
        <f t="shared" si="162"/>
        <v>7.820597394917325E-12</v>
      </c>
      <c r="R174" s="59">
        <f t="shared" si="109"/>
        <v>290.34452160570447</v>
      </c>
      <c r="S174" s="59">
        <f ca="1">AVERAGE(OFFSET($R$3,0,0,'Données projet'!$E$9+1,1))-AVERAGE(OFFSET($H$3,0,0,'Données projet'!$E$9+1,1))</f>
        <v>399.91876225849921</v>
      </c>
      <c r="T174" s="59">
        <f t="shared" si="142"/>
        <v>368.64132082233505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31.221426171717191</v>
      </c>
      <c r="AA174" s="21">
        <f>EXP(-LN(2)/25)*AA173+(1-EXP(-LN(2)/25))/(LN(2)/25)*Calculateur!V174*Calculateur!X174*VLOOKUP('Données projet'!$B$9,Paramètres!$A$1:$I$89,3,0)*0.475*44/12</f>
        <v>4.666150724225715</v>
      </c>
      <c r="AB174" s="21">
        <f>EXP(-LN(2)/2)*AB173+(1-EXP(-LN(2)/2))/(LN(2)/2)*V174*Y174*VLOOKUP('Données projet'!$B$9,Paramètres!$A$1:$I$89,3,0)*0.475*44/12</f>
        <v>4.7420261731289557E-14</v>
      </c>
      <c r="AC174" s="22">
        <f t="shared" si="163"/>
        <v>35.887576895942956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69.184869528826354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-1.064108801074326E-13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280.35802808205239</v>
      </c>
      <c r="AO174" s="59">
        <f t="shared" si="144"/>
        <v>249.32129349927175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10.351148373415521</v>
      </c>
      <c r="AV174" s="21">
        <f>EXP(-LN(2)/25)*AV173+(1-EXP(-LN(2)/25))/(LN(2)/25)*Calculateur!AQ174*Calculateur!AS174*VLOOKUP('Données projet'!$B$10,Paramètres!$A$1:$I$89,3,0)*0.475*44/12</f>
        <v>2.063607123884494</v>
      </c>
      <c r="AW174" s="21">
        <f>EXP(-LN(2)/2)*AW173+(1-EXP(-LN(2)/2))/(LN(2)/2)*AQ174*AT174*VLOOKUP('Données projet'!$B$10,Paramètres!$A$1:$I$89,3,0)*0.475*44/12</f>
        <v>2.6126924609729077E-16</v>
      </c>
      <c r="AX174" s="21">
        <f t="shared" si="166"/>
        <v>12.414755497300014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69.184869528826354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1.1368683772161603E-13</v>
      </c>
      <c r="BE174" s="13">
        <f>BD174*VLOOKUP('Données projet'!$B$11,Paramètres!$A$1:$I$89,3,0)*VLOOKUP('Données projet'!$B$11,Paramètres!$A$1:$I$89,5,0)</f>
        <v>5.0249582272954292E-14</v>
      </c>
      <c r="BF174" s="13">
        <f t="shared" si="167"/>
        <v>8.1784820119191593E-13</v>
      </c>
      <c r="BG174" s="20">
        <f t="shared" si="168"/>
        <v>1.5119369728679821E-12</v>
      </c>
      <c r="BH174" s="59">
        <f t="shared" si="116"/>
        <v>290.34452160569816</v>
      </c>
      <c r="BI174" s="59">
        <f ca="1">AVERAGE(OFFSET($BH$3,0,0,'Données projet'!$E$11+1,1))-AVERAGE(OFFSET($H$3,0,0,'Données projet'!$E$11+1,1))</f>
        <v>409.91320873873292</v>
      </c>
      <c r="BJ174" s="59">
        <f t="shared" si="146"/>
        <v>347.86310581860698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34.081838641733064</v>
      </c>
      <c r="BQ174" s="21">
        <f>EXP(-LN(2)/25)*BQ173+(1-EXP(-LN(2)/25))/(LN(2)/25)*Calculateur!BL174*Calculateur!BN174*VLOOKUP('Données projet'!$B$11,Paramètres!$A$1:$I$89,3,0)*0.475*44/12</f>
        <v>5.7670680564056553</v>
      </c>
      <c r="BR174" s="21">
        <f>EXP(-LN(2)/2)*BR173+(1-EXP(-LN(2)/2))/(LN(2)/2)*BL174*BO174*VLOOKUP('Données projet'!$B$11,Paramètres!$A$1:$I$89,3,0)*0.475*44/12</f>
        <v>1.5797168223563264E-12</v>
      </c>
      <c r="BS174" s="22">
        <f t="shared" si="169"/>
        <v>39.848906698140297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69.184869528826354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69.184869528826354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69.184869528826354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69.184869528826354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69.184869528826354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69.184869528826354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69.184869528826354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3.25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11.916666666666666</v>
      </c>
      <c r="H175" s="67">
        <f t="shared" si="110"/>
        <v>209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69.199010220142497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5.6843418860808015E-13</v>
      </c>
      <c r="O175" s="13">
        <f>N175*VLOOKUP('Données projet'!$B$9,Paramètres!$A$1:$I$89,3,0)*VLOOKUP('Données projet'!$B$9,Paramètres!$A$1:$I$89,5,0)</f>
        <v>3.177547114319168E-13</v>
      </c>
      <c r="P175" s="13">
        <f t="shared" si="141"/>
        <v>4.1725404435445377E-12</v>
      </c>
      <c r="Q175" s="20">
        <f t="shared" si="162"/>
        <v>7.820597394917325E-12</v>
      </c>
      <c r="R175" s="59">
        <f t="shared" si="109"/>
        <v>290.396370807197</v>
      </c>
      <c r="S175" s="59">
        <f ca="1">AVERAGE(OFFSET($R$3,0,0,'Données projet'!$E$9+1,1))-AVERAGE(OFFSET($H$3,0,0,'Données projet'!$E$9+1,1))</f>
        <v>399.91876225849921</v>
      </c>
      <c r="T175" s="59">
        <f t="shared" si="142"/>
        <v>368.64132082233505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30.609193047679423</v>
      </c>
      <c r="AA175" s="21">
        <f>EXP(-LN(2)/25)*AA174+(1-EXP(-LN(2)/25))/(LN(2)/25)*Calculateur!V175*Calculateur!X175*VLOOKUP('Données projet'!$B$9,Paramètres!$A$1:$I$89,3,0)*0.475*44/12</f>
        <v>4.5385545872895605</v>
      </c>
      <c r="AB175" s="21">
        <f>EXP(-LN(2)/2)*AB174+(1-EXP(-LN(2)/2))/(LN(2)/2)*V175*Y175*VLOOKUP('Données projet'!$B$9,Paramètres!$A$1:$I$89,3,0)*0.475*44/12</f>
        <v>3.3531188635835778E-14</v>
      </c>
      <c r="AC175" s="22">
        <f t="shared" si="163"/>
        <v>35.147747634969015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69.199010220142497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-1.064108801074326E-13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280.35802808205239</v>
      </c>
      <c r="AO175" s="59">
        <f t="shared" si="144"/>
        <v>249.32129349927175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10.148168667389937</v>
      </c>
      <c r="AV175" s="21">
        <f>EXP(-LN(2)/25)*AV174+(1-EXP(-LN(2)/25))/(LN(2)/25)*Calculateur!AQ175*Calculateur!AS175*VLOOKUP('Données projet'!$B$10,Paramètres!$A$1:$I$89,3,0)*0.475*44/12</f>
        <v>2.0071776785614901</v>
      </c>
      <c r="AW175" s="21">
        <f>EXP(-LN(2)/2)*AW174+(1-EXP(-LN(2)/2))/(LN(2)/2)*AQ175*AT175*VLOOKUP('Données projet'!$B$10,Paramètres!$A$1:$I$89,3,0)*0.475*44/12</f>
        <v>1.8474525563089122E-16</v>
      </c>
      <c r="AX175" s="21">
        <f t="shared" si="166"/>
        <v>12.155346345951427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69.199010220142497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1.1368683772161603E-13</v>
      </c>
      <c r="BE175" s="13">
        <f>BD175*VLOOKUP('Données projet'!$B$11,Paramètres!$A$1:$I$89,3,0)*VLOOKUP('Données projet'!$B$11,Paramètres!$A$1:$I$89,5,0)</f>
        <v>5.0249582272954292E-14</v>
      </c>
      <c r="BF175" s="13">
        <f t="shared" si="167"/>
        <v>8.1784820119191593E-13</v>
      </c>
      <c r="BG175" s="20">
        <f t="shared" si="168"/>
        <v>1.5119369728679821E-12</v>
      </c>
      <c r="BH175" s="59">
        <f t="shared" si="116"/>
        <v>290.39637080719069</v>
      </c>
      <c r="BI175" s="59">
        <f ca="1">AVERAGE(OFFSET($BH$3,0,0,'Données projet'!$E$11+1,1))-AVERAGE(OFFSET($H$3,0,0,'Données projet'!$E$11+1,1))</f>
        <v>409.91320873873292</v>
      </c>
      <c r="BJ175" s="59">
        <f t="shared" si="146"/>
        <v>347.86310581860698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33.413514573837617</v>
      </c>
      <c r="BQ175" s="21">
        <f>EXP(-LN(2)/25)*BQ174+(1-EXP(-LN(2)/25))/(LN(2)/25)*Calculateur!BL175*Calculateur!BN175*VLOOKUP('Données projet'!$B$11,Paramètres!$A$1:$I$89,3,0)*0.475*44/12</f>
        <v>5.6093672771263146</v>
      </c>
      <c r="BR175" s="21">
        <f>EXP(-LN(2)/2)*BR174+(1-EXP(-LN(2)/2))/(LN(2)/2)*BL175*BO175*VLOOKUP('Données projet'!$B$11,Paramètres!$A$1:$I$89,3,0)*0.475*44/12</f>
        <v>1.117028477442623E-12</v>
      </c>
      <c r="BS175" s="22">
        <f t="shared" si="169"/>
        <v>39.022881850965049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69.199010220142497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69.199010220142497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69.199010220142497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69.199010220142497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69.199010220142497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69.199010220142497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69.199010220142497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3.25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11.916666666666666</v>
      </c>
      <c r="H176" s="67">
        <f t="shared" si="110"/>
        <v>209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69.212905602078138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5.6843418860808015E-13</v>
      </c>
      <c r="O176" s="13">
        <f>N176*VLOOKUP('Données projet'!$B$9,Paramètres!$A$1:$I$89,3,0)*VLOOKUP('Données projet'!$B$9,Paramètres!$A$1:$I$89,5,0)</f>
        <v>3.177547114319168E-13</v>
      </c>
      <c r="P176" s="13">
        <f t="shared" si="141"/>
        <v>4.1725404435445377E-12</v>
      </c>
      <c r="Q176" s="20">
        <f t="shared" si="162"/>
        <v>7.820597394917325E-12</v>
      </c>
      <c r="R176" s="59">
        <f t="shared" si="109"/>
        <v>290.44732054096102</v>
      </c>
      <c r="S176" s="59">
        <f ca="1">AVERAGE(OFFSET($R$3,0,0,'Données projet'!$E$9+1,1))-AVERAGE(OFFSET($H$3,0,0,'Données projet'!$E$9+1,1))</f>
        <v>399.91876225849921</v>
      </c>
      <c r="T176" s="59">
        <f t="shared" si="142"/>
        <v>368.64132082233505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30.008965441778702</v>
      </c>
      <c r="AA176" s="21">
        <f>EXP(-LN(2)/25)*AA175+(1-EXP(-LN(2)/25))/(LN(2)/25)*Calculateur!V176*Calculateur!X176*VLOOKUP('Données projet'!$B$9,Paramètres!$A$1:$I$89,3,0)*0.475*44/12</f>
        <v>4.4144475734279149</v>
      </c>
      <c r="AB176" s="21">
        <f>EXP(-LN(2)/2)*AB175+(1-EXP(-LN(2)/2))/(LN(2)/2)*V176*Y176*VLOOKUP('Données projet'!$B$9,Paramètres!$A$1:$I$89,3,0)*0.475*44/12</f>
        <v>2.3710130865644779E-14</v>
      </c>
      <c r="AC176" s="22">
        <f t="shared" si="163"/>
        <v>34.423413015206641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69.212905602078138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-1.064108801074326E-13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280.35802808205239</v>
      </c>
      <c r="AO176" s="59">
        <f t="shared" si="144"/>
        <v>249.32129349927175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9.949169269594119</v>
      </c>
      <c r="AV176" s="21">
        <f>EXP(-LN(2)/25)*AV175+(1-EXP(-LN(2)/25))/(LN(2)/25)*Calculateur!AQ176*Calculateur!AS176*VLOOKUP('Données projet'!$B$10,Paramètres!$A$1:$I$89,3,0)*0.475*44/12</f>
        <v>1.9522912993883395</v>
      </c>
      <c r="AW176" s="21">
        <f>EXP(-LN(2)/2)*AW175+(1-EXP(-LN(2)/2))/(LN(2)/2)*AQ176*AT176*VLOOKUP('Données projet'!$B$10,Paramètres!$A$1:$I$89,3,0)*0.475*44/12</f>
        <v>1.3063462304864538E-16</v>
      </c>
      <c r="AX176" s="21">
        <f t="shared" si="166"/>
        <v>11.901460568982458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69.212905602078138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1.1368683772161603E-13</v>
      </c>
      <c r="BE176" s="13">
        <f>BD176*VLOOKUP('Données projet'!$B$11,Paramètres!$A$1:$I$89,3,0)*VLOOKUP('Données projet'!$B$11,Paramètres!$A$1:$I$89,5,0)</f>
        <v>5.0249582272954292E-14</v>
      </c>
      <c r="BF176" s="13">
        <f t="shared" si="167"/>
        <v>8.1784820119191593E-13</v>
      </c>
      <c r="BG176" s="20">
        <f t="shared" si="168"/>
        <v>1.5119369728679821E-12</v>
      </c>
      <c r="BH176" s="59">
        <f t="shared" si="116"/>
        <v>290.44732054095471</v>
      </c>
      <c r="BI176" s="59">
        <f ca="1">AVERAGE(OFFSET($BH$3,0,0,'Données projet'!$E$11+1,1))-AVERAGE(OFFSET($H$3,0,0,'Données projet'!$E$11+1,1))</f>
        <v>409.91320873873292</v>
      </c>
      <c r="BJ176" s="59">
        <f t="shared" si="146"/>
        <v>347.86310581860698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32.758295933276173</v>
      </c>
      <c r="BQ176" s="21">
        <f>EXP(-LN(2)/25)*BQ175+(1-EXP(-LN(2)/25))/(LN(2)/25)*Calculateur!BL176*Calculateur!BN176*VLOOKUP('Données projet'!$B$11,Paramètres!$A$1:$I$89,3,0)*0.475*44/12</f>
        <v>5.4559788339494908</v>
      </c>
      <c r="BR176" s="21">
        <f>EXP(-LN(2)/2)*BR175+(1-EXP(-LN(2)/2))/(LN(2)/2)*BL176*BO176*VLOOKUP('Données projet'!$B$11,Paramètres!$A$1:$I$89,3,0)*0.475*44/12</f>
        <v>7.8985841117816318E-13</v>
      </c>
      <c r="BS176" s="22">
        <f t="shared" si="169"/>
        <v>38.214274767226449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69.212905602078138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69.212905602078138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69.212905602078138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69.212905602078138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69.212905602078138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69.212905602078138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69.212905602078138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3.25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11.916666666666666</v>
      </c>
      <c r="H177" s="67">
        <f t="shared" si="110"/>
        <v>209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69.226559930202626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5.6843418860808015E-13</v>
      </c>
      <c r="O177" s="13">
        <f>N177*VLOOKUP('Données projet'!$B$9,Paramètres!$A$1:$I$89,3,0)*VLOOKUP('Données projet'!$B$9,Paramètres!$A$1:$I$89,5,0)</f>
        <v>3.177547114319168E-13</v>
      </c>
      <c r="P177" s="13">
        <f t="shared" si="141"/>
        <v>4.1725404435445377E-12</v>
      </c>
      <c r="Q177" s="20">
        <f t="shared" si="162"/>
        <v>7.820597394917325E-12</v>
      </c>
      <c r="R177" s="59">
        <f t="shared" si="109"/>
        <v>290.49738641075083</v>
      </c>
      <c r="S177" s="59">
        <f ca="1">AVERAGE(OFFSET($R$3,0,0,'Données projet'!$E$9+1,1))-AVERAGE(OFFSET($H$3,0,0,'Données projet'!$E$9+1,1))</f>
        <v>399.91876225849921</v>
      </c>
      <c r="T177" s="59">
        <f t="shared" si="142"/>
        <v>368.64132082233505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29.420507933127006</v>
      </c>
      <c r="AA177" s="21">
        <f>EXP(-LN(2)/25)*AA176+(1-EXP(-LN(2)/25))/(LN(2)/25)*Calculateur!V177*Calculateur!X177*VLOOKUP('Données projet'!$B$9,Paramètres!$A$1:$I$89,3,0)*0.475*44/12</f>
        <v>4.2937342723868204</v>
      </c>
      <c r="AB177" s="21">
        <f>EXP(-LN(2)/2)*AB176+(1-EXP(-LN(2)/2))/(LN(2)/2)*V177*Y177*VLOOKUP('Données projet'!$B$9,Paramètres!$A$1:$I$89,3,0)*0.475*44/12</f>
        <v>1.6765594317917889E-14</v>
      </c>
      <c r="AC177" s="22">
        <f t="shared" si="163"/>
        <v>33.714242205513841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69.226559930202626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-1.064108801074326E-13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280.35802808205239</v>
      </c>
      <c r="AO177" s="59">
        <f t="shared" si="144"/>
        <v>249.32129349927175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9.754072128611428</v>
      </c>
      <c r="AV177" s="21">
        <f>EXP(-LN(2)/25)*AV176+(1-EXP(-LN(2)/25))/(LN(2)/25)*Calculateur!AQ177*Calculateur!AS177*VLOOKUP('Données projet'!$B$10,Paramètres!$A$1:$I$89,3,0)*0.475*44/12</f>
        <v>1.898905791140028</v>
      </c>
      <c r="AW177" s="21">
        <f>EXP(-LN(2)/2)*AW176+(1-EXP(-LN(2)/2))/(LN(2)/2)*AQ177*AT177*VLOOKUP('Données projet'!$B$10,Paramètres!$A$1:$I$89,3,0)*0.475*44/12</f>
        <v>9.2372627815445612E-17</v>
      </c>
      <c r="AX177" s="21">
        <f t="shared" si="166"/>
        <v>11.652977919751455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69.226559930202626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1.1368683772161603E-13</v>
      </c>
      <c r="BE177" s="13">
        <f>BD177*VLOOKUP('Données projet'!$B$11,Paramètres!$A$1:$I$89,3,0)*VLOOKUP('Données projet'!$B$11,Paramètres!$A$1:$I$89,5,0)</f>
        <v>5.0249582272954292E-14</v>
      </c>
      <c r="BF177" s="13">
        <f t="shared" si="167"/>
        <v>8.1784820119191593E-13</v>
      </c>
      <c r="BG177" s="20">
        <f t="shared" si="168"/>
        <v>1.5119369728679821E-12</v>
      </c>
      <c r="BH177" s="59">
        <f t="shared" si="116"/>
        <v>290.49738641074453</v>
      </c>
      <c r="BI177" s="59">
        <f ca="1">AVERAGE(OFFSET($BH$3,0,0,'Données projet'!$E$11+1,1))-AVERAGE(OFFSET($H$3,0,0,'Données projet'!$E$11+1,1))</f>
        <v>409.91320873873292</v>
      </c>
      <c r="BJ177" s="59">
        <f t="shared" si="146"/>
        <v>347.86310581860698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32.115925730612226</v>
      </c>
      <c r="BQ177" s="21">
        <f>EXP(-LN(2)/25)*BQ176+(1-EXP(-LN(2)/25))/(LN(2)/25)*Calculateur!BL177*Calculateur!BN177*VLOOKUP('Données projet'!$B$11,Paramètres!$A$1:$I$89,3,0)*0.475*44/12</f>
        <v>5.306784805817685</v>
      </c>
      <c r="BR177" s="21">
        <f>EXP(-LN(2)/2)*BR176+(1-EXP(-LN(2)/2))/(LN(2)/2)*BL177*BO177*VLOOKUP('Données projet'!$B$11,Paramètres!$A$1:$I$89,3,0)*0.475*44/12</f>
        <v>5.5851423872131151E-13</v>
      </c>
      <c r="BS177" s="22">
        <f t="shared" si="169"/>
        <v>37.422710536430472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69.226559930202626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69.226559930202626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69.226559930202626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69.226559930202626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69.226559930202626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69.226559930202626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69.226559930202626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3.25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11.916666666666666</v>
      </c>
      <c r="H178" s="67">
        <f t="shared" si="110"/>
        <v>209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69.239977386260662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5.6843418860808015E-13</v>
      </c>
      <c r="O178" s="13">
        <f>N178*VLOOKUP('Données projet'!$B$9,Paramètres!$A$1:$I$89,3,0)*VLOOKUP('Données projet'!$B$9,Paramètres!$A$1:$I$89,5,0)</f>
        <v>3.177547114319168E-13</v>
      </c>
      <c r="P178" s="13">
        <f t="shared" si="141"/>
        <v>4.1725404435445377E-12</v>
      </c>
      <c r="Q178" s="20">
        <f t="shared" si="162"/>
        <v>7.820597394917325E-12</v>
      </c>
      <c r="R178" s="59">
        <f t="shared" si="109"/>
        <v>290.54658374963026</v>
      </c>
      <c r="S178" s="59">
        <f ca="1">AVERAGE(OFFSET($R$3,0,0,'Données projet'!$E$9+1,1))-AVERAGE(OFFSET($H$3,0,0,'Données projet'!$E$9+1,1))</f>
        <v>399.91876225849921</v>
      </c>
      <c r="T178" s="59">
        <f t="shared" si="142"/>
        <v>368.64132082233505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28.843589717296329</v>
      </c>
      <c r="AA178" s="21">
        <f>EXP(-LN(2)/25)*AA177+(1-EXP(-LN(2)/25))/(LN(2)/25)*Calculateur!V178*Calculateur!X178*VLOOKUP('Données projet'!$B$9,Paramètres!$A$1:$I$89,3,0)*0.475*44/12</f>
        <v>4.1763218829107309</v>
      </c>
      <c r="AB178" s="21">
        <f>EXP(-LN(2)/2)*AB177+(1-EXP(-LN(2)/2))/(LN(2)/2)*V178*Y178*VLOOKUP('Données projet'!$B$9,Paramètres!$A$1:$I$89,3,0)*0.475*44/12</f>
        <v>1.1855065432822389E-14</v>
      </c>
      <c r="AC178" s="22">
        <f t="shared" si="163"/>
        <v>33.019911600207074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69.239977386260662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-1.064108801074326E-13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280.35802808205239</v>
      </c>
      <c r="AO178" s="59">
        <f t="shared" si="144"/>
        <v>249.32129349927175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9.5628007235659016</v>
      </c>
      <c r="AV178" s="21">
        <f>EXP(-LN(2)/25)*AV177+(1-EXP(-LN(2)/25))/(LN(2)/25)*Calculateur!AQ178*Calculateur!AS178*VLOOKUP('Données projet'!$B$10,Paramètres!$A$1:$I$89,3,0)*0.475*44/12</f>
        <v>1.8469801124221883</v>
      </c>
      <c r="AW178" s="21">
        <f>EXP(-LN(2)/2)*AW177+(1-EXP(-LN(2)/2))/(LN(2)/2)*AQ178*AT178*VLOOKUP('Données projet'!$B$10,Paramètres!$A$1:$I$89,3,0)*0.475*44/12</f>
        <v>6.5317311524322692E-17</v>
      </c>
      <c r="AX178" s="21">
        <f t="shared" si="166"/>
        <v>11.409780835988091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69.239977386260662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1.1368683772161603E-13</v>
      </c>
      <c r="BE178" s="13">
        <f>BD178*VLOOKUP('Données projet'!$B$11,Paramètres!$A$1:$I$89,3,0)*VLOOKUP('Données projet'!$B$11,Paramètres!$A$1:$I$89,5,0)</f>
        <v>5.0249582272954292E-14</v>
      </c>
      <c r="BF178" s="13">
        <f t="shared" si="167"/>
        <v>8.1784820119191593E-13</v>
      </c>
      <c r="BG178" s="20">
        <f t="shared" si="168"/>
        <v>1.5119369728679821E-12</v>
      </c>
      <c r="BH178" s="59">
        <f t="shared" si="116"/>
        <v>290.54658374962395</v>
      </c>
      <c r="BI178" s="59">
        <f ca="1">AVERAGE(OFFSET($BH$3,0,0,'Données projet'!$E$11+1,1))-AVERAGE(OFFSET($H$3,0,0,'Données projet'!$E$11+1,1))</f>
        <v>409.91320873873292</v>
      </c>
      <c r="BJ178" s="59">
        <f t="shared" si="146"/>
        <v>347.86310581860698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31.486152015815385</v>
      </c>
      <c r="BQ178" s="21">
        <f>EXP(-LN(2)/25)*BQ177+(1-EXP(-LN(2)/25))/(LN(2)/25)*Calculateur!BL178*Calculateur!BN178*VLOOKUP('Données projet'!$B$11,Paramètres!$A$1:$I$89,3,0)*0.475*44/12</f>
        <v>5.1616704962309159</v>
      </c>
      <c r="BR178" s="21">
        <f>EXP(-LN(2)/2)*BR177+(1-EXP(-LN(2)/2))/(LN(2)/2)*BL178*BO178*VLOOKUP('Données projet'!$B$11,Paramètres!$A$1:$I$89,3,0)*0.475*44/12</f>
        <v>3.9492920558908159E-13</v>
      </c>
      <c r="BS178" s="22">
        <f t="shared" si="169"/>
        <v>36.647822512046702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69.239977386260662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69.239977386260662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69.239977386260662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69.239977386260662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69.239977386260662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69.239977386260662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69.239977386260662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3.25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11.916666666666666</v>
      </c>
      <c r="H179" s="67">
        <f t="shared" si="110"/>
        <v>209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69.253162079453034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5.6843418860808015E-13</v>
      </c>
      <c r="O179" s="13">
        <f>N179*VLOOKUP('Données projet'!$B$9,Paramètres!$A$1:$I$89,3,0)*VLOOKUP('Données projet'!$B$9,Paramètres!$A$1:$I$89,5,0)</f>
        <v>3.177547114319168E-13</v>
      </c>
      <c r="P179" s="13">
        <f t="shared" si="141"/>
        <v>4.1725404435445377E-12</v>
      </c>
      <c r="Q179" s="20">
        <f t="shared" si="162"/>
        <v>7.820597394917325E-12</v>
      </c>
      <c r="R179" s="59">
        <f t="shared" si="109"/>
        <v>290.59492762466897</v>
      </c>
      <c r="S179" s="59">
        <f ca="1">AVERAGE(OFFSET($R$3,0,0,'Données projet'!$E$9+1,1))-AVERAGE(OFFSET($H$3,0,0,'Données projet'!$E$9+1,1))</f>
        <v>399.91876225849921</v>
      </c>
      <c r="T179" s="59">
        <f t="shared" si="142"/>
        <v>368.64132082233505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28.277984515792724</v>
      </c>
      <c r="AA179" s="21">
        <f>EXP(-LN(2)/25)*AA178+(1-EXP(-LN(2)/25))/(LN(2)/25)*Calculateur!V179*Calculateur!X179*VLOOKUP('Données projet'!$B$9,Paramètres!$A$1:$I$89,3,0)*0.475*44/12</f>
        <v>4.0621201413993147</v>
      </c>
      <c r="AB179" s="21">
        <f>EXP(-LN(2)/2)*AB178+(1-EXP(-LN(2)/2))/(LN(2)/2)*V179*Y179*VLOOKUP('Données projet'!$B$9,Paramètres!$A$1:$I$89,3,0)*0.475*44/12</f>
        <v>8.3827971589589444E-15</v>
      </c>
      <c r="AC179" s="22">
        <f t="shared" si="163"/>
        <v>32.340104657192043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69.253162079453034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-1.064108801074326E-13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280.35802808205239</v>
      </c>
      <c r="AO179" s="59">
        <f t="shared" si="144"/>
        <v>249.32129349927175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9.3752800341092808</v>
      </c>
      <c r="AV179" s="21">
        <f>EXP(-LN(2)/25)*AV178+(1-EXP(-LN(2)/25))/(LN(2)/25)*Calculateur!AQ179*Calculateur!AS179*VLOOKUP('Données projet'!$B$10,Paramètres!$A$1:$I$89,3,0)*0.475*44/12</f>
        <v>1.7964743441195408</v>
      </c>
      <c r="AW179" s="21">
        <f>EXP(-LN(2)/2)*AW178+(1-EXP(-LN(2)/2))/(LN(2)/2)*AQ179*AT179*VLOOKUP('Données projet'!$B$10,Paramètres!$A$1:$I$89,3,0)*0.475*44/12</f>
        <v>4.6186313907722806E-17</v>
      </c>
      <c r="AX179" s="21">
        <f t="shared" si="166"/>
        <v>11.171754378228822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69.253162079453034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1.1368683772161603E-13</v>
      </c>
      <c r="BE179" s="13">
        <f>BD179*VLOOKUP('Données projet'!$B$11,Paramètres!$A$1:$I$89,3,0)*VLOOKUP('Données projet'!$B$11,Paramètres!$A$1:$I$89,5,0)</f>
        <v>5.0249582272954292E-14</v>
      </c>
      <c r="BF179" s="13">
        <f t="shared" si="167"/>
        <v>8.1784820119191593E-13</v>
      </c>
      <c r="BG179" s="20">
        <f t="shared" si="168"/>
        <v>1.5119369728679821E-12</v>
      </c>
      <c r="BH179" s="59">
        <f t="shared" si="116"/>
        <v>290.59492762466266</v>
      </c>
      <c r="BI179" s="59">
        <f ca="1">AVERAGE(OFFSET($BH$3,0,0,'Données projet'!$E$11+1,1))-AVERAGE(OFFSET($H$3,0,0,'Données projet'!$E$11+1,1))</f>
        <v>409.91320873873292</v>
      </c>
      <c r="BJ179" s="59">
        <f t="shared" si="146"/>
        <v>347.86310581860698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30.868727779441674</v>
      </c>
      <c r="BQ179" s="21">
        <f>EXP(-LN(2)/25)*BQ178+(1-EXP(-LN(2)/25))/(LN(2)/25)*Calculateur!BL179*Calculateur!BN179*VLOOKUP('Données projet'!$B$11,Paramètres!$A$1:$I$89,3,0)*0.475*44/12</f>
        <v>5.0205243450710269</v>
      </c>
      <c r="BR179" s="21">
        <f>EXP(-LN(2)/2)*BR178+(1-EXP(-LN(2)/2))/(LN(2)/2)*BL179*BO179*VLOOKUP('Données projet'!$B$11,Paramètres!$A$1:$I$89,3,0)*0.475*44/12</f>
        <v>2.7925711936065575E-13</v>
      </c>
      <c r="BS179" s="22">
        <f t="shared" si="169"/>
        <v>35.889252124512979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69.253162079453034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69.253162079453034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69.253162079453034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69.253162079453034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69.253162079453034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69.253162079453034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69.253162079453034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3.25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11.916666666666666</v>
      </c>
      <c r="H180" s="67">
        <f t="shared" si="110"/>
        <v>209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69.266118047695073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5.6843418860808015E-13</v>
      </c>
      <c r="O180" s="13">
        <f>N180*VLOOKUP('Données projet'!$B$9,Paramètres!$A$1:$I$89,3,0)*VLOOKUP('Données projet'!$B$9,Paramètres!$A$1:$I$89,5,0)</f>
        <v>3.177547114319168E-13</v>
      </c>
      <c r="P180" s="13">
        <f t="shared" si="141"/>
        <v>4.1725404435445377E-12</v>
      </c>
      <c r="Q180" s="20">
        <f t="shared" si="162"/>
        <v>7.820597394917325E-12</v>
      </c>
      <c r="R180" s="59">
        <f t="shared" si="109"/>
        <v>290.64243284155646</v>
      </c>
      <c r="S180" s="59">
        <f ca="1">AVERAGE(OFFSET($R$3,0,0,'Données projet'!$E$9+1,1))-AVERAGE(OFFSET($H$3,0,0,'Données projet'!$E$9+1,1))</f>
        <v>399.91876225849921</v>
      </c>
      <c r="T180" s="59">
        <f t="shared" si="142"/>
        <v>368.64132082233505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27.723470487305498</v>
      </c>
      <c r="AA180" s="21">
        <f>EXP(-LN(2)/25)*AA179+(1-EXP(-LN(2)/25))/(LN(2)/25)*Calculateur!V180*Calculateur!X180*VLOOKUP('Données projet'!$B$9,Paramètres!$A$1:$I$89,3,0)*0.475*44/12</f>
        <v>3.9510412525151364</v>
      </c>
      <c r="AB180" s="21">
        <f>EXP(-LN(2)/2)*AB179+(1-EXP(-LN(2)/2))/(LN(2)/2)*V180*Y180*VLOOKUP('Données projet'!$B$9,Paramètres!$A$1:$I$89,3,0)*0.475*44/12</f>
        <v>5.9275327164111947E-15</v>
      </c>
      <c r="AC180" s="22">
        <f t="shared" si="163"/>
        <v>31.674511739820641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69.266118047695073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-1.064108801074326E-13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280.35802808205239</v>
      </c>
      <c r="AO180" s="59">
        <f t="shared" si="144"/>
        <v>249.32129349927175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9.1914365109965779</v>
      </c>
      <c r="AV180" s="21">
        <f>EXP(-LN(2)/25)*AV179+(1-EXP(-LN(2)/25))/(LN(2)/25)*Calculateur!AQ180*Calculateur!AS180*VLOOKUP('Données projet'!$B$10,Paramètres!$A$1:$I$89,3,0)*0.475*44/12</f>
        <v>1.747349658707112</v>
      </c>
      <c r="AW180" s="21">
        <f>EXP(-LN(2)/2)*AW179+(1-EXP(-LN(2)/2))/(LN(2)/2)*AQ180*AT180*VLOOKUP('Données projet'!$B$10,Paramètres!$A$1:$I$89,3,0)*0.475*44/12</f>
        <v>3.2658655762161346E-17</v>
      </c>
      <c r="AX180" s="21">
        <f t="shared" si="166"/>
        <v>10.93878616970369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69.266118047695073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1.1368683772161603E-13</v>
      </c>
      <c r="BE180" s="13">
        <f>BD180*VLOOKUP('Données projet'!$B$11,Paramètres!$A$1:$I$89,3,0)*VLOOKUP('Données projet'!$B$11,Paramètres!$A$1:$I$89,5,0)</f>
        <v>5.0249582272954292E-14</v>
      </c>
      <c r="BF180" s="13">
        <f t="shared" si="167"/>
        <v>8.1784820119191593E-13</v>
      </c>
      <c r="BG180" s="20">
        <f t="shared" si="168"/>
        <v>1.5119369728679821E-12</v>
      </c>
      <c r="BH180" s="59">
        <f t="shared" si="116"/>
        <v>290.64243284155015</v>
      </c>
      <c r="BI180" s="59">
        <f ca="1">AVERAGE(OFFSET($BH$3,0,0,'Données projet'!$E$11+1,1))-AVERAGE(OFFSET($H$3,0,0,'Données projet'!$E$11+1,1))</f>
        <v>409.91320873873292</v>
      </c>
      <c r="BJ180" s="59">
        <f t="shared" si="146"/>
        <v>347.86310581860698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30.263410855751651</v>
      </c>
      <c r="BQ180" s="21">
        <f>EXP(-LN(2)/25)*BQ179+(1-EXP(-LN(2)/25))/(LN(2)/25)*Calculateur!BL180*Calculateur!BN180*VLOOKUP('Données projet'!$B$11,Paramètres!$A$1:$I$89,3,0)*0.475*44/12</f>
        <v>4.8832378428371586</v>
      </c>
      <c r="BR180" s="21">
        <f>EXP(-LN(2)/2)*BR179+(1-EXP(-LN(2)/2))/(LN(2)/2)*BL180*BO180*VLOOKUP('Données projet'!$B$11,Paramètres!$A$1:$I$89,3,0)*0.475*44/12</f>
        <v>1.974646027945408E-13</v>
      </c>
      <c r="BS180" s="22">
        <f t="shared" si="169"/>
        <v>35.146648698589011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69.266118047695073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69.266118047695073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69.266118047695073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69.266118047695073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69.266118047695073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69.266118047695073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69.266118047695073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3.25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11.916666666666666</v>
      </c>
      <c r="H181" s="67">
        <f t="shared" si="110"/>
        <v>209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69.278849258853313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5.6843418860808015E-13</v>
      </c>
      <c r="O181" s="13">
        <f>N181*VLOOKUP('Données projet'!$B$9,Paramètres!$A$1:$I$89,3,0)*VLOOKUP('Données projet'!$B$9,Paramètres!$A$1:$I$89,5,0)</f>
        <v>3.177547114319168E-13</v>
      </c>
      <c r="P181" s="13">
        <f t="shared" si="141"/>
        <v>4.1725404435445377E-12</v>
      </c>
      <c r="Q181" s="20">
        <f t="shared" si="162"/>
        <v>7.820597394917325E-12</v>
      </c>
      <c r="R181" s="59">
        <f t="shared" si="109"/>
        <v>290.68911394913664</v>
      </c>
      <c r="S181" s="59">
        <f ca="1">AVERAGE(OFFSET($R$3,0,0,'Données projet'!$E$9+1,1))-AVERAGE(OFFSET($H$3,0,0,'Données projet'!$E$9+1,1))</f>
        <v>399.91876225849921</v>
      </c>
      <c r="T181" s="59">
        <f t="shared" si="142"/>
        <v>368.64132082233505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27.179830140696744</v>
      </c>
      <c r="AA181" s="21">
        <f>EXP(-LN(2)/25)*AA180+(1-EXP(-LN(2)/25))/(LN(2)/25)*Calculateur!V181*Calculateur!X181*VLOOKUP('Données projet'!$B$9,Paramètres!$A$1:$I$89,3,0)*0.475*44/12</f>
        <v>3.8429998216888808</v>
      </c>
      <c r="AB181" s="21">
        <f>EXP(-LN(2)/2)*AB180+(1-EXP(-LN(2)/2))/(LN(2)/2)*V181*Y181*VLOOKUP('Données projet'!$B$9,Paramètres!$A$1:$I$89,3,0)*0.475*44/12</f>
        <v>4.1913985794794722E-15</v>
      </c>
      <c r="AC181" s="22">
        <f t="shared" si="163"/>
        <v>31.022829962385629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69.278849258853313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-1.064108801074326E-13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280.35802808205239</v>
      </c>
      <c r="AO181" s="59">
        <f t="shared" si="144"/>
        <v>249.32129349927175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9.0111980472386382</v>
      </c>
      <c r="AV181" s="21">
        <f>EXP(-LN(2)/25)*AV180+(1-EXP(-LN(2)/25))/(LN(2)/25)*Calculateur!AQ181*Calculateur!AS181*VLOOKUP('Données projet'!$B$10,Paramètres!$A$1:$I$89,3,0)*0.475*44/12</f>
        <v>1.6995682904006411</v>
      </c>
      <c r="AW181" s="21">
        <f>EXP(-LN(2)/2)*AW180+(1-EXP(-LN(2)/2))/(LN(2)/2)*AQ181*AT181*VLOOKUP('Données projet'!$B$10,Paramètres!$A$1:$I$89,3,0)*0.475*44/12</f>
        <v>2.3093156953861403E-17</v>
      </c>
      <c r="AX181" s="21">
        <f t="shared" si="166"/>
        <v>10.71076633763928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69.278849258853313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1.1368683772161603E-13</v>
      </c>
      <c r="BE181" s="13">
        <f>BD181*VLOOKUP('Données projet'!$B$11,Paramètres!$A$1:$I$89,3,0)*VLOOKUP('Données projet'!$B$11,Paramètres!$A$1:$I$89,5,0)</f>
        <v>5.0249582272954292E-14</v>
      </c>
      <c r="BF181" s="13">
        <f t="shared" si="167"/>
        <v>8.1784820119191593E-13</v>
      </c>
      <c r="BG181" s="20">
        <f t="shared" si="168"/>
        <v>1.5119369728679821E-12</v>
      </c>
      <c r="BH181" s="59">
        <f t="shared" si="116"/>
        <v>290.68911394913033</v>
      </c>
      <c r="BI181" s="59">
        <f ca="1">AVERAGE(OFFSET($BH$3,0,0,'Données projet'!$E$11+1,1))-AVERAGE(OFFSET($H$3,0,0,'Données projet'!$E$11+1,1))</f>
        <v>409.91320873873292</v>
      </c>
      <c r="BJ181" s="59">
        <f t="shared" si="146"/>
        <v>347.86310581860698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29.669963827728324</v>
      </c>
      <c r="BQ181" s="21">
        <f>EXP(-LN(2)/25)*BQ180+(1-EXP(-LN(2)/25))/(LN(2)/25)*Calculateur!BL181*Calculateur!BN181*VLOOKUP('Données projet'!$B$11,Paramètres!$A$1:$I$89,3,0)*0.475*44/12</f>
        <v>4.749705447226459</v>
      </c>
      <c r="BR181" s="21">
        <f>EXP(-LN(2)/2)*BR180+(1-EXP(-LN(2)/2))/(LN(2)/2)*BL181*BO181*VLOOKUP('Données projet'!$B$11,Paramètres!$A$1:$I$89,3,0)*0.475*44/12</f>
        <v>1.3962855968032788E-13</v>
      </c>
      <c r="BS181" s="22">
        <f t="shared" si="169"/>
        <v>34.419669274954927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69.278849258853313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69.278849258853313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69.278849258853313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69.278849258853313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69.278849258853313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69.278849258853313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69.278849258853313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3.25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11.916666666666666</v>
      </c>
      <c r="H182" s="67">
        <f t="shared" si="110"/>
        <v>209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69.291359611960672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5.6843418860808015E-13</v>
      </c>
      <c r="O182" s="13">
        <f>N182*VLOOKUP('Données projet'!$B$9,Paramètres!$A$1:$I$89,3,0)*VLOOKUP('Données projet'!$B$9,Paramètres!$A$1:$I$89,5,0)</f>
        <v>3.177547114319168E-13</v>
      </c>
      <c r="P182" s="13">
        <f t="shared" si="141"/>
        <v>4.1725404435445377E-12</v>
      </c>
      <c r="Q182" s="20">
        <f t="shared" si="162"/>
        <v>7.820597394917325E-12</v>
      </c>
      <c r="R182" s="59">
        <f t="shared" si="109"/>
        <v>290.73498524386366</v>
      </c>
      <c r="S182" s="59">
        <f ca="1">AVERAGE(OFFSET($R$3,0,0,'Données projet'!$E$9+1,1))-AVERAGE(OFFSET($H$3,0,0,'Données projet'!$E$9+1,1))</f>
        <v>399.91876225849921</v>
      </c>
      <c r="T182" s="59">
        <f t="shared" si="142"/>
        <v>368.64132082233505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26.64685024969712</v>
      </c>
      <c r="AA182" s="21">
        <f>EXP(-LN(2)/25)*AA181+(1-EXP(-LN(2)/25))/(LN(2)/25)*Calculateur!V182*Calculateur!X182*VLOOKUP('Données projet'!$B$9,Paramètres!$A$1:$I$89,3,0)*0.475*44/12</f>
        <v>3.7379127894702209</v>
      </c>
      <c r="AB182" s="21">
        <f>EXP(-LN(2)/2)*AB181+(1-EXP(-LN(2)/2))/(LN(2)/2)*V182*Y182*VLOOKUP('Données projet'!$B$9,Paramètres!$A$1:$I$89,3,0)*0.475*44/12</f>
        <v>2.9637663582055973E-15</v>
      </c>
      <c r="AC182" s="22">
        <f t="shared" si="163"/>
        <v>30.384763039167346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69.291359611960672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-1.064108801074326E-13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280.35802808205239</v>
      </c>
      <c r="AO182" s="59">
        <f t="shared" si="144"/>
        <v>249.32129349927175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8.8344939498203843</v>
      </c>
      <c r="AV182" s="21">
        <f>EXP(-LN(2)/25)*AV181+(1-EXP(-LN(2)/25))/(LN(2)/25)*Calculateur!AQ182*Calculateur!AS182*VLOOKUP('Données projet'!$B$10,Paramètres!$A$1:$I$89,3,0)*0.475*44/12</f>
        <v>1.6530935061232235</v>
      </c>
      <c r="AW182" s="21">
        <f>EXP(-LN(2)/2)*AW181+(1-EXP(-LN(2)/2))/(LN(2)/2)*AQ182*AT182*VLOOKUP('Données projet'!$B$10,Paramètres!$A$1:$I$89,3,0)*0.475*44/12</f>
        <v>1.6329327881080673E-17</v>
      </c>
      <c r="AX182" s="21">
        <f t="shared" si="166"/>
        <v>10.487587455943608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69.291359611960672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1.1368683772161603E-13</v>
      </c>
      <c r="BE182" s="13">
        <f>BD182*VLOOKUP('Données projet'!$B$11,Paramètres!$A$1:$I$89,3,0)*VLOOKUP('Données projet'!$B$11,Paramètres!$A$1:$I$89,5,0)</f>
        <v>5.0249582272954292E-14</v>
      </c>
      <c r="BF182" s="13">
        <f t="shared" si="167"/>
        <v>8.1784820119191593E-13</v>
      </c>
      <c r="BG182" s="20">
        <f t="shared" si="168"/>
        <v>1.5119369728679821E-12</v>
      </c>
      <c r="BH182" s="59">
        <f t="shared" si="116"/>
        <v>290.73498524385735</v>
      </c>
      <c r="BI182" s="59">
        <f ca="1">AVERAGE(OFFSET($BH$3,0,0,'Données projet'!$E$11+1,1))-AVERAGE(OFFSET($H$3,0,0,'Données projet'!$E$11+1,1))</f>
        <v>409.91320873873292</v>
      </c>
      <c r="BJ182" s="59">
        <f t="shared" si="146"/>
        <v>347.86310581860698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29.088153933957589</v>
      </c>
      <c r="BQ182" s="21">
        <f>EXP(-LN(2)/25)*BQ181+(1-EXP(-LN(2)/25))/(LN(2)/25)*Calculateur!BL182*Calculateur!BN182*VLOOKUP('Données projet'!$B$11,Paramètres!$A$1:$I$89,3,0)*0.475*44/12</f>
        <v>4.6198245019958977</v>
      </c>
      <c r="BR182" s="21">
        <f>EXP(-LN(2)/2)*BR181+(1-EXP(-LN(2)/2))/(LN(2)/2)*BL182*BO182*VLOOKUP('Données projet'!$B$11,Paramètres!$A$1:$I$89,3,0)*0.475*44/12</f>
        <v>9.8732301397270398E-14</v>
      </c>
      <c r="BS182" s="22">
        <f t="shared" si="169"/>
        <v>33.707978435953585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69.291359611960672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69.291359611960672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69.291359611960672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69.291359611960672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69.291359611960672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69.291359611960672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69.291359611960672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3.25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11.916666666666666</v>
      </c>
      <c r="H183" s="67">
        <f t="shared" si="110"/>
        <v>209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69.303652938410607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5.6843418860808015E-13</v>
      </c>
      <c r="O183" s="13">
        <f>N183*VLOOKUP('Données projet'!$B$9,Paramètres!$A$1:$I$89,3,0)*VLOOKUP('Données projet'!$B$9,Paramètres!$A$1:$I$89,5,0)</f>
        <v>3.177547114319168E-13</v>
      </c>
      <c r="P183" s="13">
        <f t="shared" si="141"/>
        <v>4.1725404435445377E-12</v>
      </c>
      <c r="Q183" s="20">
        <f t="shared" si="162"/>
        <v>7.820597394917325E-12</v>
      </c>
      <c r="R183" s="59">
        <f t="shared" si="109"/>
        <v>290.78006077418007</v>
      </c>
      <c r="S183" s="59">
        <f ca="1">AVERAGE(OFFSET($R$3,0,0,'Données projet'!$E$9+1,1))-AVERAGE(OFFSET($H$3,0,0,'Données projet'!$E$9+1,1))</f>
        <v>399.91876225849921</v>
      </c>
      <c r="T183" s="59">
        <f t="shared" si="142"/>
        <v>368.64132082233505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26.124321769274363</v>
      </c>
      <c r="AA183" s="21">
        <f>EXP(-LN(2)/25)*AA182+(1-EXP(-LN(2)/25))/(LN(2)/25)*Calculateur!V183*Calculateur!X183*VLOOKUP('Données projet'!$B$9,Paramètres!$A$1:$I$89,3,0)*0.475*44/12</f>
        <v>3.6356993676738671</v>
      </c>
      <c r="AB183" s="21">
        <f>EXP(-LN(2)/2)*AB182+(1-EXP(-LN(2)/2))/(LN(2)/2)*V183*Y183*VLOOKUP('Données projet'!$B$9,Paramètres!$A$1:$I$89,3,0)*0.475*44/12</f>
        <v>2.0956992897397361E-15</v>
      </c>
      <c r="AC183" s="22">
        <f t="shared" si="163"/>
        <v>29.760021136948236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69.303652938410607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-1.064108801074326E-13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280.35802808205239</v>
      </c>
      <c r="AO183" s="59">
        <f t="shared" si="144"/>
        <v>249.32129349927175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8.6612549119736446</v>
      </c>
      <c r="AV183" s="21">
        <f>EXP(-LN(2)/25)*AV182+(1-EXP(-LN(2)/25))/(LN(2)/25)*Calculateur!AQ183*Calculateur!AS183*VLOOKUP('Données projet'!$B$10,Paramètres!$A$1:$I$89,3,0)*0.475*44/12</f>
        <v>1.6078895772658746</v>
      </c>
      <c r="AW183" s="21">
        <f>EXP(-LN(2)/2)*AW182+(1-EXP(-LN(2)/2))/(LN(2)/2)*AQ183*AT183*VLOOKUP('Données projet'!$B$10,Paramètres!$A$1:$I$89,3,0)*0.475*44/12</f>
        <v>1.1546578476930701E-17</v>
      </c>
      <c r="AX183" s="21">
        <f t="shared" si="166"/>
        <v>10.269144489239519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69.303652938410607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1.1368683772161603E-13</v>
      </c>
      <c r="BE183" s="13">
        <f>BD183*VLOOKUP('Données projet'!$B$11,Paramètres!$A$1:$I$89,3,0)*VLOOKUP('Données projet'!$B$11,Paramètres!$A$1:$I$89,5,0)</f>
        <v>5.0249582272954292E-14</v>
      </c>
      <c r="BF183" s="13">
        <f t="shared" si="167"/>
        <v>8.1784820119191593E-13</v>
      </c>
      <c r="BG183" s="20">
        <f t="shared" si="168"/>
        <v>1.5119369728679821E-12</v>
      </c>
      <c r="BH183" s="59">
        <f t="shared" si="116"/>
        <v>290.78006077417376</v>
      </c>
      <c r="BI183" s="59">
        <f ca="1">AVERAGE(OFFSET($BH$3,0,0,'Données projet'!$E$11+1,1))-AVERAGE(OFFSET($H$3,0,0,'Données projet'!$E$11+1,1))</f>
        <v>409.91320873873292</v>
      </c>
      <c r="BJ183" s="59">
        <f t="shared" si="146"/>
        <v>347.86310581860698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28.517752977334702</v>
      </c>
      <c r="BQ183" s="21">
        <f>EXP(-LN(2)/25)*BQ182+(1-EXP(-LN(2)/25))/(LN(2)/25)*Calculateur!BL183*Calculateur!BN183*VLOOKUP('Données projet'!$B$11,Paramètres!$A$1:$I$89,3,0)*0.475*44/12</f>
        <v>4.4934951580428084</v>
      </c>
      <c r="BR183" s="21">
        <f>EXP(-LN(2)/2)*BR182+(1-EXP(-LN(2)/2))/(LN(2)/2)*BL183*BO183*VLOOKUP('Données projet'!$B$11,Paramètres!$A$1:$I$89,3,0)*0.475*44/12</f>
        <v>6.9814279840163938E-14</v>
      </c>
      <c r="BS183" s="22">
        <f t="shared" si="169"/>
        <v>33.011248135377585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69.303652938410607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69.303652938410607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69.303652938410607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69.303652938410607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69.303652938410607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69.303652938410607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69.303652938410607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3.25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11.916666666666666</v>
      </c>
      <c r="H184" s="67">
        <f t="shared" si="110"/>
        <v>209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69.315733003130362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5.6843418860808015E-13</v>
      </c>
      <c r="O184" s="13">
        <f>N184*VLOOKUP('Données projet'!$B$9,Paramètres!$A$1:$I$89,3,0)*VLOOKUP('Données projet'!$B$9,Paramètres!$A$1:$I$89,5,0)</f>
        <v>3.177547114319168E-13</v>
      </c>
      <c r="P184" s="13">
        <f t="shared" si="141"/>
        <v>4.1725404435445377E-12</v>
      </c>
      <c r="Q184" s="20">
        <f t="shared" si="162"/>
        <v>7.820597394917325E-12</v>
      </c>
      <c r="R184" s="59">
        <f t="shared" si="109"/>
        <v>290.82435434481914</v>
      </c>
      <c r="S184" s="59">
        <f ca="1">AVERAGE(OFFSET($R$3,0,0,'Données projet'!$E$9+1,1))-AVERAGE(OFFSET($H$3,0,0,'Données projet'!$E$9+1,1))</f>
        <v>399.91876225849921</v>
      </c>
      <c r="T184" s="59">
        <f t="shared" si="142"/>
        <v>368.64132082233505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25.612039753641795</v>
      </c>
      <c r="AA184" s="21">
        <f>EXP(-LN(2)/25)*AA183+(1-EXP(-LN(2)/25))/(LN(2)/25)*Calculateur!V184*Calculateur!X184*VLOOKUP('Données projet'!$B$9,Paramètres!$A$1:$I$89,3,0)*0.475*44/12</f>
        <v>3.536280977271705</v>
      </c>
      <c r="AB184" s="21">
        <f>EXP(-LN(2)/2)*AB183+(1-EXP(-LN(2)/2))/(LN(2)/2)*V184*Y184*VLOOKUP('Données projet'!$B$9,Paramètres!$A$1:$I$89,3,0)*0.475*44/12</f>
        <v>1.4818831791027987E-15</v>
      </c>
      <c r="AC184" s="22">
        <f t="shared" si="163"/>
        <v>29.1483207309135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69.315733003130362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-1.064108801074326E-13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280.35802808205239</v>
      </c>
      <c r="AO184" s="59">
        <f t="shared" si="144"/>
        <v>249.32129349927175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8.4914129859936995</v>
      </c>
      <c r="AV184" s="21">
        <f>EXP(-LN(2)/25)*AV183+(1-EXP(-LN(2)/25))/(LN(2)/25)*Calculateur!AQ184*Calculateur!AS184*VLOOKUP('Données projet'!$B$10,Paramètres!$A$1:$I$89,3,0)*0.475*44/12</f>
        <v>1.5639217522203013</v>
      </c>
      <c r="AW184" s="21">
        <f>EXP(-LN(2)/2)*AW183+(1-EXP(-LN(2)/2))/(LN(2)/2)*AQ184*AT184*VLOOKUP('Données projet'!$B$10,Paramètres!$A$1:$I$89,3,0)*0.475*44/12</f>
        <v>8.1646639405403365E-18</v>
      </c>
      <c r="AX184" s="21">
        <f t="shared" si="166"/>
        <v>10.055334738214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69.315733003130362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1.1368683772161603E-13</v>
      </c>
      <c r="BE184" s="13">
        <f>BD184*VLOOKUP('Données projet'!$B$11,Paramètres!$A$1:$I$89,3,0)*VLOOKUP('Données projet'!$B$11,Paramètres!$A$1:$I$89,5,0)</f>
        <v>5.0249582272954292E-14</v>
      </c>
      <c r="BF184" s="13">
        <f t="shared" si="167"/>
        <v>8.1784820119191593E-13</v>
      </c>
      <c r="BG184" s="20">
        <f t="shared" si="168"/>
        <v>1.5119369728679821E-12</v>
      </c>
      <c r="BH184" s="59">
        <f t="shared" si="116"/>
        <v>290.82435434481283</v>
      </c>
      <c r="BI184" s="59">
        <f ca="1">AVERAGE(OFFSET($BH$3,0,0,'Données projet'!$E$11+1,1))-AVERAGE(OFFSET($H$3,0,0,'Données projet'!$E$11+1,1))</f>
        <v>409.91320873873292</v>
      </c>
      <c r="BJ184" s="59">
        <f t="shared" si="146"/>
        <v>347.86310581860698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27.958537235560957</v>
      </c>
      <c r="BQ184" s="21">
        <f>EXP(-LN(2)/25)*BQ183+(1-EXP(-LN(2)/25))/(LN(2)/25)*Calculateur!BL184*Calculateur!BN184*VLOOKUP('Données projet'!$B$11,Paramètres!$A$1:$I$89,3,0)*0.475*44/12</f>
        <v>4.3706202966434873</v>
      </c>
      <c r="BR184" s="21">
        <f>EXP(-LN(2)/2)*BR183+(1-EXP(-LN(2)/2))/(LN(2)/2)*BL184*BO184*VLOOKUP('Données projet'!$B$11,Paramètres!$A$1:$I$89,3,0)*0.475*44/12</f>
        <v>4.9366150698635199E-14</v>
      </c>
      <c r="BS184" s="22">
        <f t="shared" si="169"/>
        <v>32.329157532204498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69.315733003130362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69.315733003130362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69.315733003130362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69.315733003130362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69.315733003130362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69.315733003130362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69.315733003130362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3.25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11.916666666666666</v>
      </c>
      <c r="H185" s="67">
        <f t="shared" si="110"/>
        <v>209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69.327603505734231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5.6843418860808015E-13</v>
      </c>
      <c r="O185" s="13">
        <f>N185*VLOOKUP('Données projet'!$B$9,Paramètres!$A$1:$I$89,3,0)*VLOOKUP('Données projet'!$B$9,Paramètres!$A$1:$I$89,5,0)</f>
        <v>3.177547114319168E-13</v>
      </c>
      <c r="P185" s="13">
        <f t="shared" si="141"/>
        <v>4.1725404435445377E-12</v>
      </c>
      <c r="Q185" s="20">
        <f t="shared" si="162"/>
        <v>7.820597394917325E-12</v>
      </c>
      <c r="R185" s="59">
        <f t="shared" si="109"/>
        <v>290.86787952103333</v>
      </c>
      <c r="S185" s="59">
        <f ca="1">AVERAGE(OFFSET($R$3,0,0,'Données projet'!$E$9+1,1))-AVERAGE(OFFSET($H$3,0,0,'Données projet'!$E$9+1,1))</f>
        <v>399.91876225849921</v>
      </c>
      <c r="T185" s="59">
        <f t="shared" si="142"/>
        <v>368.64132082233505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25.109803275874604</v>
      </c>
      <c r="AA185" s="21">
        <f>EXP(-LN(2)/25)*AA184+(1-EXP(-LN(2)/25))/(LN(2)/25)*Calculateur!V185*Calculateur!X185*VLOOKUP('Données projet'!$B$9,Paramètres!$A$1:$I$89,3,0)*0.475*44/12</f>
        <v>3.4395811879832761</v>
      </c>
      <c r="AB185" s="21">
        <f>EXP(-LN(2)/2)*AB184+(1-EXP(-LN(2)/2))/(LN(2)/2)*V185*Y185*VLOOKUP('Données projet'!$B$9,Paramètres!$A$1:$I$89,3,0)*0.475*44/12</f>
        <v>1.047849644869868E-15</v>
      </c>
      <c r="AC185" s="22">
        <f t="shared" si="163"/>
        <v>28.54938446385788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69.327603505734231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-1.064108801074326E-13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280.35802808205239</v>
      </c>
      <c r="AO185" s="59">
        <f t="shared" si="144"/>
        <v>249.32129349927175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8.3249015565888769</v>
      </c>
      <c r="AV185" s="21">
        <f>EXP(-LN(2)/25)*AV184+(1-EXP(-LN(2)/25))/(LN(2)/25)*Calculateur!AQ185*Calculateur!AS185*VLOOKUP('Données projet'!$B$10,Paramètres!$A$1:$I$89,3,0)*0.475*44/12</f>
        <v>1.5211562296627665</v>
      </c>
      <c r="AW185" s="21">
        <f>EXP(-LN(2)/2)*AW184+(1-EXP(-LN(2)/2))/(LN(2)/2)*AQ185*AT185*VLOOKUP('Données projet'!$B$10,Paramètres!$A$1:$I$89,3,0)*0.475*44/12</f>
        <v>5.7732892384653507E-18</v>
      </c>
      <c r="AX185" s="21">
        <f t="shared" si="166"/>
        <v>9.8460577862516434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69.327603505734231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1.1368683772161603E-13</v>
      </c>
      <c r="BE185" s="13">
        <f>BD185*VLOOKUP('Données projet'!$B$11,Paramètres!$A$1:$I$89,3,0)*VLOOKUP('Données projet'!$B$11,Paramètres!$A$1:$I$89,5,0)</f>
        <v>5.0249582272954292E-14</v>
      </c>
      <c r="BF185" s="13">
        <f t="shared" si="167"/>
        <v>8.1784820119191593E-13</v>
      </c>
      <c r="BG185" s="20">
        <f t="shared" si="168"/>
        <v>1.5119369728679821E-12</v>
      </c>
      <c r="BH185" s="59">
        <f t="shared" si="116"/>
        <v>290.86787952102702</v>
      </c>
      <c r="BI185" s="59">
        <f ca="1">AVERAGE(OFFSET($BH$3,0,0,'Données projet'!$E$11+1,1))-AVERAGE(OFFSET($H$3,0,0,'Données projet'!$E$11+1,1))</f>
        <v>409.91320873873292</v>
      </c>
      <c r="BJ185" s="59">
        <f t="shared" si="146"/>
        <v>347.86310581860698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27.410287373395473</v>
      </c>
      <c r="BQ185" s="21">
        <f>EXP(-LN(2)/25)*BQ184+(1-EXP(-LN(2)/25))/(LN(2)/25)*Calculateur!BL185*Calculateur!BN185*VLOOKUP('Données projet'!$B$11,Paramètres!$A$1:$I$89,3,0)*0.475*44/12</f>
        <v>4.2511054547908387</v>
      </c>
      <c r="BR185" s="21">
        <f>EXP(-LN(2)/2)*BR184+(1-EXP(-LN(2)/2))/(LN(2)/2)*BL185*BO185*VLOOKUP('Données projet'!$B$11,Paramètres!$A$1:$I$89,3,0)*0.475*44/12</f>
        <v>3.4907139920081969E-14</v>
      </c>
      <c r="BS185" s="22">
        <f t="shared" si="169"/>
        <v>31.661392828186347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69.327603505734231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69.327603505734231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69.327603505734231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69.327603505734231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69.327603505734231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69.327603505734231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69.327603505734231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3.25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11.916666666666666</v>
      </c>
      <c r="H186" s="67">
        <f t="shared" si="110"/>
        <v>209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69.3392680816564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5.6843418860808015E-13</v>
      </c>
      <c r="O186" s="13">
        <f>N186*VLOOKUP('Données projet'!$B$9,Paramètres!$A$1:$I$89,3,0)*VLOOKUP('Données projet'!$B$9,Paramètres!$A$1:$I$89,5,0)</f>
        <v>3.177547114319168E-13</v>
      </c>
      <c r="P186" s="13">
        <f t="shared" si="141"/>
        <v>4.1725404435445377E-12</v>
      </c>
      <c r="Q186" s="20">
        <f t="shared" si="162"/>
        <v>7.820597394917325E-12</v>
      </c>
      <c r="R186" s="59">
        <f t="shared" si="109"/>
        <v>290.91064963274795</v>
      </c>
      <c r="S186" s="59">
        <f ca="1">AVERAGE(OFFSET($R$3,0,0,'Données projet'!$E$9+1,1))-AVERAGE(OFFSET($H$3,0,0,'Données projet'!$E$9+1,1))</f>
        <v>399.91876225849921</v>
      </c>
      <c r="T186" s="59">
        <f t="shared" si="142"/>
        <v>368.64132082233505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24.617415349102426</v>
      </c>
      <c r="AA186" s="21">
        <f>EXP(-LN(2)/25)*AA185+(1-EXP(-LN(2)/25))/(LN(2)/25)*Calculateur!V186*Calculateur!X186*VLOOKUP('Données projet'!$B$9,Paramètres!$A$1:$I$89,3,0)*0.475*44/12</f>
        <v>3.3455256595181599</v>
      </c>
      <c r="AB186" s="21">
        <f>EXP(-LN(2)/2)*AB185+(1-EXP(-LN(2)/2))/(LN(2)/2)*V186*Y186*VLOOKUP('Données projet'!$B$9,Paramètres!$A$1:$I$89,3,0)*0.475*44/12</f>
        <v>7.4094158955139933E-16</v>
      </c>
      <c r="AC186" s="22">
        <f t="shared" si="163"/>
        <v>27.962941008620586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69.3392680816564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-1.064108801074326E-13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280.35802808205239</v>
      </c>
      <c r="AO186" s="59">
        <f t="shared" si="144"/>
        <v>249.32129349927175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8.1616553147527391</v>
      </c>
      <c r="AV186" s="21">
        <f>EXP(-LN(2)/25)*AV185+(1-EXP(-LN(2)/25))/(LN(2)/25)*Calculateur!AQ186*Calculateur!AS186*VLOOKUP('Données projet'!$B$10,Paramètres!$A$1:$I$89,3,0)*0.475*44/12</f>
        <v>1.4795601325685088</v>
      </c>
      <c r="AW186" s="21">
        <f>EXP(-LN(2)/2)*AW185+(1-EXP(-LN(2)/2))/(LN(2)/2)*AQ186*AT186*VLOOKUP('Données projet'!$B$10,Paramètres!$A$1:$I$89,3,0)*0.475*44/12</f>
        <v>4.0823319702701683E-18</v>
      </c>
      <c r="AX186" s="21">
        <f t="shared" si="166"/>
        <v>9.6412154473212475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69.3392680816564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1.1368683772161603E-13</v>
      </c>
      <c r="BE186" s="13">
        <f>BD186*VLOOKUP('Données projet'!$B$11,Paramètres!$A$1:$I$89,3,0)*VLOOKUP('Données projet'!$B$11,Paramètres!$A$1:$I$89,5,0)</f>
        <v>5.0249582272954292E-14</v>
      </c>
      <c r="BF186" s="13">
        <f t="shared" si="167"/>
        <v>8.1784820119191593E-13</v>
      </c>
      <c r="BG186" s="20">
        <f t="shared" si="168"/>
        <v>1.5119369728679821E-12</v>
      </c>
      <c r="BH186" s="59">
        <f t="shared" si="116"/>
        <v>290.91064963274164</v>
      </c>
      <c r="BI186" s="59">
        <f ca="1">AVERAGE(OFFSET($BH$3,0,0,'Données projet'!$E$11+1,1))-AVERAGE(OFFSET($H$3,0,0,'Données projet'!$E$11+1,1))</f>
        <v>409.91320873873292</v>
      </c>
      <c r="BJ186" s="59">
        <f t="shared" si="146"/>
        <v>347.86310581860698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26.872788356627659</v>
      </c>
      <c r="BQ186" s="21">
        <f>EXP(-LN(2)/25)*BQ185+(1-EXP(-LN(2)/25))/(LN(2)/25)*Calculateur!BL186*Calculateur!BN186*VLOOKUP('Données projet'!$B$11,Paramètres!$A$1:$I$89,3,0)*0.475*44/12</f>
        <v>4.1348587525736633</v>
      </c>
      <c r="BR186" s="21">
        <f>EXP(-LN(2)/2)*BR185+(1-EXP(-LN(2)/2))/(LN(2)/2)*BL186*BO186*VLOOKUP('Données projet'!$B$11,Paramètres!$A$1:$I$89,3,0)*0.475*44/12</f>
        <v>2.4683075349317599E-14</v>
      </c>
      <c r="BS186" s="22">
        <f t="shared" si="169"/>
        <v>31.007647109201347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69.3392680816564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69.3392680816564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69.3392680816564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69.3392680816564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69.3392680816564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69.3392680816564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69.3392680816564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3.25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11.916666666666666</v>
      </c>
      <c r="H187" s="67">
        <f t="shared" si="110"/>
        <v>209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69.350730303264385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5.6843418860808015E-13</v>
      </c>
      <c r="O187" s="13">
        <f>N187*VLOOKUP('Données projet'!$B$9,Paramètres!$A$1:$I$89,3,0)*VLOOKUP('Données projet'!$B$9,Paramètres!$A$1:$I$89,5,0)</f>
        <v>3.177547114319168E-13</v>
      </c>
      <c r="P187" s="13">
        <f t="shared" si="141"/>
        <v>4.1725404435445377E-12</v>
      </c>
      <c r="Q187" s="20">
        <f t="shared" si="162"/>
        <v>7.820597394917325E-12</v>
      </c>
      <c r="R187" s="59">
        <f t="shared" si="109"/>
        <v>290.95267777864393</v>
      </c>
      <c r="S187" s="59">
        <f ca="1">AVERAGE(OFFSET($R$3,0,0,'Données projet'!$E$9+1,1))-AVERAGE(OFFSET($H$3,0,0,'Données projet'!$E$9+1,1))</f>
        <v>399.91876225849921</v>
      </c>
      <c r="T187" s="59">
        <f t="shared" si="142"/>
        <v>368.64132082233505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24.13468284924727</v>
      </c>
      <c r="AA187" s="21">
        <f>EXP(-LN(2)/25)*AA186+(1-EXP(-LN(2)/25))/(LN(2)/25)*Calculateur!V187*Calculateur!X187*VLOOKUP('Données projet'!$B$9,Paramètres!$A$1:$I$89,3,0)*0.475*44/12</f>
        <v>3.2540420844250879</v>
      </c>
      <c r="AB187" s="21">
        <f>EXP(-LN(2)/2)*AB186+(1-EXP(-LN(2)/2))/(LN(2)/2)*V187*Y187*VLOOKUP('Données projet'!$B$9,Paramètres!$A$1:$I$89,3,0)*0.475*44/12</f>
        <v>5.2392482243493402E-16</v>
      </c>
      <c r="AC187" s="22">
        <f t="shared" si="163"/>
        <v>27.388724933672357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69.350730303264385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-1.064108801074326E-13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280.35802808205239</v>
      </c>
      <c r="AO187" s="59">
        <f t="shared" si="144"/>
        <v>249.32129349927175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8.0016102321486322</v>
      </c>
      <c r="AV187" s="21">
        <f>EXP(-LN(2)/25)*AV186+(1-EXP(-LN(2)/25))/(LN(2)/25)*Calculateur!AQ187*Calculateur!AS187*VLOOKUP('Données projet'!$B$10,Paramètres!$A$1:$I$89,3,0)*0.475*44/12</f>
        <v>1.4391014829367372</v>
      </c>
      <c r="AW187" s="21">
        <f>EXP(-LN(2)/2)*AW186+(1-EXP(-LN(2)/2))/(LN(2)/2)*AQ187*AT187*VLOOKUP('Données projet'!$B$10,Paramètres!$A$1:$I$89,3,0)*0.475*44/12</f>
        <v>2.8866446192326754E-18</v>
      </c>
      <c r="AX187" s="21">
        <f t="shared" si="166"/>
        <v>9.440711715085369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69.350730303264385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1.1368683772161603E-13</v>
      </c>
      <c r="BE187" s="13">
        <f>BD187*VLOOKUP('Données projet'!$B$11,Paramètres!$A$1:$I$89,3,0)*VLOOKUP('Données projet'!$B$11,Paramètres!$A$1:$I$89,5,0)</f>
        <v>5.0249582272954292E-14</v>
      </c>
      <c r="BF187" s="13">
        <f t="shared" si="167"/>
        <v>8.1784820119191593E-13</v>
      </c>
      <c r="BG187" s="20">
        <f t="shared" si="168"/>
        <v>1.5119369728679821E-12</v>
      </c>
      <c r="BH187" s="59">
        <f t="shared" si="116"/>
        <v>290.95267777863762</v>
      </c>
      <c r="BI187" s="59">
        <f ca="1">AVERAGE(OFFSET($BH$3,0,0,'Données projet'!$E$11+1,1))-AVERAGE(OFFSET($H$3,0,0,'Données projet'!$E$11+1,1))</f>
        <v>409.91320873873292</v>
      </c>
      <c r="BJ187" s="59">
        <f t="shared" si="146"/>
        <v>347.86310581860698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26.345829367736634</v>
      </c>
      <c r="BQ187" s="21">
        <f>EXP(-LN(2)/25)*BQ186+(1-EXP(-LN(2)/25))/(LN(2)/25)*Calculateur!BL187*Calculateur!BN187*VLOOKUP('Données projet'!$B$11,Paramètres!$A$1:$I$89,3,0)*0.475*44/12</f>
        <v>4.0217908225417647</v>
      </c>
      <c r="BR187" s="21">
        <f>EXP(-LN(2)/2)*BR186+(1-EXP(-LN(2)/2))/(LN(2)/2)*BL187*BO187*VLOOKUP('Données projet'!$B$11,Paramètres!$A$1:$I$89,3,0)*0.475*44/12</f>
        <v>1.7453569960040985E-14</v>
      </c>
      <c r="BS187" s="22">
        <f t="shared" si="169"/>
        <v>30.367620190278416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69.350730303264385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69.350730303264385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69.350730303264385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69.350730303264385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69.350730303264385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69.350730303264385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69.350730303264385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3.25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11.916666666666666</v>
      </c>
      <c r="H188" s="67">
        <f t="shared" si="110"/>
        <v>209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69.361993680953162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5.6843418860808015E-13</v>
      </c>
      <c r="O188" s="13">
        <f>N188*VLOOKUP('Données projet'!$B$9,Paramètres!$A$1:$I$89,3,0)*VLOOKUP('Données projet'!$B$9,Paramètres!$A$1:$I$89,5,0)</f>
        <v>3.177547114319168E-13</v>
      </c>
      <c r="P188" s="13">
        <f t="shared" si="141"/>
        <v>4.1725404435445377E-12</v>
      </c>
      <c r="Q188" s="20">
        <f t="shared" si="162"/>
        <v>7.820597394917325E-12</v>
      </c>
      <c r="R188" s="59">
        <f t="shared" si="109"/>
        <v>290.9939768301694</v>
      </c>
      <c r="S188" s="59">
        <f ca="1">AVERAGE(OFFSET($R$3,0,0,'Données projet'!$E$9+1,1))-AVERAGE(OFFSET($H$3,0,0,'Données projet'!$E$9+1,1))</f>
        <v>399.91876225849921</v>
      </c>
      <c r="T188" s="59">
        <f t="shared" si="142"/>
        <v>368.64132082233505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23.661416439276518</v>
      </c>
      <c r="AA188" s="21">
        <f>EXP(-LN(2)/25)*AA187+(1-EXP(-LN(2)/25))/(LN(2)/25)*Calculateur!V188*Calculateur!X188*VLOOKUP('Données projet'!$B$9,Paramètres!$A$1:$I$89,3,0)*0.475*44/12</f>
        <v>3.1650601325038479</v>
      </c>
      <c r="AB188" s="21">
        <f>EXP(-LN(2)/2)*AB187+(1-EXP(-LN(2)/2))/(LN(2)/2)*V188*Y188*VLOOKUP('Données projet'!$B$9,Paramètres!$A$1:$I$89,3,0)*0.475*44/12</f>
        <v>3.7047079477569967E-16</v>
      </c>
      <c r="AC188" s="22">
        <f t="shared" si="163"/>
        <v>26.826476571780365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69.361993680953162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-1.064108801074326E-13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280.35802808205239</v>
      </c>
      <c r="AO188" s="59">
        <f t="shared" si="144"/>
        <v>249.32129349927175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7.8447035359965298</v>
      </c>
      <c r="AV188" s="21">
        <f>EXP(-LN(2)/25)*AV187+(1-EXP(-LN(2)/25))/(LN(2)/25)*Calculateur!AQ188*Calculateur!AS188*VLOOKUP('Données projet'!$B$10,Paramètres!$A$1:$I$89,3,0)*0.475*44/12</f>
        <v>1.3997491772067743</v>
      </c>
      <c r="AW188" s="21">
        <f>EXP(-LN(2)/2)*AW187+(1-EXP(-LN(2)/2))/(LN(2)/2)*AQ188*AT188*VLOOKUP('Données projet'!$B$10,Paramètres!$A$1:$I$89,3,0)*0.475*44/12</f>
        <v>2.0411659851350841E-18</v>
      </c>
      <c r="AX188" s="21">
        <f t="shared" si="166"/>
        <v>9.2444527132033034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69.361993680953162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1.1368683772161603E-13</v>
      </c>
      <c r="BE188" s="13">
        <f>BD188*VLOOKUP('Données projet'!$B$11,Paramètres!$A$1:$I$89,3,0)*VLOOKUP('Données projet'!$B$11,Paramètres!$A$1:$I$89,5,0)</f>
        <v>5.0249582272954292E-14</v>
      </c>
      <c r="BF188" s="13">
        <f t="shared" si="167"/>
        <v>8.1784820119191593E-13</v>
      </c>
      <c r="BG188" s="20">
        <f t="shared" si="168"/>
        <v>1.5119369728679821E-12</v>
      </c>
      <c r="BH188" s="59">
        <f t="shared" si="116"/>
        <v>290.99397683016309</v>
      </c>
      <c r="BI188" s="59">
        <f ca="1">AVERAGE(OFFSET($BH$3,0,0,'Données projet'!$E$11+1,1))-AVERAGE(OFFSET($H$3,0,0,'Données projet'!$E$11+1,1))</f>
        <v>409.91320873873292</v>
      </c>
      <c r="BJ188" s="59">
        <f t="shared" si="146"/>
        <v>347.86310581860698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25.829203723204515</v>
      </c>
      <c r="BQ188" s="21">
        <f>EXP(-LN(2)/25)*BQ187+(1-EXP(-LN(2)/25))/(LN(2)/25)*Calculateur!BL188*Calculateur!BN188*VLOOKUP('Données projet'!$B$11,Paramètres!$A$1:$I$89,3,0)*0.475*44/12</f>
        <v>3.9118147410025728</v>
      </c>
      <c r="BR188" s="21">
        <f>EXP(-LN(2)/2)*BR187+(1-EXP(-LN(2)/2))/(LN(2)/2)*BL188*BO188*VLOOKUP('Données projet'!$B$11,Paramètres!$A$1:$I$89,3,0)*0.475*44/12</f>
        <v>1.23415376746588E-14</v>
      </c>
      <c r="BS188" s="22">
        <f t="shared" si="169"/>
        <v>29.741018464207098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69.361993680953162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69.361993680953162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69.361993680953162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69.361993680953162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69.361993680953162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69.361993680953162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69.361993680953162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3.25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11.916666666666666</v>
      </c>
      <c r="H189" s="67">
        <f t="shared" si="110"/>
        <v>209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69.373061664220188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5.6843418860808015E-13</v>
      </c>
      <c r="O189" s="13">
        <f>N189*VLOOKUP('Données projet'!$B$9,Paramètres!$A$1:$I$89,3,0)*VLOOKUP('Données projet'!$B$9,Paramètres!$A$1:$I$89,5,0)</f>
        <v>3.177547114319168E-13</v>
      </c>
      <c r="P189" s="13">
        <f t="shared" si="141"/>
        <v>4.1725404435445377E-12</v>
      </c>
      <c r="Q189" s="20">
        <f t="shared" si="162"/>
        <v>7.820597394917325E-12</v>
      </c>
      <c r="R189" s="59">
        <f t="shared" si="109"/>
        <v>291.03455943548187</v>
      </c>
      <c r="S189" s="59">
        <f ca="1">AVERAGE(OFFSET($R$3,0,0,'Données projet'!$E$9+1,1))-AVERAGE(OFFSET($H$3,0,0,'Données projet'!$E$9+1,1))</f>
        <v>399.91876225849921</v>
      </c>
      <c r="T189" s="59">
        <f t="shared" si="142"/>
        <v>368.64132082233505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23.197430494941287</v>
      </c>
      <c r="AA189" s="21">
        <f>EXP(-LN(2)/25)*AA188+(1-EXP(-LN(2)/25))/(LN(2)/25)*Calculateur!V189*Calculateur!X189*VLOOKUP('Données projet'!$B$9,Paramètres!$A$1:$I$89,3,0)*0.475*44/12</f>
        <v>3.0785113967372517</v>
      </c>
      <c r="AB189" s="21">
        <f>EXP(-LN(2)/2)*AB188+(1-EXP(-LN(2)/2))/(LN(2)/2)*V189*Y189*VLOOKUP('Données projet'!$B$9,Paramètres!$A$1:$I$89,3,0)*0.475*44/12</f>
        <v>2.6196241121746701E-16</v>
      </c>
      <c r="AC189" s="22">
        <f t="shared" si="163"/>
        <v>26.275941891678539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69.373061664220188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-1.064108801074326E-13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280.35802808205239</v>
      </c>
      <c r="AO189" s="59">
        <f t="shared" si="144"/>
        <v>249.32129349927175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7.6908736844523355</v>
      </c>
      <c r="AV189" s="21">
        <f>EXP(-LN(2)/25)*AV188+(1-EXP(-LN(2)/25))/(LN(2)/25)*Calculateur!AQ189*Calculateur!AS189*VLOOKUP('Données projet'!$B$10,Paramètres!$A$1:$I$89,3,0)*0.475*44/12</f>
        <v>1.361472962346445</v>
      </c>
      <c r="AW189" s="21">
        <f>EXP(-LN(2)/2)*AW188+(1-EXP(-LN(2)/2))/(LN(2)/2)*AQ189*AT189*VLOOKUP('Données projet'!$B$10,Paramètres!$A$1:$I$89,3,0)*0.475*44/12</f>
        <v>1.4433223096163377E-18</v>
      </c>
      <c r="AX189" s="21">
        <f t="shared" si="166"/>
        <v>9.0523466467987799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69.373061664220188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1.1368683772161603E-13</v>
      </c>
      <c r="BE189" s="13">
        <f>BD189*VLOOKUP('Données projet'!$B$11,Paramètres!$A$1:$I$89,3,0)*VLOOKUP('Données projet'!$B$11,Paramètres!$A$1:$I$89,5,0)</f>
        <v>5.0249582272954292E-14</v>
      </c>
      <c r="BF189" s="13">
        <f t="shared" si="167"/>
        <v>8.1784820119191593E-13</v>
      </c>
      <c r="BG189" s="20">
        <f t="shared" si="168"/>
        <v>1.5119369728679821E-12</v>
      </c>
      <c r="BH189" s="59">
        <f t="shared" si="116"/>
        <v>291.03455943547556</v>
      </c>
      <c r="BI189" s="59">
        <f ca="1">AVERAGE(OFFSET($BH$3,0,0,'Données projet'!$E$11+1,1))-AVERAGE(OFFSET($H$3,0,0,'Données projet'!$E$11+1,1))</f>
        <v>409.91320873873292</v>
      </c>
      <c r="BJ189" s="59">
        <f t="shared" si="146"/>
        <v>347.86310581860698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25.322708792451142</v>
      </c>
      <c r="BQ189" s="21">
        <f>EXP(-LN(2)/25)*BQ188+(1-EXP(-LN(2)/25))/(LN(2)/25)*Calculateur!BL189*Calculateur!BN189*VLOOKUP('Données projet'!$B$11,Paramètres!$A$1:$I$89,3,0)*0.475*44/12</f>
        <v>3.8048459611964609</v>
      </c>
      <c r="BR189" s="21">
        <f>EXP(-LN(2)/2)*BR188+(1-EXP(-LN(2)/2))/(LN(2)/2)*BL189*BO189*VLOOKUP('Données projet'!$B$11,Paramètres!$A$1:$I$89,3,0)*0.475*44/12</f>
        <v>8.7267849800204923E-15</v>
      </c>
      <c r="BS189" s="22">
        <f t="shared" si="169"/>
        <v>29.127554753647608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69.373061664220188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69.373061664220188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69.373061664220188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69.373061664220188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69.373061664220188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69.373061664220188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69.373061664220188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3.25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11.916666666666666</v>
      </c>
      <c r="H190" s="67">
        <f t="shared" si="110"/>
        <v>209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69.383937642721818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5.6843418860808015E-13</v>
      </c>
      <c r="O190" s="13">
        <f>N190*VLOOKUP('Données projet'!$B$9,Paramètres!$A$1:$I$89,3,0)*VLOOKUP('Données projet'!$B$9,Paramètres!$A$1:$I$89,5,0)</f>
        <v>3.177547114319168E-13</v>
      </c>
      <c r="P190" s="13">
        <f t="shared" si="141"/>
        <v>4.1725404435445377E-12</v>
      </c>
      <c r="Q190" s="20">
        <f t="shared" si="162"/>
        <v>7.820597394917325E-12</v>
      </c>
      <c r="R190" s="59">
        <f t="shared" si="109"/>
        <v>291.07443802332119</v>
      </c>
      <c r="S190" s="59">
        <f ca="1">AVERAGE(OFFSET($R$3,0,0,'Données projet'!$E$9+1,1))-AVERAGE(OFFSET($H$3,0,0,'Données projet'!$E$9+1,1))</f>
        <v>399.91876225849921</v>
      </c>
      <c r="T190" s="59">
        <f t="shared" si="142"/>
        <v>368.64132082233505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22.742543031970989</v>
      </c>
      <c r="AA190" s="21">
        <f>EXP(-LN(2)/25)*AA189+(1-EXP(-LN(2)/25))/(LN(2)/25)*Calculateur!V190*Calculateur!X190*VLOOKUP('Données projet'!$B$9,Paramètres!$A$1:$I$89,3,0)*0.475*44/12</f>
        <v>2.9943293407015932</v>
      </c>
      <c r="AB190" s="21">
        <f>EXP(-LN(2)/2)*AB189+(1-EXP(-LN(2)/2))/(LN(2)/2)*V190*Y190*VLOOKUP('Données projet'!$B$9,Paramètres!$A$1:$I$89,3,0)*0.475*44/12</f>
        <v>1.8523539738784983E-16</v>
      </c>
      <c r="AC190" s="22">
        <f t="shared" si="163"/>
        <v>25.736872372672583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69.383937642721818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-1.064108801074326E-13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280.35802808205239</v>
      </c>
      <c r="AO190" s="59">
        <f t="shared" si="144"/>
        <v>249.32129349927175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7.5400603424699781</v>
      </c>
      <c r="AV190" s="21">
        <f>EXP(-LN(2)/25)*AV189+(1-EXP(-LN(2)/25))/(LN(2)/25)*Calculateur!AQ190*Calculateur!AS190*VLOOKUP('Données projet'!$B$10,Paramètres!$A$1:$I$89,3,0)*0.475*44/12</f>
        <v>1.3242434125943301</v>
      </c>
      <c r="AW190" s="21">
        <f>EXP(-LN(2)/2)*AW189+(1-EXP(-LN(2)/2))/(LN(2)/2)*AQ190*AT190*VLOOKUP('Données projet'!$B$10,Paramètres!$A$1:$I$89,3,0)*0.475*44/12</f>
        <v>1.0205829925675421E-18</v>
      </c>
      <c r="AX190" s="21">
        <f t="shared" si="166"/>
        <v>8.8643037550643076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69.383937642721818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1.1368683772161603E-13</v>
      </c>
      <c r="BE190" s="13">
        <f>BD190*VLOOKUP('Données projet'!$B$11,Paramètres!$A$1:$I$89,3,0)*VLOOKUP('Données projet'!$B$11,Paramètres!$A$1:$I$89,5,0)</f>
        <v>5.0249582272954292E-14</v>
      </c>
      <c r="BF190" s="13">
        <f t="shared" si="167"/>
        <v>8.1784820119191593E-13</v>
      </c>
      <c r="BG190" s="20">
        <f t="shared" si="168"/>
        <v>1.5119369728679821E-12</v>
      </c>
      <c r="BH190" s="59">
        <f t="shared" si="116"/>
        <v>291.07443802331488</v>
      </c>
      <c r="BI190" s="59">
        <f ca="1">AVERAGE(OFFSET($BH$3,0,0,'Données projet'!$E$11+1,1))-AVERAGE(OFFSET($H$3,0,0,'Données projet'!$E$11+1,1))</f>
        <v>409.91320873873292</v>
      </c>
      <c r="BJ190" s="59">
        <f t="shared" si="146"/>
        <v>347.86310581860698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24.826145918358439</v>
      </c>
      <c r="BQ190" s="21">
        <f>EXP(-LN(2)/25)*BQ189+(1-EXP(-LN(2)/25))/(LN(2)/25)*Calculateur!BL190*Calculateur!BN190*VLOOKUP('Données projet'!$B$11,Paramètres!$A$1:$I$89,3,0)*0.475*44/12</f>
        <v>3.7008022482993908</v>
      </c>
      <c r="BR190" s="21">
        <f>EXP(-LN(2)/2)*BR189+(1-EXP(-LN(2)/2))/(LN(2)/2)*BL190*BO190*VLOOKUP('Données projet'!$B$11,Paramètres!$A$1:$I$89,3,0)*0.475*44/12</f>
        <v>6.1707688373293999E-15</v>
      </c>
      <c r="BS190" s="22">
        <f t="shared" si="169"/>
        <v>28.526948166657835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69.383937642721818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69.383937642721818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69.383937642721818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69.383937642721818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69.383937642721818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69.383937642721818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69.383937642721818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3.25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11.916666666666666</v>
      </c>
      <c r="H191" s="67">
        <f t="shared" si="110"/>
        <v>209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69.394624947311499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5.6843418860808015E-13</v>
      </c>
      <c r="O191" s="13">
        <f>N191*VLOOKUP('Données projet'!$B$9,Paramètres!$A$1:$I$89,3,0)*VLOOKUP('Données projet'!$B$9,Paramètres!$A$1:$I$89,5,0)</f>
        <v>3.177547114319168E-13</v>
      </c>
      <c r="P191" s="13">
        <f t="shared" si="141"/>
        <v>4.1725404435445377E-12</v>
      </c>
      <c r="Q191" s="20">
        <f t="shared" si="162"/>
        <v>7.820597394917325E-12</v>
      </c>
      <c r="R191" s="59">
        <f t="shared" si="109"/>
        <v>291.11362480681669</v>
      </c>
      <c r="S191" s="59">
        <f ca="1">AVERAGE(OFFSET($R$3,0,0,'Données projet'!$E$9+1,1))-AVERAGE(OFFSET($H$3,0,0,'Données projet'!$E$9+1,1))</f>
        <v>399.91876225849921</v>
      </c>
      <c r="T191" s="59">
        <f t="shared" si="142"/>
        <v>368.64132082233505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22.296575634695582</v>
      </c>
      <c r="AA191" s="21">
        <f>EXP(-LN(2)/25)*AA190+(1-EXP(-LN(2)/25))/(LN(2)/25)*Calculateur!V191*Calculateur!X191*VLOOKUP('Données projet'!$B$9,Paramètres!$A$1:$I$89,3,0)*0.475*44/12</f>
        <v>2.9124492474151715</v>
      </c>
      <c r="AB191" s="21">
        <f>EXP(-LN(2)/2)*AB190+(1-EXP(-LN(2)/2))/(LN(2)/2)*V191*Y191*VLOOKUP('Données projet'!$B$9,Paramètres!$A$1:$I$89,3,0)*0.475*44/12</f>
        <v>1.3098120560873351E-16</v>
      </c>
      <c r="AC191" s="22">
        <f t="shared" si="163"/>
        <v>25.209024882110754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69.394624947311499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-1.064108801074326E-13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280.35802808205239</v>
      </c>
      <c r="AO191" s="59">
        <f t="shared" si="144"/>
        <v>249.32129349927175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7.3922043581368388</v>
      </c>
      <c r="AV191" s="21">
        <f>EXP(-LN(2)/25)*AV190+(1-EXP(-LN(2)/25))/(LN(2)/25)*Calculateur!AQ191*Calculateur!AS191*VLOOKUP('Données projet'!$B$10,Paramètres!$A$1:$I$89,3,0)*0.475*44/12</f>
        <v>1.2880319068380037</v>
      </c>
      <c r="AW191" s="21">
        <f>EXP(-LN(2)/2)*AW190+(1-EXP(-LN(2)/2))/(LN(2)/2)*AQ191*AT191*VLOOKUP('Données projet'!$B$10,Paramètres!$A$1:$I$89,3,0)*0.475*44/12</f>
        <v>7.2166115480816884E-19</v>
      </c>
      <c r="AX191" s="21">
        <f t="shared" si="166"/>
        <v>8.6802362649748428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69.394624947311499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1.1368683772161603E-13</v>
      </c>
      <c r="BE191" s="13">
        <f>BD191*VLOOKUP('Données projet'!$B$11,Paramètres!$A$1:$I$89,3,0)*VLOOKUP('Données projet'!$B$11,Paramètres!$A$1:$I$89,5,0)</f>
        <v>5.0249582272954292E-14</v>
      </c>
      <c r="BF191" s="13">
        <f t="shared" si="167"/>
        <v>8.1784820119191593E-13</v>
      </c>
      <c r="BG191" s="20">
        <f t="shared" si="168"/>
        <v>1.5119369728679821E-12</v>
      </c>
      <c r="BH191" s="59">
        <f t="shared" si="116"/>
        <v>291.11362480681038</v>
      </c>
      <c r="BI191" s="59">
        <f ca="1">AVERAGE(OFFSET($BH$3,0,0,'Données projet'!$E$11+1,1))-AVERAGE(OFFSET($H$3,0,0,'Données projet'!$E$11+1,1))</f>
        <v>409.91320873873292</v>
      </c>
      <c r="BJ191" s="59">
        <f t="shared" si="146"/>
        <v>347.86310581860698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24.339320339353247</v>
      </c>
      <c r="BQ191" s="21">
        <f>EXP(-LN(2)/25)*BQ190+(1-EXP(-LN(2)/25))/(LN(2)/25)*Calculateur!BL191*Calculateur!BN191*VLOOKUP('Données projet'!$B$11,Paramètres!$A$1:$I$89,3,0)*0.475*44/12</f>
        <v>3.5996036162029119</v>
      </c>
      <c r="BR191" s="21">
        <f>EXP(-LN(2)/2)*BR190+(1-EXP(-LN(2)/2))/(LN(2)/2)*BL191*BO191*VLOOKUP('Données projet'!$B$11,Paramètres!$A$1:$I$89,3,0)*0.475*44/12</f>
        <v>4.3633924900102462E-15</v>
      </c>
      <c r="BS191" s="22">
        <f t="shared" si="169"/>
        <v>27.938923955556163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69.394624947311499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69.394624947311499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69.394624947311499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69.394624947311499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69.394624947311499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69.394624947311499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69.394624947311499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3.25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11.916666666666666</v>
      </c>
      <c r="H192" s="67">
        <f t="shared" si="110"/>
        <v>209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69.405126851059777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5.6843418860808015E-13</v>
      </c>
      <c r="O192" s="13">
        <f>N192*VLOOKUP('Données projet'!$B$9,Paramètres!$A$1:$I$89,3,0)*VLOOKUP('Données projet'!$B$9,Paramètres!$A$1:$I$89,5,0)</f>
        <v>3.177547114319168E-13</v>
      </c>
      <c r="P192" s="13">
        <f t="shared" si="141"/>
        <v>4.1725404435445377E-12</v>
      </c>
      <c r="Q192" s="20">
        <f t="shared" si="162"/>
        <v>7.820597394917325E-12</v>
      </c>
      <c r="R192" s="59">
        <f t="shared" si="109"/>
        <v>291.15213178722701</v>
      </c>
      <c r="S192" s="59">
        <f ca="1">AVERAGE(OFFSET($R$3,0,0,'Données projet'!$E$9+1,1))-AVERAGE(OFFSET($H$3,0,0,'Données projet'!$E$9+1,1))</f>
        <v>399.91876225849921</v>
      </c>
      <c r="T192" s="59">
        <f t="shared" si="142"/>
        <v>368.64132082233505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21.859353386067493</v>
      </c>
      <c r="AA192" s="21">
        <f>EXP(-LN(2)/25)*AA191+(1-EXP(-LN(2)/25))/(LN(2)/25)*Calculateur!V192*Calculateur!X192*VLOOKUP('Données projet'!$B$9,Paramètres!$A$1:$I$89,3,0)*0.475*44/12</f>
        <v>2.832808169585554</v>
      </c>
      <c r="AB192" s="21">
        <f>EXP(-LN(2)/2)*AB191+(1-EXP(-LN(2)/2))/(LN(2)/2)*V192*Y192*VLOOKUP('Données projet'!$B$9,Paramètres!$A$1:$I$89,3,0)*0.475*44/12</f>
        <v>9.2617698693924917E-17</v>
      </c>
      <c r="AC192" s="22">
        <f t="shared" si="163"/>
        <v>24.692161555653048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69.405126851059777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-1.064108801074326E-13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280.35802808205239</v>
      </c>
      <c r="AO192" s="59">
        <f t="shared" si="144"/>
        <v>249.32129349927175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7.2472477394732273</v>
      </c>
      <c r="AV192" s="21">
        <f>EXP(-LN(2)/25)*AV191+(1-EXP(-LN(2)/25))/(LN(2)/25)*Calculateur!AQ192*Calculateur!AS192*VLOOKUP('Données projet'!$B$10,Paramètres!$A$1:$I$89,3,0)*0.475*44/12</f>
        <v>1.2528106066108644</v>
      </c>
      <c r="AW192" s="21">
        <f>EXP(-LN(2)/2)*AW191+(1-EXP(-LN(2)/2))/(LN(2)/2)*AQ192*AT192*VLOOKUP('Données projet'!$B$10,Paramètres!$A$1:$I$89,3,0)*0.475*44/12</f>
        <v>5.1029149628377103E-19</v>
      </c>
      <c r="AX192" s="21">
        <f t="shared" si="166"/>
        <v>8.5000583460840922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69.405126851059777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1.1368683772161603E-13</v>
      </c>
      <c r="BE192" s="13">
        <f>BD192*VLOOKUP('Données projet'!$B$11,Paramètres!$A$1:$I$89,3,0)*VLOOKUP('Données projet'!$B$11,Paramètres!$A$1:$I$89,5,0)</f>
        <v>5.0249582272954292E-14</v>
      </c>
      <c r="BF192" s="13">
        <f t="shared" si="167"/>
        <v>8.1784820119191593E-13</v>
      </c>
      <c r="BG192" s="20">
        <f t="shared" si="168"/>
        <v>1.5119369728679821E-12</v>
      </c>
      <c r="BH192" s="59">
        <f t="shared" si="116"/>
        <v>291.1521317872207</v>
      </c>
      <c r="BI192" s="59">
        <f ca="1">AVERAGE(OFFSET($BH$3,0,0,'Données projet'!$E$11+1,1))-AVERAGE(OFFSET($H$3,0,0,'Données projet'!$E$11+1,1))</f>
        <v>409.91320873873292</v>
      </c>
      <c r="BJ192" s="59">
        <f t="shared" si="146"/>
        <v>347.86310581860698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23.862041113018062</v>
      </c>
      <c r="BQ192" s="21">
        <f>EXP(-LN(2)/25)*BQ191+(1-EXP(-LN(2)/25))/(LN(2)/25)*Calculateur!BL192*Calculateur!BN192*VLOOKUP('Données projet'!$B$11,Paramètres!$A$1:$I$89,3,0)*0.475*44/12</f>
        <v>3.5011722660229161</v>
      </c>
      <c r="BR192" s="21">
        <f>EXP(-LN(2)/2)*BR191+(1-EXP(-LN(2)/2))/(LN(2)/2)*BL192*BO192*VLOOKUP('Données projet'!$B$11,Paramètres!$A$1:$I$89,3,0)*0.475*44/12</f>
        <v>3.0853844186646999E-15</v>
      </c>
      <c r="BS192" s="22">
        <f t="shared" si="169"/>
        <v>27.363213379040982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69.405126851059777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69.405126851059777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69.405126851059777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69.405126851059777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69.405126851059777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69.405126851059777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69.405126851059777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3.25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11.916666666666666</v>
      </c>
      <c r="H193" s="67">
        <f t="shared" si="110"/>
        <v>209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69.415446570256762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5.6843418860808015E-13</v>
      </c>
      <c r="O193" s="13">
        <f>N193*VLOOKUP('Données projet'!$B$9,Paramètres!$A$1:$I$89,3,0)*VLOOKUP('Données projet'!$B$9,Paramètres!$A$1:$I$89,5,0)</f>
        <v>3.177547114319168E-13</v>
      </c>
      <c r="P193" s="13">
        <f t="shared" si="141"/>
        <v>4.1725404435445377E-12</v>
      </c>
      <c r="Q193" s="20">
        <f t="shared" si="162"/>
        <v>7.820597394917325E-12</v>
      </c>
      <c r="R193" s="59">
        <f t="shared" si="109"/>
        <v>291.18997075761598</v>
      </c>
      <c r="S193" s="59">
        <f ca="1">AVERAGE(OFFSET($R$3,0,0,'Données projet'!$E$9+1,1))-AVERAGE(OFFSET($H$3,0,0,'Données projet'!$E$9+1,1))</f>
        <v>399.91876225849921</v>
      </c>
      <c r="T193" s="59">
        <f t="shared" si="142"/>
        <v>368.64132082233505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21.430704799055761</v>
      </c>
      <c r="AA193" s="21">
        <f>EXP(-LN(2)/25)*AA192+(1-EXP(-LN(2)/25))/(LN(2)/25)*Calculateur!V193*Calculateur!X193*VLOOKUP('Données projet'!$B$9,Paramètres!$A$1:$I$89,3,0)*0.475*44/12</f>
        <v>2.7553448812173298</v>
      </c>
      <c r="AB193" s="21">
        <f>EXP(-LN(2)/2)*AB192+(1-EXP(-LN(2)/2))/(LN(2)/2)*V193*Y193*VLOOKUP('Données projet'!$B$9,Paramètres!$A$1:$I$89,3,0)*0.475*44/12</f>
        <v>6.5490602804366753E-17</v>
      </c>
      <c r="AC193" s="22">
        <f t="shared" si="163"/>
        <v>24.18604968027309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69.415446570256762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-1.064108801074326E-13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280.35802808205239</v>
      </c>
      <c r="AO193" s="59">
        <f t="shared" si="144"/>
        <v>249.32129349927175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7.1051336316868019</v>
      </c>
      <c r="AV193" s="21">
        <f>EXP(-LN(2)/25)*AV192+(1-EXP(-LN(2)/25))/(LN(2)/25)*Calculateur!AQ193*Calculateur!AS193*VLOOKUP('Données projet'!$B$10,Paramètres!$A$1:$I$89,3,0)*0.475*44/12</f>
        <v>1.2185524346906438</v>
      </c>
      <c r="AW193" s="21">
        <f>EXP(-LN(2)/2)*AW192+(1-EXP(-LN(2)/2))/(LN(2)/2)*AQ193*AT193*VLOOKUP('Données projet'!$B$10,Paramètres!$A$1:$I$89,3,0)*0.475*44/12</f>
        <v>3.6083057740408442E-19</v>
      </c>
      <c r="AX193" s="21">
        <f t="shared" si="166"/>
        <v>8.3236860663774461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69.415446570256762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1.1368683772161603E-13</v>
      </c>
      <c r="BE193" s="13">
        <f>BD193*VLOOKUP('Données projet'!$B$11,Paramètres!$A$1:$I$89,3,0)*VLOOKUP('Données projet'!$B$11,Paramètres!$A$1:$I$89,5,0)</f>
        <v>5.0249582272954292E-14</v>
      </c>
      <c r="BF193" s="13">
        <f t="shared" si="167"/>
        <v>8.1784820119191593E-13</v>
      </c>
      <c r="BG193" s="20">
        <f t="shared" si="168"/>
        <v>1.5119369728679821E-12</v>
      </c>
      <c r="BH193" s="59">
        <f t="shared" si="116"/>
        <v>291.18997075760967</v>
      </c>
      <c r="BI193" s="59">
        <f ca="1">AVERAGE(OFFSET($BH$3,0,0,'Données projet'!$E$11+1,1))-AVERAGE(OFFSET($H$3,0,0,'Données projet'!$E$11+1,1))</f>
        <v>409.91320873873292</v>
      </c>
      <c r="BJ193" s="59">
        <f t="shared" si="146"/>
        <v>347.86310581860698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23.394121041199728</v>
      </c>
      <c r="BQ193" s="21">
        <f>EXP(-LN(2)/25)*BQ192+(1-EXP(-LN(2)/25))/(LN(2)/25)*Calculateur!BL193*Calculateur!BN193*VLOOKUP('Données projet'!$B$11,Paramètres!$A$1:$I$89,3,0)*0.475*44/12</f>
        <v>3.4054325262898719</v>
      </c>
      <c r="BR193" s="21">
        <f>EXP(-LN(2)/2)*BR192+(1-EXP(-LN(2)/2))/(LN(2)/2)*BL193*BO193*VLOOKUP('Données projet'!$B$11,Paramètres!$A$1:$I$89,3,0)*0.475*44/12</f>
        <v>2.1816962450051231E-15</v>
      </c>
      <c r="BS193" s="22">
        <f t="shared" si="169"/>
        <v>26.799553567489603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69.415446570256762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69.415446570256762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69.415446570256762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69.415446570256762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69.415446570256762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69.415446570256762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69.415446570256762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3.25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11.916666666666666</v>
      </c>
      <c r="H194" s="67">
        <f t="shared" si="110"/>
        <v>209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69.425587265397127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5.6843418860808015E-13</v>
      </c>
      <c r="O194" s="13">
        <f>N194*VLOOKUP('Données projet'!$B$9,Paramètres!$A$1:$I$89,3,0)*VLOOKUP('Données projet'!$B$9,Paramètres!$A$1:$I$89,5,0)</f>
        <v>3.177547114319168E-13</v>
      </c>
      <c r="P194" s="13">
        <f t="shared" si="141"/>
        <v>4.1725404435445377E-12</v>
      </c>
      <c r="Q194" s="20">
        <f t="shared" si="162"/>
        <v>7.820597394917325E-12</v>
      </c>
      <c r="R194" s="59">
        <f t="shared" si="109"/>
        <v>291.227153306464</v>
      </c>
      <c r="S194" s="59">
        <f ca="1">AVERAGE(OFFSET($R$3,0,0,'Données projet'!$E$9+1,1))-AVERAGE(OFFSET($H$3,0,0,'Données projet'!$E$9+1,1))</f>
        <v>399.91876225849921</v>
      </c>
      <c r="T194" s="59">
        <f t="shared" si="142"/>
        <v>368.64132082233505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21.010461749385506</v>
      </c>
      <c r="AA194" s="21">
        <f>EXP(-LN(2)/25)*AA193+(1-EXP(-LN(2)/25))/(LN(2)/25)*Calculateur!V194*Calculateur!X194*VLOOKUP('Données projet'!$B$9,Paramètres!$A$1:$I$89,3,0)*0.475*44/12</f>
        <v>2.6799998305431521</v>
      </c>
      <c r="AB194" s="21">
        <f>EXP(-LN(2)/2)*AB193+(1-EXP(-LN(2)/2))/(LN(2)/2)*V194*Y194*VLOOKUP('Données projet'!$B$9,Paramètres!$A$1:$I$89,3,0)*0.475*44/12</f>
        <v>4.6308849346962458E-17</v>
      </c>
      <c r="AC194" s="22">
        <f t="shared" si="163"/>
        <v>23.690461579928659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69.425587265397127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-1.064108801074326E-13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280.35802808205239</v>
      </c>
      <c r="AO194" s="59">
        <f t="shared" si="144"/>
        <v>249.32129349927175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6.9658062948730217</v>
      </c>
      <c r="AV194" s="21">
        <f>EXP(-LN(2)/25)*AV193+(1-EXP(-LN(2)/25))/(LN(2)/25)*Calculateur!AQ194*Calculateur!AS194*VLOOKUP('Données projet'!$B$10,Paramètres!$A$1:$I$89,3,0)*0.475*44/12</f>
        <v>1.1852310542831406</v>
      </c>
      <c r="AW194" s="21">
        <f>EXP(-LN(2)/2)*AW193+(1-EXP(-LN(2)/2))/(LN(2)/2)*AQ194*AT194*VLOOKUP('Données projet'!$B$10,Paramètres!$A$1:$I$89,3,0)*0.475*44/12</f>
        <v>2.5514574814188552E-19</v>
      </c>
      <c r="AX194" s="21">
        <f t="shared" si="166"/>
        <v>8.1510373491561623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69.425587265397127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1.1368683772161603E-13</v>
      </c>
      <c r="BE194" s="13">
        <f>BD194*VLOOKUP('Données projet'!$B$11,Paramètres!$A$1:$I$89,3,0)*VLOOKUP('Données projet'!$B$11,Paramètres!$A$1:$I$89,5,0)</f>
        <v>5.0249582272954292E-14</v>
      </c>
      <c r="BF194" s="13">
        <f t="shared" si="167"/>
        <v>8.1784820119191593E-13</v>
      </c>
      <c r="BG194" s="20">
        <f t="shared" si="168"/>
        <v>1.5119369728679821E-12</v>
      </c>
      <c r="BH194" s="59">
        <f t="shared" si="116"/>
        <v>291.22715330645769</v>
      </c>
      <c r="BI194" s="59">
        <f ca="1">AVERAGE(OFFSET($BH$3,0,0,'Données projet'!$E$11+1,1))-AVERAGE(OFFSET($H$3,0,0,'Données projet'!$E$11+1,1))</f>
        <v>409.91320873873292</v>
      </c>
      <c r="BJ194" s="59">
        <f t="shared" si="146"/>
        <v>347.86310581860698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22.935376596586689</v>
      </c>
      <c r="BQ194" s="21">
        <f>EXP(-LN(2)/25)*BQ193+(1-EXP(-LN(2)/25))/(LN(2)/25)*Calculateur!BL194*Calculateur!BN194*VLOOKUP('Données projet'!$B$11,Paramètres!$A$1:$I$89,3,0)*0.475*44/12</f>
        <v>3.3123107947745623</v>
      </c>
      <c r="BR194" s="21">
        <f>EXP(-LN(2)/2)*BR193+(1-EXP(-LN(2)/2))/(LN(2)/2)*BL194*BO194*VLOOKUP('Données projet'!$B$11,Paramètres!$A$1:$I$89,3,0)*0.475*44/12</f>
        <v>1.54269220933235E-15</v>
      </c>
      <c r="BS194" s="22">
        <f t="shared" si="169"/>
        <v>26.24768739136125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69.425587265397127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69.425587265397127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69.425587265397127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69.425587265397127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69.425587265397127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69.425587265397127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69.425587265397127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3.25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11.916666666666666</v>
      </c>
      <c r="H195" s="67">
        <f t="shared" si="110"/>
        <v>209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69.435552042148004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5.6843418860808015E-13</v>
      </c>
      <c r="O195" s="13">
        <f>N195*VLOOKUP('Données projet'!$B$9,Paramètres!$A$1:$I$89,3,0)*VLOOKUP('Données projet'!$B$9,Paramètres!$A$1:$I$89,5,0)</f>
        <v>3.177547114319168E-13</v>
      </c>
      <c r="P195" s="13">
        <f t="shared" si="141"/>
        <v>4.1725404435445377E-12</v>
      </c>
      <c r="Q195" s="20">
        <f t="shared" si="162"/>
        <v>7.820597394917325E-12</v>
      </c>
      <c r="R195" s="59">
        <f t="shared" ref="R195:R203" si="191">Q195+(I195+J195)*44/12</f>
        <v>291.26369082121721</v>
      </c>
      <c r="S195" s="59">
        <f ca="1">AVERAGE(OFFSET($R$3,0,0,'Données projet'!$E$9+1,1))-AVERAGE(OFFSET($H$3,0,0,'Données projet'!$E$9+1,1))</f>
        <v>399.91876225849921</v>
      </c>
      <c r="T195" s="59">
        <f t="shared" si="142"/>
        <v>368.64132082233505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20.598459409596337</v>
      </c>
      <c r="AA195" s="21">
        <f>EXP(-LN(2)/25)*AA194+(1-EXP(-LN(2)/25))/(LN(2)/25)*Calculateur!V195*Calculateur!X195*VLOOKUP('Données projet'!$B$9,Paramètres!$A$1:$I$89,3,0)*0.475*44/12</f>
        <v>2.6067150942418835</v>
      </c>
      <c r="AB195" s="21">
        <f>EXP(-LN(2)/2)*AB194+(1-EXP(-LN(2)/2))/(LN(2)/2)*V195*Y195*VLOOKUP('Données projet'!$B$9,Paramètres!$A$1:$I$89,3,0)*0.475*44/12</f>
        <v>3.2745301402183376E-17</v>
      </c>
      <c r="AC195" s="22">
        <f t="shared" si="163"/>
        <v>23.205174503838222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69.435552042148004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-1.064108801074326E-13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280.35802808205239</v>
      </c>
      <c r="AO195" s="59">
        <f t="shared" si="144"/>
        <v>249.32129349927175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6.8292110821528755</v>
      </c>
      <c r="AV195" s="21">
        <f>EXP(-LN(2)/25)*AV194+(1-EXP(-LN(2)/25))/(LN(2)/25)*Calculateur!AQ195*Calculateur!AS195*VLOOKUP('Données projet'!$B$10,Paramètres!$A$1:$I$89,3,0)*0.475*44/12</f>
        <v>1.1528208487751759</v>
      </c>
      <c r="AW195" s="21">
        <f>EXP(-LN(2)/2)*AW194+(1-EXP(-LN(2)/2))/(LN(2)/2)*AQ195*AT195*VLOOKUP('Données projet'!$B$10,Paramètres!$A$1:$I$89,3,0)*0.475*44/12</f>
        <v>1.8041528870204221E-19</v>
      </c>
      <c r="AX195" s="21">
        <f t="shared" si="166"/>
        <v>7.9820319309280512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69.435552042148004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1.1368683772161603E-13</v>
      </c>
      <c r="BE195" s="13">
        <f>BD195*VLOOKUP('Données projet'!$B$11,Paramètres!$A$1:$I$89,3,0)*VLOOKUP('Données projet'!$B$11,Paramètres!$A$1:$I$89,5,0)</f>
        <v>5.0249582272954292E-14</v>
      </c>
      <c r="BF195" s="13">
        <f t="shared" si="167"/>
        <v>8.1784820119191593E-13</v>
      </c>
      <c r="BG195" s="20">
        <f t="shared" si="168"/>
        <v>1.5119369728679821E-12</v>
      </c>
      <c r="BH195" s="59">
        <f t="shared" si="116"/>
        <v>291.2636908212109</v>
      </c>
      <c r="BI195" s="59">
        <f ca="1">AVERAGE(OFFSET($BH$3,0,0,'Données projet'!$E$11+1,1))-AVERAGE(OFFSET($H$3,0,0,'Données projet'!$E$11+1,1))</f>
        <v>409.91320873873292</v>
      </c>
      <c r="BJ195" s="59">
        <f t="shared" si="146"/>
        <v>347.86310581860698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22.485627850726029</v>
      </c>
      <c r="BQ195" s="21">
        <f>EXP(-LN(2)/25)*BQ194+(1-EXP(-LN(2)/25))/(LN(2)/25)*Calculateur!BL195*Calculateur!BN195*VLOOKUP('Données projet'!$B$11,Paramètres!$A$1:$I$89,3,0)*0.475*44/12</f>
        <v>3.2217354819045974</v>
      </c>
      <c r="BR195" s="21">
        <f>EXP(-LN(2)/2)*BR194+(1-EXP(-LN(2)/2))/(LN(2)/2)*BL195*BO195*VLOOKUP('Données projet'!$B$11,Paramètres!$A$1:$I$89,3,0)*0.475*44/12</f>
        <v>1.0908481225025615E-15</v>
      </c>
      <c r="BS195" s="22">
        <f t="shared" si="169"/>
        <v>25.707363332630628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69.435552042148004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69.435552042148004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69.435552042148004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69.435552042148004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69.435552042148004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69.435552042148004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69.435552042148004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3.25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11.916666666666666</v>
      </c>
      <c r="H196" s="67">
        <f t="shared" ref="H196:H203" si="192">(B196+E196+F196)*44/12+(C196+D196)*0.475*44/12</f>
        <v>209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69.445343952300149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5.6843418860808015E-13</v>
      </c>
      <c r="O196" s="13">
        <f>N196*VLOOKUP('Données projet'!$B$9,Paramètres!$A$1:$I$89,3,0)*VLOOKUP('Données projet'!$B$9,Paramètres!$A$1:$I$89,5,0)</f>
        <v>3.177547114319168E-13</v>
      </c>
      <c r="P196" s="13">
        <f t="shared" si="141"/>
        <v>4.1725404435445377E-12</v>
      </c>
      <c r="Q196" s="20">
        <f t="shared" si="162"/>
        <v>7.820597394917325E-12</v>
      </c>
      <c r="R196" s="59">
        <f t="shared" si="191"/>
        <v>291.29959449177505</v>
      </c>
      <c r="S196" s="59">
        <f ca="1">AVERAGE(OFFSET($R$3,0,0,'Données projet'!$E$9+1,1))-AVERAGE(OFFSET($H$3,0,0,'Données projet'!$E$9+1,1))</f>
        <v>399.91876225849921</v>
      </c>
      <c r="T196" s="59">
        <f t="shared" si="142"/>
        <v>368.64132082233505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20.194536184393819</v>
      </c>
      <c r="AA196" s="21">
        <f>EXP(-LN(2)/25)*AA195+(1-EXP(-LN(2)/25))/(LN(2)/25)*Calculateur!V196*Calculateur!X196*VLOOKUP('Données projet'!$B$9,Paramètres!$A$1:$I$89,3,0)*0.475*44/12</f>
        <v>2.5354343329086499</v>
      </c>
      <c r="AB196" s="21">
        <f>EXP(-LN(2)/2)*AB195+(1-EXP(-LN(2)/2))/(LN(2)/2)*V196*Y196*VLOOKUP('Données projet'!$B$9,Paramètres!$A$1:$I$89,3,0)*0.475*44/12</f>
        <v>2.3154424673481229E-17</v>
      </c>
      <c r="AC196" s="22">
        <f t="shared" si="163"/>
        <v>22.729970517302469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69.445343952300149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-1.064108801074326E-13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280.35802808205239</v>
      </c>
      <c r="AO196" s="59">
        <f t="shared" si="144"/>
        <v>249.32129349927175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6.6952944182393184</v>
      </c>
      <c r="AV196" s="21">
        <f>EXP(-LN(2)/25)*AV195+(1-EXP(-LN(2)/25))/(LN(2)/25)*Calculateur!AQ196*Calculateur!AS196*VLOOKUP('Données projet'!$B$10,Paramètres!$A$1:$I$89,3,0)*0.475*44/12</f>
        <v>1.1212969020412051</v>
      </c>
      <c r="AW196" s="21">
        <f>EXP(-LN(2)/2)*AW195+(1-EXP(-LN(2)/2))/(LN(2)/2)*AQ196*AT196*VLOOKUP('Données projet'!$B$10,Paramètres!$A$1:$I$89,3,0)*0.475*44/12</f>
        <v>1.2757287407094276E-19</v>
      </c>
      <c r="AX196" s="21">
        <f t="shared" si="166"/>
        <v>7.8165913202805237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69.445343952300149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1.1368683772161603E-13</v>
      </c>
      <c r="BE196" s="13">
        <f>BD196*VLOOKUP('Données projet'!$B$11,Paramètres!$A$1:$I$89,3,0)*VLOOKUP('Données projet'!$B$11,Paramètres!$A$1:$I$89,5,0)</f>
        <v>5.0249582272954292E-14</v>
      </c>
      <c r="BF196" s="13">
        <f t="shared" si="167"/>
        <v>8.1784820119191593E-13</v>
      </c>
      <c r="BG196" s="20">
        <f t="shared" si="168"/>
        <v>1.5119369728679821E-12</v>
      </c>
      <c r="BH196" s="59">
        <f t="shared" ref="BH196:BH203" si="194">BG196+(AY196+AZ196)*44/12</f>
        <v>291.29959449176874</v>
      </c>
      <c r="BI196" s="59">
        <f ca="1">AVERAGE(OFFSET($BH$3,0,0,'Données projet'!$E$11+1,1))-AVERAGE(OFFSET($H$3,0,0,'Données projet'!$E$11+1,1))</f>
        <v>409.91320873873292</v>
      </c>
      <c r="BJ196" s="59">
        <f t="shared" si="146"/>
        <v>347.86310581860698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22.044698403452049</v>
      </c>
      <c r="BQ196" s="21">
        <f>EXP(-LN(2)/25)*BQ195+(1-EXP(-LN(2)/25))/(LN(2)/25)*Calculateur!BL196*Calculateur!BN196*VLOOKUP('Données projet'!$B$11,Paramètres!$A$1:$I$89,3,0)*0.475*44/12</f>
        <v>3.1336369557282104</v>
      </c>
      <c r="BR196" s="21">
        <f>EXP(-LN(2)/2)*BR195+(1-EXP(-LN(2)/2))/(LN(2)/2)*BL196*BO196*VLOOKUP('Données projet'!$B$11,Paramètres!$A$1:$I$89,3,0)*0.475*44/12</f>
        <v>7.7134610466617498E-16</v>
      </c>
      <c r="BS196" s="22">
        <f t="shared" si="169"/>
        <v>25.178335359180259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69.445343952300149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69.445343952300149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69.445343952300149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69.445343952300149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69.445343952300149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69.445343952300149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69.445343952300149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3.25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11.916666666666666</v>
      </c>
      <c r="H197" s="67">
        <f t="shared" si="192"/>
        <v>209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69.45496599470259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5.6843418860808015E-13</v>
      </c>
      <c r="O197" s="13">
        <f>N197*VLOOKUP('Données projet'!$B$9,Paramètres!$A$1:$I$89,3,0)*VLOOKUP('Données projet'!$B$9,Paramètres!$A$1:$I$89,5,0)</f>
        <v>3.177547114319168E-13</v>
      </c>
      <c r="P197" s="13">
        <f t="shared" ref="P197:P203" si="203">EXP(-1.0587+0.8836*LN(O197)+0.284)</f>
        <v>4.1725404435445377E-12</v>
      </c>
      <c r="Q197" s="20">
        <f t="shared" si="162"/>
        <v>7.820597394917325E-12</v>
      </c>
      <c r="R197" s="59">
        <f t="shared" si="191"/>
        <v>291.33487531391734</v>
      </c>
      <c r="S197" s="59">
        <f ca="1">AVERAGE(OFFSET($R$3,0,0,'Données projet'!$E$9+1,1))-AVERAGE(OFFSET($H$3,0,0,'Données projet'!$E$9+1,1))</f>
        <v>399.91876225849921</v>
      </c>
      <c r="T197" s="59">
        <f t="shared" ref="T197:T203" si="204">$T$3</f>
        <v>368.64132082233505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19.79853364726868</v>
      </c>
      <c r="AA197" s="21">
        <f>EXP(-LN(2)/25)*AA196+(1-EXP(-LN(2)/25))/(LN(2)/25)*Calculateur!V197*Calculateur!X197*VLOOKUP('Données projet'!$B$9,Paramètres!$A$1:$I$89,3,0)*0.475*44/12</f>
        <v>2.4661027477425663</v>
      </c>
      <c r="AB197" s="21">
        <f>EXP(-LN(2)/2)*AB196+(1-EXP(-LN(2)/2))/(LN(2)/2)*V197*Y197*VLOOKUP('Données projet'!$B$9,Paramètres!$A$1:$I$89,3,0)*0.475*44/12</f>
        <v>1.6372650701091688E-17</v>
      </c>
      <c r="AC197" s="22">
        <f t="shared" si="163"/>
        <v>22.264636395011248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69.45496599470259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-1.064108801074326E-13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280.35802808205239</v>
      </c>
      <c r="AO197" s="59">
        <f t="shared" ref="AO197:AO203" si="205">$AO$3</f>
        <v>249.32129349927175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6.5640037784240057</v>
      </c>
      <c r="AV197" s="21">
        <f>EXP(-LN(2)/25)*AV196+(1-EXP(-LN(2)/25))/(LN(2)/25)*Calculateur!AQ197*Calculateur!AS197*VLOOKUP('Données projet'!$B$10,Paramètres!$A$1:$I$89,3,0)*0.475*44/12</f>
        <v>1.0906349792884471</v>
      </c>
      <c r="AW197" s="21">
        <f>EXP(-LN(2)/2)*AW196+(1-EXP(-LN(2)/2))/(LN(2)/2)*AQ197*AT197*VLOOKUP('Données projet'!$B$10,Paramètres!$A$1:$I$89,3,0)*0.475*44/12</f>
        <v>9.0207644351021105E-20</v>
      </c>
      <c r="AX197" s="21">
        <f t="shared" si="166"/>
        <v>7.6546387577124531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69.45496599470259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1.1368683772161603E-13</v>
      </c>
      <c r="BE197" s="13">
        <f>BD197*VLOOKUP('Données projet'!$B$11,Paramètres!$A$1:$I$89,3,0)*VLOOKUP('Données projet'!$B$11,Paramètres!$A$1:$I$89,5,0)</f>
        <v>5.0249582272954292E-14</v>
      </c>
      <c r="BF197" s="13">
        <f t="shared" si="167"/>
        <v>8.1784820119191593E-13</v>
      </c>
      <c r="BG197" s="20">
        <f t="shared" si="168"/>
        <v>1.5119369728679821E-12</v>
      </c>
      <c r="BH197" s="59">
        <f t="shared" si="194"/>
        <v>291.33487531391103</v>
      </c>
      <c r="BI197" s="59">
        <f ca="1">AVERAGE(OFFSET($BH$3,0,0,'Données projet'!$E$11+1,1))-AVERAGE(OFFSET($H$3,0,0,'Données projet'!$E$11+1,1))</f>
        <v>409.91320873873292</v>
      </c>
      <c r="BJ197" s="59">
        <f t="shared" ref="BJ197:BJ203" si="206">$BJ$3</f>
        <v>347.86310581860698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21.612415313698705</v>
      </c>
      <c r="BQ197" s="21">
        <f>EXP(-LN(2)/25)*BQ196+(1-EXP(-LN(2)/25))/(LN(2)/25)*Calculateur!BL197*Calculateur!BN197*VLOOKUP('Données projet'!$B$11,Paramètres!$A$1:$I$89,3,0)*0.475*44/12</f>
        <v>3.0479474883830169</v>
      </c>
      <c r="BR197" s="21">
        <f>EXP(-LN(2)/2)*BR196+(1-EXP(-LN(2)/2))/(LN(2)/2)*BL197*BO197*VLOOKUP('Données projet'!$B$11,Paramètres!$A$1:$I$89,3,0)*0.475*44/12</f>
        <v>5.4542406125128077E-16</v>
      </c>
      <c r="BS197" s="22">
        <f t="shared" si="169"/>
        <v>24.660362802081721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69.45496599470259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69.45496599470259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69.45496599470259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69.45496599470259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69.45496599470259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69.45496599470259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69.45496599470259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3.25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11.916666666666666</v>
      </c>
      <c r="H198" s="67">
        <f t="shared" si="192"/>
        <v>209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69.464421116181001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5.6843418860808015E-13</v>
      </c>
      <c r="O198" s="13">
        <f>N198*VLOOKUP('Données projet'!$B$9,Paramètres!$A$1:$I$89,3,0)*VLOOKUP('Données projet'!$B$9,Paramètres!$A$1:$I$89,5,0)</f>
        <v>3.177547114319168E-13</v>
      </c>
      <c r="P198" s="13">
        <f t="shared" si="203"/>
        <v>4.1725404435445377E-12</v>
      </c>
      <c r="Q198" s="20">
        <f t="shared" si="162"/>
        <v>7.820597394917325E-12</v>
      </c>
      <c r="R198" s="59">
        <f t="shared" si="191"/>
        <v>291.3695440926715</v>
      </c>
      <c r="S198" s="59">
        <f ca="1">AVERAGE(OFFSET($R$3,0,0,'Données projet'!$E$9+1,1))-AVERAGE(OFFSET($H$3,0,0,'Données projet'!$E$9+1,1))</f>
        <v>399.91876225849921</v>
      </c>
      <c r="T198" s="59">
        <f t="shared" si="204"/>
        <v>368.64132082233505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19.41029647835887</v>
      </c>
      <c r="AA198" s="21">
        <f>EXP(-LN(2)/25)*AA197+(1-EXP(-LN(2)/25))/(LN(2)/25)*Calculateur!V198*Calculateur!X198*VLOOKUP('Données projet'!$B$9,Paramètres!$A$1:$I$89,3,0)*0.475*44/12</f>
        <v>2.3986670384188389</v>
      </c>
      <c r="AB198" s="21">
        <f>EXP(-LN(2)/2)*AB197+(1-EXP(-LN(2)/2))/(LN(2)/2)*V198*Y198*VLOOKUP('Données projet'!$B$9,Paramètres!$A$1:$I$89,3,0)*0.475*44/12</f>
        <v>1.1577212336740615E-17</v>
      </c>
      <c r="AC198" s="22">
        <f t="shared" si="163"/>
        <v>21.808963516777709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69.464421116181001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-1.064108801074326E-13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280.35802808205239</v>
      </c>
      <c r="AO198" s="59">
        <f t="shared" si="205"/>
        <v>249.32129349927175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6.4352876679760884</v>
      </c>
      <c r="AV198" s="21">
        <f>EXP(-LN(2)/25)*AV197+(1-EXP(-LN(2)/25))/(LN(2)/25)*Calculateur!AQ198*Calculateur!AS198*VLOOKUP('Données projet'!$B$10,Paramètres!$A$1:$I$89,3,0)*0.475*44/12</f>
        <v>1.0608115084258036</v>
      </c>
      <c r="AW198" s="21">
        <f>EXP(-LN(2)/2)*AW197+(1-EXP(-LN(2)/2))/(LN(2)/2)*AQ198*AT198*VLOOKUP('Données projet'!$B$10,Paramètres!$A$1:$I$89,3,0)*0.475*44/12</f>
        <v>6.3786437035471379E-20</v>
      </c>
      <c r="AX198" s="21">
        <f t="shared" si="166"/>
        <v>7.4960991764018923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69.464421116181001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1.1368683772161603E-13</v>
      </c>
      <c r="BE198" s="13">
        <f>BD198*VLOOKUP('Données projet'!$B$11,Paramètres!$A$1:$I$89,3,0)*VLOOKUP('Données projet'!$B$11,Paramètres!$A$1:$I$89,5,0)</f>
        <v>5.0249582272954292E-14</v>
      </c>
      <c r="BF198" s="13">
        <f t="shared" si="167"/>
        <v>8.1784820119191593E-13</v>
      </c>
      <c r="BG198" s="20">
        <f t="shared" si="168"/>
        <v>1.5119369728679821E-12</v>
      </c>
      <c r="BH198" s="59">
        <f t="shared" si="194"/>
        <v>291.36954409266519</v>
      </c>
      <c r="BI198" s="59">
        <f ca="1">AVERAGE(OFFSET($BH$3,0,0,'Données projet'!$E$11+1,1))-AVERAGE(OFFSET($H$3,0,0,'Données projet'!$E$11+1,1))</f>
        <v>409.91320873873292</v>
      </c>
      <c r="BJ198" s="59">
        <f t="shared" si="206"/>
        <v>347.86310581860698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21.188609031668772</v>
      </c>
      <c r="BQ198" s="21">
        <f>EXP(-LN(2)/25)*BQ197+(1-EXP(-LN(2)/25))/(LN(2)/25)*Calculateur!BL198*Calculateur!BN198*VLOOKUP('Données projet'!$B$11,Paramètres!$A$1:$I$89,3,0)*0.475*44/12</f>
        <v>2.964601204028591</v>
      </c>
      <c r="BR198" s="21">
        <f>EXP(-LN(2)/2)*BR197+(1-EXP(-LN(2)/2))/(LN(2)/2)*BL198*BO198*VLOOKUP('Données projet'!$B$11,Paramètres!$A$1:$I$89,3,0)*0.475*44/12</f>
        <v>3.8567305233308749E-16</v>
      </c>
      <c r="BS198" s="22">
        <f t="shared" si="169"/>
        <v>24.153210235697362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69.464421116181001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69.464421116181001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69.464421116181001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69.464421116181001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69.464421116181001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69.464421116181001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69.464421116181001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3.25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11.916666666666666</v>
      </c>
      <c r="H199" s="67">
        <f t="shared" si="192"/>
        <v>209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69.473712212440262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5.6843418860808015E-13</v>
      </c>
      <c r="O199" s="13">
        <f>N199*VLOOKUP('Données projet'!$B$9,Paramètres!$A$1:$I$89,3,0)*VLOOKUP('Données projet'!$B$9,Paramètres!$A$1:$I$89,5,0)</f>
        <v>3.177547114319168E-13</v>
      </c>
      <c r="P199" s="13">
        <f t="shared" si="203"/>
        <v>4.1725404435445377E-12</v>
      </c>
      <c r="Q199" s="20">
        <f t="shared" si="162"/>
        <v>7.820597394917325E-12</v>
      </c>
      <c r="R199" s="59">
        <f t="shared" si="191"/>
        <v>291.40361144562218</v>
      </c>
      <c r="S199" s="59">
        <f ca="1">AVERAGE(OFFSET($R$3,0,0,'Données projet'!$E$9+1,1))-AVERAGE(OFFSET($H$3,0,0,'Données projet'!$E$9+1,1))</f>
        <v>399.91876225849921</v>
      </c>
      <c r="T199" s="59">
        <f t="shared" si="204"/>
        <v>368.64132082233505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19.029672403530089</v>
      </c>
      <c r="AA199" s="21">
        <f>EXP(-LN(2)/25)*AA198+(1-EXP(-LN(2)/25))/(LN(2)/25)*Calculateur!V199*Calculateur!X199*VLOOKUP('Données projet'!$B$9,Paramètres!$A$1:$I$89,3,0)*0.475*44/12</f>
        <v>2.3330753621128584</v>
      </c>
      <c r="AB199" s="21">
        <f>EXP(-LN(2)/2)*AB198+(1-EXP(-LN(2)/2))/(LN(2)/2)*V199*Y199*VLOOKUP('Données projet'!$B$9,Paramètres!$A$1:$I$89,3,0)*0.475*44/12</f>
        <v>8.1863253505458441E-18</v>
      </c>
      <c r="AC199" s="22">
        <f t="shared" si="163"/>
        <v>21.362747765642947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69.473712212440262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-1.064108801074326E-13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280.35802808205239</v>
      </c>
      <c r="AO199" s="59">
        <f t="shared" si="205"/>
        <v>249.32129349927175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6.3090956019449793</v>
      </c>
      <c r="AV199" s="21">
        <f>EXP(-LN(2)/25)*AV198+(1-EXP(-LN(2)/25))/(LN(2)/25)*Calculateur!AQ199*Calculateur!AS199*VLOOKUP('Données projet'!$B$10,Paramètres!$A$1:$I$89,3,0)*0.475*44/12</f>
        <v>1.0318035619422474</v>
      </c>
      <c r="AW199" s="21">
        <f>EXP(-LN(2)/2)*AW198+(1-EXP(-LN(2)/2))/(LN(2)/2)*AQ199*AT199*VLOOKUP('Données projet'!$B$10,Paramètres!$A$1:$I$89,3,0)*0.475*44/12</f>
        <v>4.5103822175510553E-20</v>
      </c>
      <c r="AX199" s="21">
        <f t="shared" si="166"/>
        <v>7.3408991638872267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69.473712212440262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1.1368683772161603E-13</v>
      </c>
      <c r="BE199" s="13">
        <f>BD199*VLOOKUP('Données projet'!$B$11,Paramètres!$A$1:$I$89,3,0)*VLOOKUP('Données projet'!$B$11,Paramètres!$A$1:$I$89,5,0)</f>
        <v>5.0249582272954292E-14</v>
      </c>
      <c r="BF199" s="13">
        <f t="shared" si="167"/>
        <v>8.1784820119191593E-13</v>
      </c>
      <c r="BG199" s="20">
        <f t="shared" si="168"/>
        <v>1.5119369728679821E-12</v>
      </c>
      <c r="BH199" s="59">
        <f t="shared" si="194"/>
        <v>291.40361144561587</v>
      </c>
      <c r="BI199" s="59">
        <f ca="1">AVERAGE(OFFSET($BH$3,0,0,'Données projet'!$E$11+1,1))-AVERAGE(OFFSET($H$3,0,0,'Données projet'!$E$11+1,1))</f>
        <v>409.91320873873292</v>
      </c>
      <c r="BJ199" s="59">
        <f t="shared" si="206"/>
        <v>347.86310581860698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20.773113332333139</v>
      </c>
      <c r="BQ199" s="21">
        <f>EXP(-LN(2)/25)*BQ198+(1-EXP(-LN(2)/25))/(LN(2)/25)*Calculateur!BL199*Calculateur!BN199*VLOOKUP('Données projet'!$B$11,Paramètres!$A$1:$I$89,3,0)*0.475*44/12</f>
        <v>2.8835340282028277</v>
      </c>
      <c r="BR199" s="21">
        <f>EXP(-LN(2)/2)*BR198+(1-EXP(-LN(2)/2))/(LN(2)/2)*BL199*BO199*VLOOKUP('Données projet'!$B$11,Paramètres!$A$1:$I$89,3,0)*0.475*44/12</f>
        <v>2.7271203062564038E-16</v>
      </c>
      <c r="BS199" s="22">
        <f t="shared" si="169"/>
        <v>23.656647360535967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69.473712212440262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69.473712212440262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69.473712212440262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69.473712212440262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69.473712212440262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69.473712212440262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69.473712212440262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3.25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11.916666666666666</v>
      </c>
      <c r="H200" s="67">
        <f t="shared" si="192"/>
        <v>209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69.482842128951191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5.6843418860808015E-13</v>
      </c>
      <c r="O200" s="13">
        <f>N200*VLOOKUP('Données projet'!$B$9,Paramètres!$A$1:$I$89,3,0)*VLOOKUP('Données projet'!$B$9,Paramètres!$A$1:$I$89,5,0)</f>
        <v>3.177547114319168E-13</v>
      </c>
      <c r="P200" s="13">
        <f t="shared" si="203"/>
        <v>4.1725404435445377E-12</v>
      </c>
      <c r="Q200" s="20">
        <f t="shared" si="162"/>
        <v>7.820597394917325E-12</v>
      </c>
      <c r="R200" s="59">
        <f t="shared" si="191"/>
        <v>291.4370878061622</v>
      </c>
      <c r="S200" s="59">
        <f ca="1">AVERAGE(OFFSET($R$3,0,0,'Données projet'!$E$9+1,1))-AVERAGE(OFFSET($H$3,0,0,'Données projet'!$E$9+1,1))</f>
        <v>399.91876225849921</v>
      </c>
      <c r="T200" s="59">
        <f t="shared" si="204"/>
        <v>368.64132082233505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18.656512134650939</v>
      </c>
      <c r="AA200" s="21">
        <f>EXP(-LN(2)/25)*AA199+(1-EXP(-LN(2)/25))/(LN(2)/25)*Calculateur!V200*Calculateur!X200*VLOOKUP('Données projet'!$B$9,Paramètres!$A$1:$I$89,3,0)*0.475*44/12</f>
        <v>2.2692772936447811</v>
      </c>
      <c r="AB200" s="21">
        <f>EXP(-LN(2)/2)*AB199+(1-EXP(-LN(2)/2))/(LN(2)/2)*V200*Y200*VLOOKUP('Données projet'!$B$9,Paramètres!$A$1:$I$89,3,0)*0.475*44/12</f>
        <v>5.7886061683703073E-18</v>
      </c>
      <c r="AC200" s="22">
        <f t="shared" si="163"/>
        <v>20.925789428295719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69.482842128951191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-1.064108801074326E-13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280.35802808205239</v>
      </c>
      <c r="AO200" s="59">
        <f t="shared" si="205"/>
        <v>249.32129349927175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6.1853780853591802</v>
      </c>
      <c r="AV200" s="21">
        <f>EXP(-LN(2)/25)*AV199+(1-EXP(-LN(2)/25))/(LN(2)/25)*Calculateur!AQ200*Calculateur!AS200*VLOOKUP('Données projet'!$B$10,Paramètres!$A$1:$I$89,3,0)*0.475*44/12</f>
        <v>1.0035888392807455</v>
      </c>
      <c r="AW200" s="21">
        <f>EXP(-LN(2)/2)*AW199+(1-EXP(-LN(2)/2))/(LN(2)/2)*AQ200*AT200*VLOOKUP('Données projet'!$B$10,Paramètres!$A$1:$I$89,3,0)*0.475*44/12</f>
        <v>3.189321851773569E-20</v>
      </c>
      <c r="AX200" s="21">
        <f t="shared" si="166"/>
        <v>7.1889669246399261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69.482842128951191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1.1368683772161603E-13</v>
      </c>
      <c r="BE200" s="13">
        <f>BD200*VLOOKUP('Données projet'!$B$11,Paramètres!$A$1:$I$89,3,0)*VLOOKUP('Données projet'!$B$11,Paramètres!$A$1:$I$89,5,0)</f>
        <v>5.0249582272954292E-14</v>
      </c>
      <c r="BF200" s="13">
        <f t="shared" si="167"/>
        <v>8.1784820119191593E-13</v>
      </c>
      <c r="BG200" s="20">
        <f t="shared" si="168"/>
        <v>1.5119369728679821E-12</v>
      </c>
      <c r="BH200" s="59">
        <f t="shared" si="194"/>
        <v>291.43708780615589</v>
      </c>
      <c r="BI200" s="59">
        <f ca="1">AVERAGE(OFFSET($BH$3,0,0,'Données projet'!$E$11+1,1))-AVERAGE(OFFSET($H$3,0,0,'Données projet'!$E$11+1,1))</f>
        <v>409.91320873873292</v>
      </c>
      <c r="BJ200" s="59">
        <f t="shared" si="206"/>
        <v>347.86310581860698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20.365765250234126</v>
      </c>
      <c r="BQ200" s="21">
        <f>EXP(-LN(2)/25)*BQ199+(1-EXP(-LN(2)/25))/(LN(2)/25)*Calculateur!BL200*Calculateur!BN200*VLOOKUP('Données projet'!$B$11,Paramètres!$A$1:$I$89,3,0)*0.475*44/12</f>
        <v>2.8046836385631573</v>
      </c>
      <c r="BR200" s="21">
        <f>EXP(-LN(2)/2)*BR199+(1-EXP(-LN(2)/2))/(LN(2)/2)*BL200*BO200*VLOOKUP('Données projet'!$B$11,Paramètres!$A$1:$I$89,3,0)*0.475*44/12</f>
        <v>1.9283652616654375E-16</v>
      </c>
      <c r="BS200" s="22">
        <f t="shared" si="169"/>
        <v>23.170448888797285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69.482842128951191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69.482842128951191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69.482842128951191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69.482842128951191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69.482842128951191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69.482842128951191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69.482842128951191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3.25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11.916666666666666</v>
      </c>
      <c r="H201" s="67">
        <f t="shared" si="192"/>
        <v>209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69.491813661822107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5.6843418860808015E-13</v>
      </c>
      <c r="O201" s="13">
        <f>N201*VLOOKUP('Données projet'!$B$9,Paramètres!$A$1:$I$89,3,0)*VLOOKUP('Données projet'!$B$9,Paramètres!$A$1:$I$89,5,0)</f>
        <v>3.177547114319168E-13</v>
      </c>
      <c r="P201" s="13">
        <f t="shared" si="203"/>
        <v>4.1725404435445377E-12</v>
      </c>
      <c r="Q201" s="20">
        <f t="shared" si="162"/>
        <v>7.820597394917325E-12</v>
      </c>
      <c r="R201" s="59">
        <f t="shared" si="191"/>
        <v>291.46998342668888</v>
      </c>
      <c r="S201" s="59">
        <f ca="1">AVERAGE(OFFSET($R$3,0,0,'Données projet'!$E$9+1,1))-AVERAGE(OFFSET($H$3,0,0,'Données projet'!$E$9+1,1))</f>
        <v>399.91876225849921</v>
      </c>
      <c r="T201" s="59">
        <f t="shared" si="204"/>
        <v>368.64132082233505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18.290669311039217</v>
      </c>
      <c r="AA201" s="21">
        <f>EXP(-LN(2)/25)*AA200+(1-EXP(-LN(2)/25))/(LN(2)/25)*Calculateur!V201*Calculateur!X201*VLOOKUP('Données projet'!$B$9,Paramètres!$A$1:$I$89,3,0)*0.475*44/12</f>
        <v>2.2072237867139584</v>
      </c>
      <c r="AB201" s="21">
        <f>EXP(-LN(2)/2)*AB200+(1-EXP(-LN(2)/2))/(LN(2)/2)*V201*Y201*VLOOKUP('Données projet'!$B$9,Paramètres!$A$1:$I$89,3,0)*0.475*44/12</f>
        <v>4.0931626752729221E-18</v>
      </c>
      <c r="AC201" s="22">
        <f t="shared" si="163"/>
        <v>20.497893097753174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69.491813661822107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-1.064108801074326E-13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280.35802808205239</v>
      </c>
      <c r="AO201" s="59">
        <f t="shared" si="205"/>
        <v>249.32129349927175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6.0640865938133945</v>
      </c>
      <c r="AV201" s="21">
        <f>EXP(-LN(2)/25)*AV200+(1-EXP(-LN(2)/25))/(LN(2)/25)*Calculateur!AQ201*Calculateur!AS201*VLOOKUP('Données projet'!$B$10,Paramètres!$A$1:$I$89,3,0)*0.475*44/12</f>
        <v>0.97614564969417017</v>
      </c>
      <c r="AW201" s="21">
        <f>EXP(-LN(2)/2)*AW200+(1-EXP(-LN(2)/2))/(LN(2)/2)*AQ201*AT201*VLOOKUP('Données projet'!$B$10,Paramètres!$A$1:$I$89,3,0)*0.475*44/12</f>
        <v>2.2551911087755276E-20</v>
      </c>
      <c r="AX201" s="21">
        <f t="shared" si="166"/>
        <v>7.0402322435075648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69.491813661822107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1.1368683772161603E-13</v>
      </c>
      <c r="BE201" s="13">
        <f>BD201*VLOOKUP('Données projet'!$B$11,Paramètres!$A$1:$I$89,3,0)*VLOOKUP('Données projet'!$B$11,Paramètres!$A$1:$I$89,5,0)</f>
        <v>5.0249582272954292E-14</v>
      </c>
      <c r="BF201" s="13">
        <f t="shared" si="167"/>
        <v>8.1784820119191593E-13</v>
      </c>
      <c r="BG201" s="20">
        <f t="shared" si="168"/>
        <v>1.5119369728679821E-12</v>
      </c>
      <c r="BH201" s="59">
        <f t="shared" si="194"/>
        <v>291.46998342668257</v>
      </c>
      <c r="BI201" s="59">
        <f ca="1">AVERAGE(OFFSET($BH$3,0,0,'Données projet'!$E$11+1,1))-AVERAGE(OFFSET($H$3,0,0,'Données projet'!$E$11+1,1))</f>
        <v>409.91320873873292</v>
      </c>
      <c r="BJ201" s="59">
        <f t="shared" si="206"/>
        <v>347.86310581860698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19.966405015567279</v>
      </c>
      <c r="BQ201" s="21">
        <f>EXP(-LN(2)/25)*BQ200+(1-EXP(-LN(2)/25))/(LN(2)/25)*Calculateur!BL201*Calculateur!BN201*VLOOKUP('Données projet'!$B$11,Paramètres!$A$1:$I$89,3,0)*0.475*44/12</f>
        <v>2.7279894169747454</v>
      </c>
      <c r="BR201" s="21">
        <f>EXP(-LN(2)/2)*BR200+(1-EXP(-LN(2)/2))/(LN(2)/2)*BL201*BO201*VLOOKUP('Données projet'!$B$11,Paramètres!$A$1:$I$89,3,0)*0.475*44/12</f>
        <v>1.3635601531282019E-16</v>
      </c>
      <c r="BS201" s="22">
        <f t="shared" si="169"/>
        <v>22.694394432542026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69.491813661822107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69.491813661822107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69.491813661822107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69.491813661822107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69.491813661822107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69.491813661822107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69.491813661822107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3.25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11.916666666666666</v>
      </c>
      <c r="H202" s="67">
        <f t="shared" si="192"/>
        <v>209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69.500629558655049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5.6843418860808015E-13</v>
      </c>
      <c r="O202" s="13">
        <f>N202*VLOOKUP('Données projet'!$B$9,Paramètres!$A$1:$I$89,3,0)*VLOOKUP('Données projet'!$B$9,Paramètres!$A$1:$I$89,5,0)</f>
        <v>3.177547114319168E-13</v>
      </c>
      <c r="P202" s="13">
        <f t="shared" si="203"/>
        <v>4.1725404435445377E-12</v>
      </c>
      <c r="Q202" s="20">
        <f t="shared" si="162"/>
        <v>7.820597394917325E-12</v>
      </c>
      <c r="R202" s="59">
        <f t="shared" si="191"/>
        <v>291.50230838174303</v>
      </c>
      <c r="S202" s="59">
        <f ca="1">AVERAGE(OFFSET($R$3,0,0,'Données projet'!$E$9+1,1))-AVERAGE(OFFSET($H$3,0,0,'Données projet'!$E$9+1,1))</f>
        <v>399.91876225849921</v>
      </c>
      <c r="T202" s="59">
        <f t="shared" si="204"/>
        <v>368.64132082233505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17.932000442056435</v>
      </c>
      <c r="AA202" s="21">
        <f>EXP(-LN(2)/25)*AA201+(1-EXP(-LN(2)/25))/(LN(2)/25)*Calculateur!V202*Calculateur!X202*VLOOKUP('Données projet'!$B$9,Paramètres!$A$1:$I$89,3,0)*0.475*44/12</f>
        <v>2.1468671361934111</v>
      </c>
      <c r="AB202" s="21">
        <f>EXP(-LN(2)/2)*AB201+(1-EXP(-LN(2)/2))/(LN(2)/2)*V202*Y202*VLOOKUP('Données projet'!$B$9,Paramètres!$A$1:$I$89,3,0)*0.475*44/12</f>
        <v>2.8943030841851536E-18</v>
      </c>
      <c r="AC202" s="22">
        <f t="shared" si="163"/>
        <v>20.078867578249845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69.500629558655049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-1.064108801074326E-13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280.35802808205239</v>
      </c>
      <c r="AO202" s="59">
        <f t="shared" si="205"/>
        <v>249.32129349927175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5.9451735544363169</v>
      </c>
      <c r="AV202" s="21">
        <f>EXP(-LN(2)/25)*AV201+(1-EXP(-LN(2)/25))/(LN(2)/25)*Calculateur!AQ202*Calculateur!AS202*VLOOKUP('Données projet'!$B$10,Paramètres!$A$1:$I$89,3,0)*0.475*44/12</f>
        <v>0.94945289557001433</v>
      </c>
      <c r="AW202" s="21">
        <f>EXP(-LN(2)/2)*AW201+(1-EXP(-LN(2)/2))/(LN(2)/2)*AQ202*AT202*VLOOKUP('Données projet'!$B$10,Paramètres!$A$1:$I$89,3,0)*0.475*44/12</f>
        <v>1.5946609258867845E-20</v>
      </c>
      <c r="AX202" s="21">
        <f t="shared" si="166"/>
        <v>6.8946264500063315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69.500629558655049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1.1368683772161603E-13</v>
      </c>
      <c r="BE202" s="13">
        <f>BD202*VLOOKUP('Données projet'!$B$11,Paramètres!$A$1:$I$89,3,0)*VLOOKUP('Données projet'!$B$11,Paramètres!$A$1:$I$89,5,0)</f>
        <v>5.0249582272954292E-14</v>
      </c>
      <c r="BF202" s="13">
        <f t="shared" si="167"/>
        <v>8.1784820119191593E-13</v>
      </c>
      <c r="BG202" s="20">
        <f t="shared" si="168"/>
        <v>1.5119369728679821E-12</v>
      </c>
      <c r="BH202" s="59">
        <f t="shared" si="194"/>
        <v>291.50230838173673</v>
      </c>
      <c r="BI202" s="59">
        <f ca="1">AVERAGE(OFFSET($BH$3,0,0,'Données projet'!$E$11+1,1))-AVERAGE(OFFSET($H$3,0,0,'Données projet'!$E$11+1,1))</f>
        <v>409.91320873873292</v>
      </c>
      <c r="BJ202" s="59">
        <f t="shared" si="206"/>
        <v>347.86310581860698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19.574875991516556</v>
      </c>
      <c r="BQ202" s="21">
        <f>EXP(-LN(2)/25)*BQ201+(1-EXP(-LN(2)/25))/(LN(2)/25)*Calculateur!BL202*Calculateur!BN202*VLOOKUP('Données projet'!$B$11,Paramètres!$A$1:$I$89,3,0)*0.475*44/12</f>
        <v>2.6533924029088425</v>
      </c>
      <c r="BR202" s="21">
        <f>EXP(-LN(2)/2)*BR201+(1-EXP(-LN(2)/2))/(LN(2)/2)*BL202*BO202*VLOOKUP('Données projet'!$B$11,Paramètres!$A$1:$I$89,3,0)*0.475*44/12</f>
        <v>9.6418263083271873E-17</v>
      </c>
      <c r="BS202" s="22">
        <f t="shared" si="169"/>
        <v>22.228268394425399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69.500629558655049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69.500629558655049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69.500629558655049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69.500629558655049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69.500629558655049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69.500629558655049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69.500629558655049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3.25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53.75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11.916666666666666</v>
      </c>
      <c r="H203" s="67">
        <f t="shared" si="192"/>
        <v>209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69.50929251938733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5.6843418860808015E-13</v>
      </c>
      <c r="O203" s="13">
        <f>N203*VLOOKUP('Données projet'!$B$9,Paramètres!$A$1:$I$89,3,0)*VLOOKUP('Données projet'!$B$9,Paramètres!$A$1:$I$89,5,0)</f>
        <v>3.177547114319168E-13</v>
      </c>
      <c r="P203" s="13">
        <f t="shared" si="203"/>
        <v>4.1725404435445377E-12</v>
      </c>
      <c r="Q203" s="20">
        <f t="shared" si="162"/>
        <v>7.820597394917325E-12</v>
      </c>
      <c r="R203" s="59">
        <f t="shared" si="191"/>
        <v>291.53407257109473</v>
      </c>
      <c r="S203" s="59">
        <f ca="1">AVERAGE(OFFSET($R$3,0,0,'Données projet'!$E$9+1,1))-AVERAGE(OFFSET($H$3,0,0,'Données projet'!$E$9+1,1))</f>
        <v>399.91876225849921</v>
      </c>
      <c r="T203" s="59">
        <f t="shared" si="204"/>
        <v>368.64132082233505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17.580364850827994</v>
      </c>
      <c r="AA203" s="21">
        <f>EXP(-LN(2)/25)*AA202+(1-EXP(-LN(2)/25))/(LN(2)/25)*Calculateur!V203*Calculateur!X203*VLOOKUP('Données projet'!$B$9,Paramètres!$A$1:$I$89,3,0)*0.475*44/12</f>
        <v>2.0881609414553663</v>
      </c>
      <c r="AB203" s="21">
        <f>EXP(-LN(2)/2)*AB202+(1-EXP(-LN(2)/2))/(LN(2)/2)*V203*Y203*VLOOKUP('Données projet'!$B$9,Paramètres!$A$1:$I$89,3,0)*0.475*44/12</f>
        <v>2.046581337636461E-18</v>
      </c>
      <c r="AC203" s="22">
        <f t="shared" si="163"/>
        <v>19.668525792283361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69.50929251938733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-1.064108801074326E-13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280.35802808205239</v>
      </c>
      <c r="AO203" s="59">
        <f t="shared" si="205"/>
        <v>249.32129349927175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5.8285923272316316</v>
      </c>
      <c r="AV203" s="21">
        <f>EXP(-LN(2)/25)*AV202+(1-EXP(-LN(2)/25))/(LN(2)/25)*Calculateur!AQ203*Calculateur!AS203*VLOOKUP('Données projet'!$B$10,Paramètres!$A$1:$I$89,3,0)*0.475*44/12</f>
        <v>0.92349005621109448</v>
      </c>
      <c r="AW203" s="21">
        <f>EXP(-LN(2)/2)*AW202+(1-EXP(-LN(2)/2))/(LN(2)/2)*AQ203*AT203*VLOOKUP('Données projet'!$B$10,Paramètres!$A$1:$I$89,3,0)*0.475*44/12</f>
        <v>1.1275955543877638E-20</v>
      </c>
      <c r="AX203" s="21">
        <f t="shared" si="166"/>
        <v>6.7520823834427262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69.50929251938733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1.1368683772161603E-13</v>
      </c>
      <c r="BE203" s="13">
        <f>BD203*VLOOKUP('Données projet'!$B$11,Paramètres!$A$1:$I$89,3,0)*VLOOKUP('Données projet'!$B$11,Paramètres!$A$1:$I$89,5,0)</f>
        <v>5.0249582272954292E-14</v>
      </c>
      <c r="BF203" s="13">
        <f t="shared" si="167"/>
        <v>8.1784820119191593E-13</v>
      </c>
      <c r="BG203" s="20">
        <f t="shared" si="168"/>
        <v>1.5119369728679821E-12</v>
      </c>
      <c r="BH203" s="59">
        <f t="shared" si="194"/>
        <v>291.53407257108842</v>
      </c>
      <c r="BI203" s="59">
        <f ca="1">AVERAGE(OFFSET($BH$3,0,0,'Données projet'!$E$11+1,1))-AVERAGE(OFFSET($H$3,0,0,'Données projet'!$E$11+1,1))</f>
        <v>409.91320873873292</v>
      </c>
      <c r="BJ203" s="59">
        <f t="shared" si="206"/>
        <v>347.86310581860698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19.191024612818346</v>
      </c>
      <c r="BQ203" s="21">
        <f>EXP(-LN(2)/25)*BQ202+(1-EXP(-LN(2)/25))/(LN(2)/25)*Calculateur!BL203*Calculateur!BN203*VLOOKUP('Données projet'!$B$11,Paramètres!$A$1:$I$89,3,0)*0.475*44/12</f>
        <v>2.5808352481154579</v>
      </c>
      <c r="BR203" s="21">
        <f>EXP(-LN(2)/2)*BR202+(1-EXP(-LN(2)/2))/(LN(2)/2)*BL203*BO203*VLOOKUP('Données projet'!$B$11,Paramètres!$A$1:$I$89,3,0)*0.475*44/12</f>
        <v>6.8178007656410096E-17</v>
      </c>
      <c r="BS203" s="22">
        <f t="shared" si="169"/>
        <v>21.771859860933805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69.50929251938733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69.50929251938733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69.50929251938733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69.50929251938733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69.50929251938733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69.50929251938733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69.50929251938733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1.2855297099408214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1.2235261841298362</v>
      </c>
      <c r="BA205" s="82">
        <f>EXP(LN('Données projet'!B88)/'Données projet'!A88)</f>
        <v>1.277483324775911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90625" style="4" bestFit="1" customWidth="1"/>
    <col min="4" max="4" width="40" style="4" bestFit="1" customWidth="1"/>
    <col min="5" max="5" width="11.9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D1" zoomScale="90" zoomScaleNormal="90" workbookViewId="0">
      <selection activeCell="L21" sqref="L21"/>
    </sheetView>
  </sheetViews>
  <sheetFormatPr baseColWidth="10" defaultColWidth="11.453125" defaultRowHeight="14.5" x14ac:dyDescent="0.35"/>
  <cols>
    <col min="1" max="1" width="22.9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Douglas</v>
      </c>
      <c r="B6" s="146">
        <f>'Données projet'!D9</f>
        <v>3.1008</v>
      </c>
      <c r="C6" s="147">
        <f ca="1">IF(OR('Données projet'!B9="",'Données projet'!C9="",'Données projet'!C9=0%),0,Calculateur!S3)</f>
        <v>399.91876225849921</v>
      </c>
      <c r="D6" s="147">
        <f>IF(OR('Données projet'!B9="",'Données projet'!C9="",'Données projet'!C9=0%),0,Calculateur!T3)</f>
        <v>368.64132082233505</v>
      </c>
      <c r="E6" s="147">
        <f ca="1">MIN(C6,D6)</f>
        <v>368.64132082233505</v>
      </c>
      <c r="F6" s="147">
        <f ca="1">E6*B6</f>
        <v>1143.0830076058965</v>
      </c>
      <c r="G6" s="147">
        <f ca="1">F6*(100%-'Données projet'!$C$24)*(100%-'Données projet'!$C$25)*(100%-'Données projet'!$C$26)*(100%-'Données projet'!$C$27)</f>
        <v>874.45850081851074</v>
      </c>
      <c r="H6" s="148">
        <f>IF(OR('Données projet'!B9="",'Données projet'!C9="",'Données projet'!C9=0%),0,AVERAGE(Calculateur!$AC$3:$AC$33)*B6)</f>
        <v>28.366180647752479</v>
      </c>
      <c r="I6" s="149">
        <f>H6*(100%-'Données projet'!$C$24)*(100%-'Données projet'!$C$25)*(100%-'Données projet'!$C$26)*(100%-'Données projet'!$C$27)</f>
        <v>21.700128195530645</v>
      </c>
      <c r="J6" s="150">
        <f>IF(OR('Données projet'!B9="",'Données projet'!C9="",'Données projet'!C9=0%),0,SUM(Calculateur!$V$3:$V$33)*VLOOKUP('Données projet'!$B$9,Paramètres!$A$1:$I$89,9,0)*B6)</f>
        <v>176.32141055999998</v>
      </c>
      <c r="K6" s="151">
        <f>J6*(100%-'Données projet'!$C$24)*(100%-'Données projet'!$C$25)*(100%-'Données projet'!$C$26)*(100%-'Données projet'!$C$27)</f>
        <v>134.88587907839997</v>
      </c>
      <c r="L6" s="152">
        <f ca="1">G6+I6+K6</f>
        <v>1031.0445080924414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Epicéa de Sitka</v>
      </c>
      <c r="B7" s="154">
        <f>'Données projet'!D10</f>
        <v>4.6511999999999993</v>
      </c>
      <c r="C7" s="147">
        <f ca="1">IF(OR('Données projet'!B10="",'Données projet'!C10="",'Données projet'!C10=0%),0,Calculateur!AN3)</f>
        <v>280.35802808205239</v>
      </c>
      <c r="D7" s="147">
        <f>IF(OR('Données projet'!B10="",'Données projet'!C10="",'Données projet'!C10=0%),0,Calculateur!AO3)</f>
        <v>249.32129349927175</v>
      </c>
      <c r="E7" s="147">
        <f t="shared" ref="E7:E15" ca="1" si="0">MIN(C7,D7)</f>
        <v>249.32129349927175</v>
      </c>
      <c r="F7" s="147">
        <f t="shared" ref="F7:F15" ca="1" si="1">E7*B7</f>
        <v>1159.6432003238126</v>
      </c>
      <c r="G7" s="147">
        <f ca="1">F7*(100%-'Données projet'!$C$24)*(100%-'Données projet'!$C$25)*(100%-'Données projet'!$C$26)*(100%-'Données projet'!$C$27)</f>
        <v>887.12704824771663</v>
      </c>
      <c r="H7" s="155">
        <f>IF(OR('Données projet'!B10="",'Données projet'!C10="",'Données projet'!C10=0%),0,AVERAGE(Calculateur!$AX$3:$AX$33)*B7)</f>
        <v>19.757230191817829</v>
      </c>
      <c r="I7" s="149">
        <f>H7*(100%-'Données projet'!$C$24)*(100%-'Données projet'!$C$25)*(100%-'Données projet'!$C$26)*(100%-'Données projet'!$C$27)</f>
        <v>15.11428109674064</v>
      </c>
      <c r="J7" s="150">
        <f>IF(OR('Données projet'!B10="",'Données projet'!C10="",'Données projet'!C10=0%),0,SUM(Calculateur!$AQ$3:$AQ$33)*VLOOKUP('Données projet'!$B$10,Paramètres!$A$1:$I$89,9,0)*B7)</f>
        <v>208.00166399999998</v>
      </c>
      <c r="K7" s="151">
        <f>J7*(100%-'Données projet'!$C$24)*(100%-'Données projet'!$C$25)*(100%-'Données projet'!$C$26)*(100%-'Données projet'!$C$27)</f>
        <v>159.12127295999997</v>
      </c>
      <c r="L7" s="152">
        <f t="shared" ref="L7:L15" ca="1" si="2">G7+I7+K7</f>
        <v>1061.3626023044574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Séquoia toujours vert</v>
      </c>
      <c r="B8" s="154">
        <f>'Données projet'!D11</f>
        <v>0.40800000000000003</v>
      </c>
      <c r="C8" s="147">
        <f ca="1">IF(OR('Données projet'!B11="",'Données projet'!C11="",'Données projet'!C11=0%),0,Calculateur!BI3)</f>
        <v>409.91320873873292</v>
      </c>
      <c r="D8" s="147">
        <f>IF(OR('Données projet'!B11="",'Données projet'!C11="",'Données projet'!C11=0%),0,Calculateur!BJ3)</f>
        <v>347.86310581860698</v>
      </c>
      <c r="E8" s="147">
        <f t="shared" ca="1" si="0"/>
        <v>347.86310581860698</v>
      </c>
      <c r="F8" s="147">
        <f t="shared" ca="1" si="1"/>
        <v>141.92814717399165</v>
      </c>
      <c r="G8" s="147">
        <f ca="1">F8*(100%-'Données projet'!$C$24)*(100%-'Données projet'!$C$25)*(100%-'Données projet'!$C$26)*(100%-'Données projet'!$C$27)</f>
        <v>108.57503258810361</v>
      </c>
      <c r="H8" s="155">
        <f>IF(OR('Données projet'!B11="",'Données projet'!C11="",'Données projet'!C11=0%),0,AVERAGE(Calculateur!$BS$3:$BS$33)*B8)</f>
        <v>1.8983039405080668</v>
      </c>
      <c r="I8" s="149">
        <f>H8*(100%-'Données projet'!$C$24)*(100%-'Données projet'!$C$25)*(100%-'Données projet'!$C$26)*(100%-'Données projet'!$C$27)</f>
        <v>1.4522025144886712</v>
      </c>
      <c r="J8" s="150">
        <f>IF(OR('Données projet'!B11="",'Données projet'!C11="",'Données projet'!C11=0%),0,SUM(Calculateur!$BL$3:$BL$33)*VLOOKUP('Données projet'!$B$11,Paramètres!$A$1:$I$89,9,0)*B8)</f>
        <v>22.98264</v>
      </c>
      <c r="K8" s="151">
        <f>J8*(100%-'Données projet'!$C$24)*(100%-'Données projet'!$C$25)*(100%-'Données projet'!$C$26)*(100%-'Données projet'!$C$27)</f>
        <v>17.5817196</v>
      </c>
      <c r="L8" s="152">
        <f t="shared" ca="1" si="2"/>
        <v>127.60895470259229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2444.6543551037003</v>
      </c>
      <c r="G16" s="166">
        <f t="shared" ca="1" si="3"/>
        <v>1870.1605816543311</v>
      </c>
      <c r="H16" s="167">
        <f t="shared" si="3"/>
        <v>50.021714780078376</v>
      </c>
      <c r="I16" s="167">
        <f t="shared" si="3"/>
        <v>38.266611806759954</v>
      </c>
      <c r="J16" s="168">
        <f t="shared" si="3"/>
        <v>407.30571455999996</v>
      </c>
      <c r="K16" s="168">
        <f t="shared" si="3"/>
        <v>311.58887163839989</v>
      </c>
      <c r="L16" s="169">
        <f t="shared" ca="1" si="3"/>
        <v>2220.0160650994912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Epicéa de Sitka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Séquoia toujours vert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5" zoomScale="80" zoomScaleNormal="80" workbookViewId="0">
      <selection activeCell="C60" sqref="C60"/>
    </sheetView>
  </sheetViews>
  <sheetFormatPr baseColWidth="10" defaultColWidth="11.453125" defaultRowHeight="14.5" x14ac:dyDescent="0.35"/>
  <cols>
    <col min="1" max="1" width="11.453125" style="1"/>
    <col min="2" max="2" width="30.9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54296875" style="1" customWidth="1"/>
    <col min="8" max="8" width="21.6328125" style="1" customWidth="1"/>
    <col min="9" max="9" width="37" style="1" customWidth="1"/>
    <col min="10" max="10" width="11.453125" style="1"/>
    <col min="11" max="11" width="8.9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9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5019.6259947260805</v>
      </c>
      <c r="U10" s="178">
        <f>'Données projet'!D9</f>
        <v>3.1008</v>
      </c>
      <c r="V10" s="177">
        <f>U10*T10</f>
        <v>15564.856284446631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Epicéa de Sitka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2636.1320251526886</v>
      </c>
      <c r="U11" s="178">
        <f>'Données projet'!D10</f>
        <v>4.6511999999999993</v>
      </c>
      <c r="V11" s="177">
        <f t="shared" ref="V11" si="0">U11*T11</f>
        <v>12261.177275390184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Séquoia toujours vert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2364.4637678347599</v>
      </c>
      <c r="U12" s="178">
        <f>'Données projet'!D11</f>
        <v>0.40800000000000003</v>
      </c>
      <c r="V12" s="177">
        <f t="shared" ref="V12:V19" si="1">U12*T12</f>
        <v>964.70121727658216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f>(4450+3264+4456+969+1334+118+7068+15575+6128)/8.16</f>
        <v>5313.9705882352937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4000/8.16</f>
        <v>490.19607843137254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 t="shared" ref="I22:I24" si="2">4000/8.16</f>
        <v>490.19607843137254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21</v>
      </c>
      <c r="B23" s="181">
        <f>'Données projet'!D36</f>
        <v>64.599999999999994</v>
      </c>
      <c r="C23" s="193">
        <v>12.796874999999998</v>
      </c>
      <c r="D23" s="182">
        <f>B23*C23</f>
        <v>826.6781249999998</v>
      </c>
      <c r="E23" s="193">
        <v>60</v>
      </c>
      <c r="F23" s="230"/>
      <c r="H23" s="190">
        <v>4</v>
      </c>
      <c r="I23" s="191">
        <f t="shared" si="2"/>
        <v>490.19607843137254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-26436.157846536622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28</v>
      </c>
      <c r="B24" s="181">
        <f>'Données projet'!D37</f>
        <v>67.639999999999986</v>
      </c>
      <c r="C24" s="193">
        <v>12.796874999999998</v>
      </c>
      <c r="D24" s="182">
        <f t="shared" ref="D24:D42" si="3">B24*C24</f>
        <v>865.58062499999971</v>
      </c>
      <c r="E24" s="193">
        <v>60</v>
      </c>
      <c r="F24" s="233"/>
      <c r="H24" s="190">
        <v>5</v>
      </c>
      <c r="I24" s="191">
        <f t="shared" si="2"/>
        <v>490.19607843137254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24370.858082348412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35</v>
      </c>
      <c r="B25" s="181">
        <f>'Données projet'!D38</f>
        <v>86.700000000000045</v>
      </c>
      <c r="C25" s="193">
        <v>48.555</v>
      </c>
      <c r="D25" s="182">
        <f t="shared" si="3"/>
        <v>4209.7185000000018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140</v>
      </c>
      <c r="Q25" s="234"/>
      <c r="R25" s="23"/>
      <c r="S25" s="186" t="s">
        <v>266</v>
      </c>
      <c r="T25" s="299">
        <f ca="1">T23-T24</f>
        <v>-50807.015928885034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42</v>
      </c>
      <c r="B26" s="181">
        <f>'Données projet'!D39</f>
        <v>100.04000000000002</v>
      </c>
      <c r="C26" s="193">
        <v>48.555</v>
      </c>
      <c r="D26" s="182">
        <f t="shared" si="3"/>
        <v>4857.4422000000013</v>
      </c>
      <c r="E26" s="193">
        <v>60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49</v>
      </c>
      <c r="B27" s="181">
        <f>'Données projet'!D40</f>
        <v>112.69999999999999</v>
      </c>
      <c r="C27" s="193">
        <v>48.555</v>
      </c>
      <c r="D27" s="182">
        <f t="shared" si="3"/>
        <v>5472.1484999999993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56</v>
      </c>
      <c r="B28" s="181">
        <f>'Données projet'!D41</f>
        <v>94.669999999999959</v>
      </c>
      <c r="C28" s="193">
        <v>48.555</v>
      </c>
      <c r="D28" s="182">
        <f t="shared" si="3"/>
        <v>4596.7018499999976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63</v>
      </c>
      <c r="B29" s="181">
        <f>'Données projet'!D42</f>
        <v>99.599999999999966</v>
      </c>
      <c r="C29" s="193">
        <v>48.555</v>
      </c>
      <c r="D29" s="182">
        <f t="shared" si="3"/>
        <v>4836.0779999999986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70</v>
      </c>
      <c r="B30" s="181">
        <f>'Données projet'!D43</f>
        <v>586.86</v>
      </c>
      <c r="C30" s="193">
        <v>56.74499999999999</v>
      </c>
      <c r="D30" s="182">
        <f t="shared" si="3"/>
        <v>33301.370699999992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2986.6247649936777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3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3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3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140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3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133.97129186602871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3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128.20219317323324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3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122.6815245676873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3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117.39858810305009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3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112.34314651009578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3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107.50540335894335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3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102.87598407554387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3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98.445917775640098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3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94.206619880995319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90.149875484206063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86.267823429862261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Epicéa de Sitka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82.552941081207919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78.998029742782691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75.59620071079685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72.340861924207516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69.225705190629228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66.244693962324618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63.392051638588164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60.662250371854704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58.050000355841838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25</v>
      </c>
      <c r="B54" s="181">
        <f>'Données projet'!D62</f>
        <v>52</v>
      </c>
      <c r="C54" s="191">
        <v>11.7</v>
      </c>
      <c r="D54" s="179">
        <f>B54*C54</f>
        <v>608.4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55.550239574968259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29</v>
      </c>
      <c r="B55" s="181">
        <f>'Données projet'!D63</f>
        <v>52</v>
      </c>
      <c r="C55" s="191">
        <v>11.7</v>
      </c>
      <c r="D55" s="179">
        <f t="shared" ref="D55:D73" si="5">B55*C55</f>
        <v>608.4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53.158123995184958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34</v>
      </c>
      <c r="B56" s="181">
        <f>'Données projet'!D64</f>
        <v>65</v>
      </c>
      <c r="C56" s="191">
        <v>23.473124999999996</v>
      </c>
      <c r="D56" s="179">
        <f t="shared" si="5"/>
        <v>1525.7531249999997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50.869018177210478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39</v>
      </c>
      <c r="B57" s="181">
        <f>'Données projet'!D65</f>
        <v>70</v>
      </c>
      <c r="C57" s="191">
        <v>23.473124999999996</v>
      </c>
      <c r="D57" s="179">
        <f t="shared" si="5"/>
        <v>1643.1187499999996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48.678486293981329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44</v>
      </c>
      <c r="B58" s="181">
        <f>'Données projet'!D66</f>
        <v>53</v>
      </c>
      <c r="C58" s="191">
        <v>23.473124999999996</v>
      </c>
      <c r="D58" s="179">
        <f t="shared" si="5"/>
        <v>1244.0756249999997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46.582283534910367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50</v>
      </c>
      <c r="B59" s="181">
        <f>'Données projet'!D67</f>
        <v>55</v>
      </c>
      <c r="C59" s="191">
        <v>23.473124999999996</v>
      </c>
      <c r="D59" s="179">
        <f t="shared" si="5"/>
        <v>1291.0218749999997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44.576347880297014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56</v>
      </c>
      <c r="B60" s="181">
        <f>'Données projet'!D68</f>
        <v>662</v>
      </c>
      <c r="C60" s="191">
        <v>27.348749999999999</v>
      </c>
      <c r="D60" s="179">
        <f t="shared" si="5"/>
        <v>18104.872499999998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42.656792229949296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5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40.819896870764886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5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39.062102268674522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37.380002170980418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35.770337005722887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6">$P$25/(1+$M$4)^O65</f>
        <v>34.229987565285072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6"/>
        <v>32.755968961995293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6"/>
        <v>31.345424844014637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6"/>
        <v>29.995621860301089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6"/>
        <v>28.703944363924492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6"/>
        <v>27.467889343468414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6"/>
        <v>26.28506157269705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6"/>
        <v>25.153168969088089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6"/>
        <v>24.070018152237409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6"/>
        <v>23.033510193528624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6"/>
        <v>22.041636548831224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Séquoia toujours vert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6"/>
        <v>21.092475166345668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6"/>
        <v>20.184186762053272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6"/>
        <v>19.315011255553372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6"/>
        <v>18.48326435938122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6"/>
        <v>17.68733431519734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6"/>
        <v>16.925678770523778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6"/>
        <v>16.196821789974905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6"/>
        <v>15.499350995191302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6"/>
        <v>14.831914827934259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20</v>
      </c>
      <c r="B85" s="181">
        <f>'Données projet'!D88</f>
        <v>5</v>
      </c>
      <c r="C85" s="191">
        <v>12.796874999999998</v>
      </c>
      <c r="D85" s="179">
        <f>B85*C85</f>
        <v>63.984374999999993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6"/>
        <v>14.193219931037572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25</v>
      </c>
      <c r="B86" s="181">
        <f>'Données projet'!D89</f>
        <v>63</v>
      </c>
      <c r="C86" s="191">
        <v>12.796874999999998</v>
      </c>
      <c r="D86" s="179">
        <f t="shared" ref="D86:D104" si="7">B86*C86</f>
        <v>806.20312499999989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6"/>
        <v>13.582028642141216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30</v>
      </c>
      <c r="B87" s="181">
        <f>'Données projet'!D90</f>
        <v>63</v>
      </c>
      <c r="C87" s="191">
        <v>12.796874999999998</v>
      </c>
      <c r="D87" s="179">
        <f t="shared" si="7"/>
        <v>806.20312499999989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6"/>
        <v>12.997156595350452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35</v>
      </c>
      <c r="B88" s="181">
        <f>'Données projet'!D91</f>
        <v>63</v>
      </c>
      <c r="C88" s="191">
        <v>12.796874999999998</v>
      </c>
      <c r="D88" s="179">
        <f t="shared" si="7"/>
        <v>806.20312499999989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6"/>
        <v>12.437470426172679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40</v>
      </c>
      <c r="B89" s="181">
        <f>'Données projet'!D92</f>
        <v>63</v>
      </c>
      <c r="C89" s="191">
        <v>12.796874999999998</v>
      </c>
      <c r="D89" s="179">
        <f t="shared" si="7"/>
        <v>806.20312499999989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6"/>
        <v>11.901885575284863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45</v>
      </c>
      <c r="B90" s="181">
        <f>'Données projet'!D93</f>
        <v>63</v>
      </c>
      <c r="C90" s="191">
        <v>30.712499999999999</v>
      </c>
      <c r="D90" s="179">
        <f t="shared" si="7"/>
        <v>1934.8874999999998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6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50</v>
      </c>
      <c r="B91" s="181">
        <f>'Données projet'!D94</f>
        <v>63</v>
      </c>
      <c r="C91" s="191">
        <v>30.712499999999999</v>
      </c>
      <c r="D91" s="179">
        <f t="shared" si="7"/>
        <v>1934.8874999999998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6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55</v>
      </c>
      <c r="B92" s="181">
        <f>'Données projet'!D95</f>
        <v>60</v>
      </c>
      <c r="C92" s="191">
        <v>30.712499999999999</v>
      </c>
      <c r="D92" s="179">
        <f t="shared" si="7"/>
        <v>1842.75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6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60</v>
      </c>
      <c r="B93" s="181">
        <f>'Données projet'!D96</f>
        <v>53</v>
      </c>
      <c r="C93" s="191">
        <v>30.712499999999999</v>
      </c>
      <c r="D93" s="179">
        <f t="shared" si="7"/>
        <v>1627.7624999999998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6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65</v>
      </c>
      <c r="B94" s="181">
        <f>'Données projet'!D97</f>
        <v>48</v>
      </c>
      <c r="C94" s="191">
        <v>30.712499999999999</v>
      </c>
      <c r="D94" s="179">
        <f t="shared" si="7"/>
        <v>1474.1999999999998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6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70</v>
      </c>
      <c r="B95" s="181">
        <f>'Données projet'!D98</f>
        <v>45</v>
      </c>
      <c r="C95" s="191">
        <v>30.712499999999999</v>
      </c>
      <c r="D95" s="179">
        <f t="shared" si="7"/>
        <v>1382.0625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6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75</v>
      </c>
      <c r="B96" s="181">
        <f>'Données projet'!D99</f>
        <v>43</v>
      </c>
      <c r="C96" s="191">
        <v>30.712499999999999</v>
      </c>
      <c r="D96" s="179">
        <f t="shared" si="7"/>
        <v>1320.6375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6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80</v>
      </c>
      <c r="B97" s="181">
        <f>'Données projet'!D100</f>
        <v>776</v>
      </c>
      <c r="C97" s="191">
        <v>30.712499999999999</v>
      </c>
      <c r="D97" s="179">
        <f t="shared" si="7"/>
        <v>23832.899999999998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8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7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8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7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8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8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8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8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8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8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8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8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8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8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8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8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8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8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8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9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9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9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9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9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9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9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9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9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9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9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9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9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1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1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1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1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1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1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1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2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2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2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2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2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3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1E256A-FC84-4100-B180-C46989F1F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Constantin DESCAMPS</cp:lastModifiedBy>
  <dcterms:created xsi:type="dcterms:W3CDTF">2021-02-01T08:22:39Z</dcterms:created>
  <dcterms:modified xsi:type="dcterms:W3CDTF">2024-07-17T14:07:39Z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