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Desktop/NEOSYLVA/"/>
    </mc:Choice>
  </mc:AlternateContent>
  <xr:revisionPtr revIDLastSave="0" documentId="13_ncr:1_{693BC74A-1196-034C-B118-11191AF0D496}" xr6:coauthVersionLast="47" xr6:coauthVersionMax="47" xr10:uidLastSave="{00000000-0000-0000-0000-000000000000}"/>
  <bookViews>
    <workbookView xWindow="13940" yWindow="-21100" windowWidth="20140" windowHeight="211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2" i="6" l="1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EX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A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EA10" i="2"/>
  <c r="FS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H14" i="2"/>
  <c r="EB14" i="2"/>
  <c r="EC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FS20" i="2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H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HI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H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CM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HH38" i="2"/>
  <c r="HI38" i="2"/>
  <c r="HG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EC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EV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A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HI77" i="2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HH85" i="2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HI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A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FS113" i="2"/>
  <c r="EC113" i="2"/>
  <c r="HI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HH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EX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EC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G130" i="2"/>
  <c r="HI130" i="2"/>
  <c r="HH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FS140" i="2"/>
  <c r="FR140" i="2"/>
  <c r="HH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A144" i="2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FR146" i="2"/>
  <c r="EA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G155" i="2"/>
  <c r="EY154" i="2"/>
  <c r="HJ154" i="2"/>
  <c r="ED154" i="2"/>
  <c r="DI154" i="2"/>
  <c r="AC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Y155" i="2"/>
  <c r="ED155" i="2"/>
  <c r="HI156" i="2"/>
  <c r="DH156" i="2"/>
  <c r="HH156" i="2"/>
  <c r="AB156" i="2"/>
  <c r="EB156" i="2"/>
  <c r="FS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CN156" i="2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I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I160" i="2"/>
  <c r="HH160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HG161" i="2"/>
  <c r="EA161" i="2"/>
  <c r="EB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EY161" i="2"/>
  <c r="EC162" i="2"/>
  <c r="DI161" i="2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EY162" i="2"/>
  <c r="ED162" i="2"/>
  <c r="HH163" i="2"/>
  <c r="EV163" i="2"/>
  <c r="HI163" i="2"/>
  <c r="EA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HH164" i="2"/>
  <c r="EV164" i="2"/>
  <c r="ED163" i="2"/>
  <c r="EA164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EC166" i="2"/>
  <c r="CN165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HJ166" i="2"/>
  <c r="HH167" i="2"/>
  <c r="HI167" i="2"/>
  <c r="EA167" i="2"/>
  <c r="DG167" i="2"/>
  <c r="FR167" i="2"/>
  <c r="EC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G168" i="2"/>
  <c r="DI167" i="2"/>
  <c r="HI168" i="2"/>
  <c r="EW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A169" i="2"/>
  <c r="EB169" i="2"/>
  <c r="EX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I172" i="2"/>
  <c r="EV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G174" i="2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FS175" i="2"/>
  <c r="EB175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Q177" i="2"/>
  <c r="EC177" i="2"/>
  <c r="HH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ED177" i="2"/>
  <c r="HH178" i="2"/>
  <c r="HG178" i="2"/>
  <c r="EA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V179" i="2"/>
  <c r="ED178" i="2"/>
  <c r="EA179" i="2"/>
  <c r="HI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Y179" i="2"/>
  <c r="ED179" i="2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FS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H185" i="2"/>
  <c r="EA185" i="2"/>
  <c r="EB185" i="2"/>
  <c r="EW185" i="2"/>
  <c r="HG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D185" i="2"/>
  <c r="HG186" i="2"/>
  <c r="FR186" i="2"/>
  <c r="EW186" i="2"/>
  <c r="HH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Y186" i="2"/>
  <c r="EB187" i="2"/>
  <c r="HH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HH189" i="2"/>
  <c r="EV189" i="2"/>
  <c r="AA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EV190" i="2"/>
  <c r="ED189" i="2"/>
  <c r="HH190" i="2"/>
  <c r="HG190" i="2"/>
  <c r="EW190" i="2"/>
  <c r="EY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HH192" i="2"/>
  <c r="HG192" i="2"/>
  <c r="EC192" i="2"/>
  <c r="HI192" i="2"/>
  <c r="EA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FQ193" i="2"/>
  <c r="DI192" i="2"/>
  <c r="EA193" i="2"/>
  <c r="HI193" i="2"/>
  <c r="EB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A194" i="2"/>
  <c r="ED193" i="2"/>
  <c r="CN193" i="2"/>
  <c r="EB194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A195" i="2"/>
  <c r="EB195" i="2"/>
  <c r="ED194" i="2"/>
  <c r="DH195" i="2"/>
  <c r="EY194" i="2"/>
  <c r="EX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AA197" i="2"/>
  <c r="HH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EY198" i="2"/>
  <c r="FS199" i="2"/>
  <c r="EV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HJ200" i="2"/>
  <c r="FS201" i="2"/>
  <c r="DI200" i="2"/>
  <c r="ED200" i="2"/>
  <c r="EB201" i="2"/>
  <c r="HH201" i="2"/>
  <c r="HG201" i="2"/>
  <c r="EA201" i="2"/>
  <c r="ED201" i="2" s="1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G202" i="2" l="1"/>
  <c r="EW202" i="2"/>
  <c r="FZ6" i="2"/>
  <c r="EX202" i="2"/>
  <c r="HI202" i="2"/>
  <c r="FS202" i="2"/>
  <c r="FR202" i="2"/>
  <c r="HH202" i="2"/>
  <c r="HJ202" i="2" s="1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99" i="2" a="1"/>
  <c r="FY99" i="2" s="1"/>
  <c r="FY24" i="2" a="1"/>
  <c r="FY24" i="2" s="1"/>
  <c r="FY172" i="2" a="1"/>
  <c r="FY172" i="2" s="1"/>
  <c r="FD21" i="2" a="1"/>
  <c r="FD21" i="2" s="1"/>
  <c r="BC82" i="2" a="1"/>
  <c r="BC82" i="2" s="1"/>
  <c r="BC65" i="2" a="1"/>
  <c r="BC65" i="2" s="1"/>
  <c r="BC117" i="2" a="1"/>
  <c r="BC117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123" i="2" a="1"/>
  <c r="DN123" i="2" s="1"/>
  <c r="AH151" i="2" a="1"/>
  <c r="AH151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0" i="2" a="1"/>
  <c r="FY80" i="2" s="1"/>
  <c r="FY142" i="2" a="1"/>
  <c r="FY142" i="2" s="1"/>
  <c r="BC130" i="2" a="1"/>
  <c r="BC130" i="2" s="1"/>
  <c r="BC55" i="2" a="1"/>
  <c r="BC55" i="2" s="1"/>
  <c r="BC192" i="2" a="1"/>
  <c r="BC192" i="2" s="1"/>
  <c r="BC32" i="2" a="1"/>
  <c r="BC32" i="2" s="1"/>
  <c r="BC84" i="2" a="1"/>
  <c r="BC84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FD82" i="2" a="1"/>
  <c r="FD82" i="2" s="1"/>
  <c r="DN187" i="2" a="1"/>
  <c r="DN187" i="2" s="1"/>
  <c r="AX200" i="2"/>
  <c r="GT178" i="2" l="1" a="1"/>
  <c r="GT178" i="2" s="1"/>
  <c r="GT133" i="2" a="1"/>
  <c r="GT133" i="2" s="1"/>
  <c r="GT126" i="2" a="1"/>
  <c r="GT126" i="2" s="1"/>
  <c r="GT38" i="2" a="1"/>
  <c r="GT38" i="2" s="1"/>
  <c r="GT74" i="2" a="1"/>
  <c r="GT74" i="2" s="1"/>
  <c r="GT33" i="2" a="1"/>
  <c r="GT33" i="2" s="1"/>
  <c r="FY191" i="2" a="1"/>
  <c r="FY191" i="2" s="1"/>
  <c r="FY121" i="2" a="1"/>
  <c r="FY121" i="2" s="1"/>
  <c r="GT121" i="2" a="1"/>
  <c r="GT121" i="2" s="1"/>
  <c r="GT189" i="2" a="1"/>
  <c r="GT189" i="2" s="1"/>
  <c r="GT138" i="2" a="1"/>
  <c r="GT138" i="2" s="1"/>
  <c r="GT198" i="2" a="1"/>
  <c r="GT198" i="2" s="1"/>
  <c r="GT122" i="2" a="1"/>
  <c r="GT122" i="2" s="1"/>
  <c r="GT15" i="2" a="1"/>
  <c r="GT15" i="2" s="1"/>
  <c r="GT107" i="2" a="1"/>
  <c r="GT107" i="2" s="1"/>
  <c r="GT21" i="2" a="1"/>
  <c r="GT21" i="2" s="1"/>
  <c r="GT68" i="2" a="1"/>
  <c r="GT68" i="2" s="1"/>
  <c r="GT181" i="2" a="1"/>
  <c r="GT181" i="2" s="1"/>
  <c r="GT174" i="2" a="1"/>
  <c r="GT174" i="2" s="1"/>
  <c r="GT190" i="2" a="1"/>
  <c r="GT190" i="2" s="1"/>
  <c r="GT11" i="2" a="1"/>
  <c r="GT11" i="2" s="1"/>
  <c r="GT184" i="2" a="1"/>
  <c r="GT184" i="2" s="1"/>
  <c r="GT12" i="2" a="1"/>
  <c r="GT12" i="2" s="1"/>
  <c r="GT191" i="2" a="1"/>
  <c r="GT191" i="2" s="1"/>
  <c r="GT102" i="2" a="1"/>
  <c r="GT102" i="2" s="1"/>
  <c r="GT115" i="2" a="1"/>
  <c r="GT115" i="2" s="1"/>
  <c r="GT147" i="2" a="1"/>
  <c r="GT147" i="2" s="1"/>
  <c r="GT152" i="2" a="1"/>
  <c r="GT152" i="2" s="1"/>
  <c r="FY32" i="2" a="1"/>
  <c r="FY32" i="2" s="1"/>
  <c r="FD187" i="2" a="1"/>
  <c r="FD187" i="2" s="1"/>
  <c r="FD19" i="2" a="1"/>
  <c r="FD19" i="2" s="1"/>
  <c r="FD159" i="2" a="1"/>
  <c r="FD159" i="2" s="1"/>
  <c r="FD14" i="2" a="1"/>
  <c r="FD14" i="2" s="1"/>
  <c r="FD131" i="2" a="1"/>
  <c r="FD131" i="2" s="1"/>
  <c r="FD189" i="2" a="1"/>
  <c r="FD189" i="2" s="1"/>
  <c r="FD43" i="2" a="1"/>
  <c r="FD43" i="2" s="1"/>
  <c r="FD44" i="2" a="1"/>
  <c r="FD44" i="2" s="1"/>
  <c r="FD194" i="2" a="1"/>
  <c r="FD194" i="2" s="1"/>
  <c r="FD188" i="2" a="1"/>
  <c r="FD188" i="2" s="1"/>
  <c r="FD60" i="2" a="1"/>
  <c r="FD60" i="2" s="1"/>
  <c r="FD137" i="2" a="1"/>
  <c r="FD137" i="2" s="1"/>
  <c r="FD107" i="2" a="1"/>
  <c r="FD107" i="2" s="1"/>
  <c r="FD144" i="2" a="1"/>
  <c r="FD144" i="2" s="1"/>
  <c r="EI35" i="2" a="1"/>
  <c r="EI35" i="2" s="1"/>
  <c r="EI29" i="2" a="1"/>
  <c r="EI29" i="2" s="1"/>
  <c r="EI71" i="2" a="1"/>
  <c r="EI71" i="2" s="1"/>
  <c r="EI165" i="2" a="1"/>
  <c r="EI165" i="2" s="1"/>
  <c r="EI36" i="2" a="1"/>
  <c r="EI36" i="2" s="1"/>
  <c r="EI57" i="2" a="1"/>
  <c r="EI57" i="2" s="1"/>
  <c r="EI106" i="2" a="1"/>
  <c r="EI106" i="2" s="1"/>
  <c r="EI37" i="2" a="1"/>
  <c r="EI37" i="2" s="1"/>
  <c r="EI153" i="2" a="1"/>
  <c r="EI153" i="2" s="1"/>
  <c r="EI139" i="2" a="1"/>
  <c r="EI139" i="2" s="1"/>
  <c r="EI67" i="2" a="1"/>
  <c r="EI67" i="2" s="1"/>
  <c r="EI16" i="2" a="1"/>
  <c r="EI16" i="2" s="1"/>
  <c r="EI113" i="2" a="1"/>
  <c r="EI113" i="2" s="1"/>
  <c r="EI128" i="2" a="1"/>
  <c r="EI128" i="2" s="1"/>
  <c r="EI20" i="2" a="1"/>
  <c r="EI20" i="2" s="1"/>
  <c r="EI166" i="2" a="1"/>
  <c r="EI166" i="2" s="1"/>
  <c r="EI170" i="2" a="1"/>
  <c r="EI170" i="2" s="1"/>
  <c r="EI87" i="2" a="1"/>
  <c r="EI87" i="2" s="1"/>
  <c r="EI109" i="2" a="1"/>
  <c r="EI109" i="2" s="1"/>
  <c r="EI142" i="2" a="1"/>
  <c r="EI142" i="2" s="1"/>
  <c r="EI38" i="2" a="1"/>
  <c r="EI38" i="2" s="1"/>
  <c r="EI178" i="2" a="1"/>
  <c r="EI178" i="2" s="1"/>
  <c r="EI145" i="2" a="1"/>
  <c r="EI145" i="2" s="1"/>
  <c r="EI162" i="2" a="1"/>
  <c r="EI162" i="2" s="1"/>
  <c r="EI195" i="2" a="1"/>
  <c r="EI195" i="2" s="1"/>
  <c r="EI34" i="2" a="1"/>
  <c r="EI34" i="2" s="1"/>
  <c r="EI150" i="2" a="1"/>
  <c r="EI150" i="2" s="1"/>
  <c r="DN129" i="2" a="1"/>
  <c r="DN129" i="2" s="1"/>
  <c r="DN113" i="2" a="1"/>
  <c r="DN113" i="2" s="1"/>
  <c r="DN150" i="2" a="1"/>
  <c r="DN150" i="2" s="1"/>
  <c r="DN192" i="2" a="1"/>
  <c r="DN192" i="2" s="1"/>
  <c r="DN152" i="2" a="1"/>
  <c r="DN152" i="2" s="1"/>
  <c r="DN66" i="2" a="1"/>
  <c r="DN66" i="2" s="1"/>
  <c r="DN56" i="2" a="1"/>
  <c r="DN56" i="2" s="1"/>
  <c r="FD64" i="2" a="1"/>
  <c r="FD64" i="2" s="1"/>
  <c r="FY30" i="2" a="1"/>
  <c r="FY30" i="2" s="1"/>
  <c r="BC68" i="2" a="1"/>
  <c r="BC68" i="2" s="1"/>
  <c r="FY190" i="2" a="1"/>
  <c r="FY190" i="2" s="1"/>
  <c r="FY153" i="2" a="1"/>
  <c r="FY153" i="2" s="1"/>
  <c r="FY42" i="2" a="1"/>
  <c r="FY42" i="2" s="1"/>
  <c r="BC58" i="2" a="1"/>
  <c r="BC58" i="2" s="1"/>
  <c r="FY72" i="2" a="1"/>
  <c r="FY72" i="2" s="1"/>
  <c r="FY66" i="2" a="1"/>
  <c r="FY66" i="2" s="1"/>
  <c r="FY82" i="2" a="1"/>
  <c r="FY82" i="2" s="1"/>
  <c r="BC34" i="2" a="1"/>
  <c r="BC34" i="2" s="1"/>
  <c r="AH92" i="2" a="1"/>
  <c r="AH92" i="2" s="1"/>
  <c r="FY140" i="2" a="1"/>
  <c r="FY140" i="2" s="1"/>
  <c r="FY126" i="2" a="1"/>
  <c r="FY126" i="2" s="1"/>
  <c r="FY29" i="2" a="1"/>
  <c r="FY29" i="2" s="1"/>
  <c r="FY116" i="2" a="1"/>
  <c r="FY116" i="2" s="1"/>
  <c r="FY109" i="2" a="1"/>
  <c r="FY109" i="2" s="1"/>
  <c r="FY104" i="2" a="1"/>
  <c r="FY104" i="2" s="1"/>
  <c r="FY92" i="2" a="1"/>
  <c r="FY92" i="2" s="1"/>
  <c r="BC164" i="2" a="1"/>
  <c r="BC164" i="2" s="1"/>
  <c r="FD167" i="2" a="1"/>
  <c r="FD167" i="2" s="1"/>
  <c r="FY167" i="2" a="1"/>
  <c r="FY167" i="2" s="1"/>
  <c r="BC181" i="2" a="1"/>
  <c r="BC181" i="2" s="1"/>
  <c r="FY149" i="2" a="1"/>
  <c r="FY149" i="2" s="1"/>
  <c r="FY152" i="2" a="1"/>
  <c r="FY152" i="2" s="1"/>
  <c r="FY124" i="2" a="1"/>
  <c r="FY124" i="2" s="1"/>
  <c r="FY110" i="2" a="1"/>
  <c r="FY110" i="2" s="1"/>
  <c r="FY28" i="2" a="1"/>
  <c r="FY28" i="2" s="1"/>
  <c r="FY173" i="2" a="1"/>
  <c r="FY173" i="2" s="1"/>
  <c r="FY71" i="2" a="1"/>
  <c r="FY71" i="2" s="1"/>
  <c r="FY90" i="2" a="1"/>
  <c r="FY90" i="2" s="1"/>
  <c r="FD59" i="2" a="1"/>
  <c r="FD59" i="2" s="1"/>
  <c r="FY169" i="2" a="1"/>
  <c r="FY169" i="2" s="1"/>
  <c r="FY78" i="2" a="1"/>
  <c r="FY78" i="2" s="1"/>
  <c r="FY159" i="2" a="1"/>
  <c r="FY159" i="2" s="1"/>
  <c r="FY18" i="2" a="1"/>
  <c r="FY18" i="2" s="1"/>
  <c r="FY57" i="2" a="1"/>
  <c r="FY57" i="2" s="1"/>
  <c r="FY62" i="2" a="1"/>
  <c r="FY62" i="2" s="1"/>
  <c r="FY174" i="2" a="1"/>
  <c r="FY174" i="2" s="1"/>
  <c r="FY143" i="2" a="1"/>
  <c r="FY143" i="2" s="1"/>
  <c r="FY133" i="2" a="1"/>
  <c r="FY133" i="2" s="1"/>
  <c r="FY54" i="2" a="1"/>
  <c r="FY54" i="2" s="1"/>
  <c r="FY50" i="2" a="1"/>
  <c r="FY50" i="2" s="1"/>
  <c r="FY35" i="2" a="1"/>
  <c r="FY35" i="2" s="1"/>
  <c r="FY79" i="2" a="1"/>
  <c r="FY79" i="2" s="1"/>
  <c r="FY34" i="2" a="1"/>
  <c r="FY34" i="2" s="1"/>
  <c r="FY178" i="2" a="1"/>
  <c r="FY178" i="2" s="1"/>
  <c r="FY111" i="2" a="1"/>
  <c r="FY111" i="2" s="1"/>
  <c r="FY102" i="2" a="1"/>
  <c r="FY102" i="2" s="1"/>
  <c r="FY165" i="2" a="1"/>
  <c r="FY165" i="2" s="1"/>
  <c r="BC31" i="2" a="1"/>
  <c r="BC31" i="2" s="1"/>
  <c r="FD160" i="2" a="1"/>
  <c r="FD160" i="2" s="1"/>
  <c r="FD48" i="2" a="1"/>
  <c r="FD48" i="2" s="1"/>
  <c r="FY196" i="2" a="1"/>
  <c r="FY196" i="2" s="1"/>
  <c r="GT51" i="2" a="1"/>
  <c r="GT51" i="2" s="1"/>
  <c r="BC47" i="2" a="1"/>
  <c r="BC47" i="2" s="1"/>
  <c r="FY164" i="2" a="1"/>
  <c r="FY164" i="2" s="1"/>
  <c r="FY55" i="2" a="1"/>
  <c r="FY55" i="2" s="1"/>
  <c r="FY73" i="2" a="1"/>
  <c r="FY73" i="2" s="1"/>
  <c r="FY69" i="2" a="1"/>
  <c r="FY69" i="2" s="1"/>
  <c r="FY146" i="2" a="1"/>
  <c r="FY146" i="2" s="1"/>
  <c r="FY188" i="2" a="1"/>
  <c r="FY188" i="2" s="1"/>
  <c r="FY186" i="2" a="1"/>
  <c r="FY186" i="2" s="1"/>
  <c r="FY120" i="2" a="1"/>
  <c r="FY120" i="2" s="1"/>
  <c r="FY22" i="2" a="1"/>
  <c r="FY22" i="2" s="1"/>
  <c r="DN50" i="2" a="1"/>
  <c r="DN50" i="2" s="1"/>
  <c r="DN25" i="2" a="1"/>
  <c r="DN25" i="2" s="1"/>
  <c r="DN184" i="2" a="1"/>
  <c r="DN184" i="2" s="1"/>
  <c r="DN29" i="2" a="1"/>
  <c r="DN29" i="2" s="1"/>
  <c r="DN137" i="2" a="1"/>
  <c r="DN137" i="2" s="1"/>
  <c r="DN41" i="2" a="1"/>
  <c r="DN41" i="2" s="1"/>
  <c r="DN43" i="2" a="1"/>
  <c r="DN43" i="2" s="1"/>
  <c r="DN186" i="2" a="1"/>
  <c r="DN186" i="2" s="1"/>
  <c r="DN124" i="2" a="1"/>
  <c r="DN124" i="2" s="1"/>
  <c r="DN155" i="2" a="1"/>
  <c r="DN155" i="2" s="1"/>
  <c r="CS114" i="2" a="1"/>
  <c r="CS114" i="2" s="1"/>
  <c r="CS24" i="2" a="1"/>
  <c r="CS24" i="2" s="1"/>
  <c r="CS77" i="2" a="1"/>
  <c r="CS77" i="2" s="1"/>
  <c r="CS185" i="2" a="1"/>
  <c r="CS185" i="2" s="1"/>
  <c r="CS161" i="2" a="1"/>
  <c r="CS161" i="2" s="1"/>
  <c r="CS56" i="2" a="1"/>
  <c r="CS56" i="2" s="1"/>
  <c r="CS120" i="2" a="1"/>
  <c r="CS120" i="2" s="1"/>
  <c r="CS72" i="2" a="1"/>
  <c r="CS72" i="2" s="1"/>
  <c r="CS134" i="2" a="1"/>
  <c r="CS134" i="2" s="1"/>
  <c r="CS116" i="2" a="1"/>
  <c r="CS116" i="2" s="1"/>
  <c r="CS38" i="2" a="1"/>
  <c r="CS38" i="2" s="1"/>
  <c r="CS105" i="2" a="1"/>
  <c r="CS105" i="2" s="1"/>
  <c r="AH62" i="2" a="1"/>
  <c r="AH62" i="2" s="1"/>
  <c r="AH163" i="2" a="1"/>
  <c r="AH163" i="2" s="1"/>
  <c r="AH90" i="2" a="1"/>
  <c r="AH90" i="2" s="1"/>
  <c r="AH199" i="2" a="1"/>
  <c r="AH199" i="2" s="1"/>
  <c r="AH166" i="2" a="1"/>
  <c r="AH166" i="2" s="1"/>
  <c r="AH19" i="2" a="1"/>
  <c r="AH19" i="2" s="1"/>
  <c r="BC114" i="2" a="1"/>
  <c r="BC114" i="2" s="1"/>
  <c r="BC126" i="2" a="1"/>
  <c r="BC126" i="2" s="1"/>
  <c r="FR203" i="2"/>
  <c r="BP203" i="2"/>
  <c r="CS129" i="2" a="1"/>
  <c r="CS129" i="2" s="1"/>
  <c r="CS52" i="2" a="1"/>
  <c r="CS52" i="2" s="1"/>
  <c r="CS66" i="2" a="1"/>
  <c r="CS66" i="2" s="1"/>
  <c r="EI198" i="2" a="1"/>
  <c r="EI198" i="2" s="1"/>
  <c r="FY47" i="2" a="1"/>
  <c r="FY47" i="2" s="1"/>
  <c r="FS203" i="2"/>
  <c r="HH203" i="2"/>
  <c r="CS137" i="2" a="1"/>
  <c r="CS137" i="2" s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Z87" i="2" l="1"/>
  <c r="GZ25" i="2"/>
  <c r="GZ97" i="2"/>
  <c r="GZ109" i="2"/>
  <c r="GZ170" i="2"/>
  <c r="GZ123" i="2"/>
  <c r="GZ115" i="2"/>
  <c r="GZ112" i="2"/>
  <c r="GZ202" i="2"/>
  <c r="GZ19" i="2"/>
  <c r="GZ67" i="2"/>
  <c r="GZ11" i="2"/>
  <c r="GZ72" i="2"/>
  <c r="GZ29" i="2"/>
  <c r="GZ161" i="2"/>
  <c r="GZ113" i="2"/>
  <c r="GZ133" i="2"/>
  <c r="GZ179" i="2"/>
  <c r="GZ186" i="2"/>
  <c r="GZ70" i="2"/>
  <c r="GZ157" i="2"/>
  <c r="GZ17" i="2"/>
  <c r="GZ78" i="2"/>
  <c r="GZ188" i="2"/>
  <c r="GZ167" i="2"/>
  <c r="GZ74" i="2"/>
  <c r="GZ15" i="2"/>
  <c r="GZ125" i="2"/>
  <c r="GZ108" i="2"/>
  <c r="GZ117" i="2"/>
  <c r="GZ35" i="2"/>
  <c r="GZ10" i="2"/>
  <c r="GZ189" i="2"/>
  <c r="GZ83" i="2"/>
  <c r="GZ165" i="2"/>
  <c r="GZ138" i="2"/>
  <c r="GZ134" i="2"/>
  <c r="GZ52" i="2"/>
  <c r="GZ64" i="2"/>
  <c r="GZ101" i="2"/>
  <c r="GZ106" i="2"/>
  <c r="GZ107" i="2"/>
  <c r="GZ187" i="2"/>
  <c r="GZ135" i="2"/>
  <c r="GZ122" i="2"/>
  <c r="GZ197" i="2"/>
  <c r="GZ146" i="2"/>
  <c r="GZ36" i="2"/>
  <c r="GZ103" i="2"/>
  <c r="GZ118" i="2"/>
  <c r="GZ47" i="2"/>
  <c r="GZ98" i="2"/>
  <c r="GZ111" i="2"/>
  <c r="GZ153" i="2"/>
  <c r="GZ175" i="2"/>
  <c r="GZ105" i="2"/>
  <c r="GZ159" i="2"/>
  <c r="GZ56" i="2"/>
  <c r="GZ13" i="2"/>
  <c r="GZ42" i="2"/>
  <c r="GZ158" i="2"/>
  <c r="GZ155" i="2"/>
  <c r="GZ140" i="2"/>
  <c r="GZ58" i="2"/>
  <c r="GZ91" i="2"/>
  <c r="GZ149" i="2"/>
  <c r="GZ185" i="2"/>
  <c r="GZ183" i="2"/>
  <c r="GZ162" i="2"/>
  <c r="GZ85" i="2"/>
  <c r="GZ150" i="2"/>
  <c r="GZ49" i="2"/>
  <c r="GZ31" i="2"/>
  <c r="GZ126" i="2"/>
  <c r="GZ94" i="2"/>
  <c r="GZ121" i="2"/>
  <c r="GZ76" i="2"/>
  <c r="GZ40" i="2"/>
  <c r="GZ203" i="2"/>
  <c r="GZ195" i="2"/>
  <c r="GZ132" i="2"/>
  <c r="GZ144" i="2"/>
  <c r="GZ110" i="2"/>
  <c r="GZ62" i="2"/>
  <c r="GZ22" i="2"/>
  <c r="GZ8" i="2"/>
  <c r="GZ80" i="2"/>
  <c r="GZ37" i="2"/>
  <c r="GZ95" i="2"/>
  <c r="GZ20" i="2"/>
  <c r="GZ116" i="2"/>
  <c r="GZ88" i="2"/>
  <c r="GZ180" i="2"/>
  <c r="GZ137" i="2"/>
  <c r="GZ90" i="2"/>
  <c r="GZ75" i="2"/>
  <c r="GZ33" i="2"/>
  <c r="GZ79" i="2"/>
  <c r="GZ27" i="2"/>
  <c r="GZ66" i="2"/>
  <c r="GZ38" i="2"/>
  <c r="GZ154" i="2"/>
  <c r="GZ86" i="2"/>
  <c r="GZ53" i="2"/>
  <c r="GZ160" i="2"/>
  <c r="GZ172" i="2"/>
  <c r="GZ127" i="2"/>
  <c r="GZ41" i="2"/>
  <c r="GZ7" i="2"/>
  <c r="GZ26" i="2"/>
  <c r="GZ4" i="2"/>
  <c r="GZ50" i="2"/>
  <c r="GZ104" i="2"/>
  <c r="GZ199" i="2"/>
  <c r="GZ130" i="2"/>
  <c r="GZ143" i="2"/>
  <c r="GZ61" i="2"/>
  <c r="GZ12" i="2"/>
  <c r="GZ174" i="2"/>
  <c r="GZ65" i="2"/>
  <c r="GZ182" i="2"/>
  <c r="GZ48" i="2"/>
  <c r="GZ28" i="2"/>
  <c r="GZ99" i="2"/>
  <c r="GZ46" i="2"/>
  <c r="GZ177" i="2"/>
  <c r="GZ191" i="2"/>
  <c r="GZ192" i="2"/>
  <c r="GZ145" i="2"/>
  <c r="GZ30" i="2"/>
  <c r="GZ44" i="2"/>
  <c r="GZ171" i="2"/>
  <c r="GZ68" i="2"/>
  <c r="GZ128" i="2"/>
  <c r="GZ43" i="2"/>
  <c r="GZ73" i="2"/>
  <c r="GZ96" i="2"/>
  <c r="GZ93" i="2"/>
  <c r="GZ92" i="2"/>
  <c r="GZ5" i="2"/>
  <c r="GZ89" i="2"/>
  <c r="GZ16" i="2"/>
  <c r="GZ194" i="2"/>
  <c r="GZ9" i="2"/>
  <c r="GZ21" i="2"/>
  <c r="GZ18" i="2"/>
  <c r="GZ59" i="2"/>
  <c r="GZ24" i="2"/>
  <c r="GZ57" i="2"/>
  <c r="GZ54" i="2"/>
  <c r="GZ184" i="2"/>
  <c r="GZ148" i="2"/>
  <c r="GZ63" i="2"/>
  <c r="GZ14" i="2"/>
  <c r="GZ102" i="2"/>
  <c r="GZ55" i="2"/>
  <c r="GZ69" i="2"/>
  <c r="GZ34" i="2"/>
  <c r="GZ60" i="2"/>
  <c r="GZ136" i="2"/>
  <c r="GZ176" i="2"/>
  <c r="GZ152" i="2"/>
  <c r="GZ119" i="2"/>
  <c r="GZ6" i="2"/>
  <c r="GZ100" i="2"/>
  <c r="GZ71" i="2"/>
  <c r="GZ77" i="2"/>
  <c r="GZ163" i="2"/>
  <c r="GZ181" i="2"/>
  <c r="GZ124" i="2"/>
  <c r="GZ32" i="2"/>
  <c r="GZ190" i="2"/>
  <c r="GZ156" i="2"/>
  <c r="GZ166" i="2"/>
  <c r="GZ147" i="2"/>
  <c r="GZ120" i="2"/>
  <c r="GZ178" i="2"/>
  <c r="GZ173" i="2"/>
  <c r="GZ201" i="2"/>
  <c r="GZ200" i="2"/>
  <c r="GZ82" i="2"/>
  <c r="GZ131" i="2"/>
  <c r="GZ141" i="2"/>
  <c r="GZ129" i="2"/>
  <c r="GZ45" i="2"/>
  <c r="GZ84" i="2"/>
  <c r="GZ81" i="2"/>
  <c r="GZ196" i="2"/>
  <c r="GZ39" i="2"/>
  <c r="GZ193" i="2"/>
  <c r="GZ164" i="2"/>
  <c r="GZ51" i="2"/>
  <c r="GZ168" i="2"/>
  <c r="GZ139" i="2"/>
  <c r="GZ23" i="2"/>
  <c r="GZ114" i="2"/>
  <c r="GZ151" i="2"/>
  <c r="GZ169" i="2"/>
  <c r="GZ142" i="2"/>
  <c r="GZ198" i="2"/>
  <c r="GZ3" i="2"/>
  <c r="C15" i="4" s="1"/>
  <c r="E15" i="4" s="1"/>
  <c r="F15" i="4" s="1"/>
  <c r="G15" i="4" s="1"/>
  <c r="L15" i="4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GE112" i="2" l="1"/>
  <c r="GE174" i="2"/>
  <c r="GE52" i="2"/>
  <c r="GE90" i="2"/>
  <c r="GE18" i="2"/>
  <c r="GE155" i="2"/>
  <c r="FE126" i="2"/>
  <c r="FF125" i="2"/>
  <c r="FG125" i="2" s="1"/>
  <c r="FH125" i="2" s="1"/>
  <c r="FI125" i="2" s="1"/>
  <c r="FJ103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E191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GE73" i="2" l="1"/>
  <c r="GE104" i="2"/>
  <c r="GE166" i="2"/>
  <c r="GE202" i="2"/>
  <c r="GE160" i="2"/>
  <c r="GE115" i="2"/>
  <c r="GE195" i="2"/>
  <c r="GE126" i="2"/>
  <c r="GE82" i="2"/>
  <c r="GE152" i="2"/>
  <c r="GE188" i="2"/>
  <c r="GE17" i="2"/>
  <c r="GE12" i="2"/>
  <c r="GE148" i="2"/>
  <c r="GE32" i="2"/>
  <c r="GE29" i="2"/>
  <c r="GE63" i="2"/>
  <c r="GE125" i="2"/>
  <c r="GE72" i="2"/>
  <c r="GE14" i="2"/>
  <c r="GE8" i="2"/>
  <c r="GE146" i="2"/>
  <c r="GE181" i="2"/>
  <c r="GE132" i="2"/>
  <c r="GE40" i="2"/>
  <c r="GE141" i="2"/>
  <c r="GE157" i="2"/>
  <c r="GE42" i="2"/>
  <c r="GE99" i="2"/>
  <c r="GE38" i="2"/>
  <c r="GE116" i="2"/>
  <c r="GE25" i="2"/>
  <c r="GE15" i="2"/>
  <c r="GE134" i="2"/>
  <c r="GE198" i="2"/>
  <c r="GE60" i="2"/>
  <c r="GE79" i="2"/>
  <c r="GE65" i="2"/>
  <c r="GE169" i="2"/>
  <c r="GE131" i="2"/>
  <c r="GE114" i="2"/>
  <c r="GE129" i="2"/>
  <c r="GE53" i="2"/>
  <c r="GE127" i="2"/>
  <c r="GE165" i="2"/>
  <c r="GE67" i="2"/>
  <c r="GE49" i="2"/>
  <c r="GE10" i="2"/>
  <c r="GE154" i="2"/>
  <c r="GE97" i="2"/>
  <c r="GE64" i="2"/>
  <c r="GE182" i="2"/>
  <c r="GE203" i="2"/>
  <c r="GE177" i="2"/>
  <c r="GE28" i="2"/>
  <c r="GE144" i="2"/>
  <c r="GE5" i="2"/>
  <c r="GE153" i="2"/>
  <c r="GE199" i="2"/>
  <c r="GE171" i="2"/>
  <c r="GE168" i="2"/>
  <c r="GE145" i="2"/>
  <c r="GE57" i="2"/>
  <c r="GE175" i="2"/>
  <c r="GE58" i="2"/>
  <c r="GE93" i="2"/>
  <c r="GE139" i="2"/>
  <c r="GE87" i="2"/>
  <c r="GE109" i="2"/>
  <c r="GE136" i="2"/>
  <c r="FJ192" i="2"/>
  <c r="FJ37" i="2"/>
  <c r="FJ110" i="2"/>
  <c r="FJ153" i="2"/>
  <c r="FJ177" i="2"/>
  <c r="FJ45" i="2"/>
  <c r="FJ41" i="2"/>
  <c r="FJ112" i="2"/>
  <c r="FJ169" i="2"/>
  <c r="FJ199" i="2"/>
  <c r="FJ175" i="2"/>
  <c r="GE84" i="2"/>
  <c r="GE23" i="2"/>
  <c r="FJ20" i="2"/>
  <c r="FJ96" i="2"/>
  <c r="GE151" i="2"/>
  <c r="GE111" i="2"/>
  <c r="FJ5" i="2"/>
  <c r="GE183" i="2"/>
  <c r="GE135" i="2"/>
  <c r="FJ185" i="2"/>
  <c r="FJ74" i="2"/>
  <c r="FJ95" i="2"/>
  <c r="FJ85" i="2"/>
  <c r="FJ82" i="2"/>
  <c r="FJ60" i="2"/>
  <c r="FJ14" i="2"/>
  <c r="FJ94" i="2"/>
  <c r="FJ93" i="2"/>
  <c r="FJ83" i="2"/>
  <c r="GE80" i="2"/>
  <c r="GE167" i="2"/>
  <c r="FJ22" i="2"/>
  <c r="FJ76" i="2"/>
  <c r="GE176" i="2"/>
  <c r="GE108" i="2"/>
  <c r="FJ28" i="2"/>
  <c r="GE147" i="2"/>
  <c r="GE37" i="2"/>
  <c r="FJ84" i="2"/>
  <c r="FJ108" i="2"/>
  <c r="GE120" i="2"/>
  <c r="GE161" i="2"/>
  <c r="FJ68" i="2"/>
  <c r="GE27" i="2"/>
  <c r="GE178" i="2"/>
  <c r="FJ25" i="2"/>
  <c r="FJ109" i="2"/>
  <c r="FJ34" i="2"/>
  <c r="FJ202" i="2"/>
  <c r="FJ194" i="2"/>
  <c r="FJ21" i="2"/>
  <c r="FJ126" i="2"/>
  <c r="FJ162" i="2"/>
  <c r="GE83" i="2"/>
  <c r="GE35" i="2"/>
  <c r="FJ47" i="2"/>
  <c r="FJ173" i="2"/>
  <c r="GE105" i="2"/>
  <c r="GE16" i="2"/>
  <c r="FJ39" i="2"/>
  <c r="GE106" i="2"/>
  <c r="GE143" i="2"/>
  <c r="FJ10" i="2"/>
  <c r="FJ161" i="2"/>
  <c r="GE76" i="2"/>
  <c r="GE187" i="2"/>
  <c r="FJ125" i="2"/>
  <c r="GE172" i="2"/>
  <c r="GE24" i="2"/>
  <c r="FJ174" i="2"/>
  <c r="FJ53" i="2"/>
  <c r="FJ135" i="2"/>
  <c r="FJ98" i="2"/>
  <c r="FJ107" i="2"/>
  <c r="FJ57" i="2"/>
  <c r="FJ81" i="2"/>
  <c r="FJ30" i="2"/>
  <c r="FJ23" i="2"/>
  <c r="FJ167" i="2"/>
  <c r="GE50" i="2"/>
  <c r="GE26" i="2"/>
  <c r="FJ40" i="2"/>
  <c r="GE6" i="2"/>
  <c r="GE77" i="2"/>
  <c r="FJ44" i="2"/>
  <c r="FJ152" i="2"/>
  <c r="GE20" i="2"/>
  <c r="GE81" i="2"/>
  <c r="FJ51" i="2"/>
  <c r="GE123" i="2"/>
  <c r="GE13" i="2"/>
  <c r="FJ133" i="2"/>
  <c r="FJ132" i="2"/>
  <c r="GE98" i="2"/>
  <c r="GE78" i="2"/>
  <c r="FJ146" i="2"/>
  <c r="FJ7" i="2"/>
  <c r="FJ197" i="2"/>
  <c r="FJ31" i="2"/>
  <c r="FJ64" i="2"/>
  <c r="FJ151" i="2"/>
  <c r="FJ180" i="2"/>
  <c r="FJ186" i="2"/>
  <c r="FJ117" i="2"/>
  <c r="FJ65" i="2"/>
  <c r="FJ155" i="2"/>
  <c r="FJ102" i="2"/>
  <c r="GE113" i="2"/>
  <c r="GE94" i="2"/>
  <c r="FJ154" i="2"/>
  <c r="FJ130" i="2"/>
  <c r="GE158" i="2"/>
  <c r="GE89" i="2"/>
  <c r="FJ188" i="2"/>
  <c r="FJ163" i="2"/>
  <c r="FJ87" i="2"/>
  <c r="FJ170" i="2"/>
  <c r="FJ140" i="2"/>
  <c r="FJ168" i="2"/>
  <c r="FJ115" i="2"/>
  <c r="FJ193" i="2"/>
  <c r="FJ183" i="2"/>
  <c r="FJ165" i="2"/>
  <c r="FJ90" i="2"/>
  <c r="FJ79" i="2"/>
  <c r="FJ86" i="2"/>
  <c r="FJ106" i="2"/>
  <c r="FJ148" i="2"/>
  <c r="FJ136" i="2"/>
  <c r="FJ12" i="2"/>
  <c r="FJ3" i="2"/>
  <c r="C13" i="4" s="1"/>
  <c r="E13" i="4" s="1"/>
  <c r="F13" i="4" s="1"/>
  <c r="G13" i="4" s="1"/>
  <c r="L13" i="4" s="1"/>
  <c r="FJ78" i="2"/>
  <c r="FJ122" i="2"/>
  <c r="FJ13" i="2"/>
  <c r="FJ71" i="2"/>
  <c r="FJ59" i="2"/>
  <c r="FJ46" i="2"/>
  <c r="FJ72" i="2"/>
  <c r="FJ89" i="2"/>
  <c r="FJ171" i="2"/>
  <c r="FJ141" i="2"/>
  <c r="FJ182" i="2"/>
  <c r="FJ15" i="2"/>
  <c r="FJ120" i="2"/>
  <c r="FJ179" i="2"/>
  <c r="FJ54" i="2"/>
  <c r="FJ67" i="2"/>
  <c r="FJ101" i="2"/>
  <c r="FJ147" i="2"/>
  <c r="FJ114" i="2"/>
  <c r="FJ113" i="2"/>
  <c r="FJ50" i="2"/>
  <c r="FJ4" i="2"/>
  <c r="FJ127" i="2"/>
  <c r="FJ55" i="2"/>
  <c r="FJ62" i="2"/>
  <c r="FJ70" i="2"/>
  <c r="FJ196" i="2"/>
  <c r="FJ66" i="2"/>
  <c r="FJ176" i="2"/>
  <c r="FJ149" i="2"/>
  <c r="FJ8" i="2"/>
  <c r="FJ29" i="2"/>
  <c r="FJ27" i="2"/>
  <c r="FJ26" i="2"/>
  <c r="FJ184" i="2"/>
  <c r="FJ178" i="2"/>
  <c r="FJ92" i="2"/>
  <c r="FJ119" i="2"/>
  <c r="FJ124" i="2"/>
  <c r="FJ156" i="2"/>
  <c r="FJ181" i="2"/>
  <c r="FJ43" i="2"/>
  <c r="FJ139" i="2"/>
  <c r="FJ35" i="2"/>
  <c r="FJ80" i="2"/>
  <c r="FJ160" i="2"/>
  <c r="FJ116" i="2"/>
  <c r="FJ121" i="2"/>
  <c r="FJ164" i="2"/>
  <c r="FJ18" i="2"/>
  <c r="FJ111" i="2"/>
  <c r="FJ200" i="2"/>
  <c r="FJ56" i="2"/>
  <c r="FJ138" i="2"/>
  <c r="FJ129" i="2"/>
  <c r="GE36" i="2"/>
  <c r="GE56" i="2"/>
  <c r="FJ137" i="2"/>
  <c r="FJ32" i="2"/>
  <c r="GE11" i="2"/>
  <c r="GE30" i="2"/>
  <c r="FJ128" i="2"/>
  <c r="FJ11" i="2"/>
  <c r="FJ166" i="2"/>
  <c r="GE68" i="2"/>
  <c r="GE31" i="2"/>
  <c r="FJ131" i="2"/>
  <c r="GE4" i="2"/>
  <c r="GE45" i="2"/>
  <c r="FJ189" i="2"/>
  <c r="FJ157" i="2"/>
  <c r="GE196" i="2"/>
  <c r="GE149" i="2"/>
  <c r="FJ198" i="2"/>
  <c r="GE62" i="2"/>
  <c r="GE61" i="2"/>
  <c r="FJ75" i="2"/>
  <c r="FJ16" i="2"/>
  <c r="GE54" i="2"/>
  <c r="GE156" i="2"/>
  <c r="FJ9" i="2"/>
  <c r="FJ142" i="2"/>
  <c r="FJ38" i="2"/>
  <c r="FJ73" i="2"/>
  <c r="FJ77" i="2"/>
  <c r="FJ33" i="2"/>
  <c r="FJ91" i="2"/>
  <c r="FJ17" i="2"/>
  <c r="FJ69" i="2"/>
  <c r="FJ172" i="2"/>
  <c r="FJ203" i="2"/>
  <c r="GE138" i="2"/>
  <c r="GE192" i="2"/>
  <c r="FJ36" i="2"/>
  <c r="FJ99" i="2"/>
  <c r="GE189" i="2"/>
  <c r="GE44" i="2"/>
  <c r="FJ159" i="2"/>
  <c r="FJ105" i="2"/>
  <c r="FJ61" i="2"/>
  <c r="GE88" i="2"/>
  <c r="GE95" i="2"/>
  <c r="FJ123" i="2"/>
  <c r="GE7" i="2"/>
  <c r="GE128" i="2"/>
  <c r="FJ48" i="2"/>
  <c r="FJ24" i="2"/>
  <c r="GE118" i="2"/>
  <c r="GE121" i="2"/>
  <c r="FJ58" i="2"/>
  <c r="GE86" i="2"/>
  <c r="GE150" i="2"/>
  <c r="FJ195" i="2"/>
  <c r="FJ104" i="2"/>
  <c r="GE96" i="2"/>
  <c r="GE170" i="2"/>
  <c r="FJ19" i="2"/>
  <c r="FJ118" i="2"/>
  <c r="FJ145" i="2"/>
  <c r="FJ190" i="2"/>
  <c r="FJ150" i="2"/>
  <c r="FJ63" i="2"/>
  <c r="GE140" i="2"/>
  <c r="GE163" i="2"/>
  <c r="GE200" i="2"/>
  <c r="GE130" i="2"/>
  <c r="GE85" i="2"/>
  <c r="GE71" i="2"/>
  <c r="GE194" i="2"/>
  <c r="GE164" i="2"/>
  <c r="GE21" i="2"/>
  <c r="GE103" i="2"/>
  <c r="GE159" i="2"/>
  <c r="GE197" i="2"/>
  <c r="GE119" i="2"/>
  <c r="GE100" i="2"/>
  <c r="GE43" i="2"/>
  <c r="GE33" i="2"/>
  <c r="GE107" i="2"/>
  <c r="GE179" i="2"/>
  <c r="GE46" i="2"/>
  <c r="GE190" i="2"/>
  <c r="GE92" i="2"/>
  <c r="GE22" i="2"/>
  <c r="GE185" i="2"/>
  <c r="GE34" i="2"/>
  <c r="GE19" i="2"/>
  <c r="GE102" i="2"/>
  <c r="GE3" i="2"/>
  <c r="C14" i="4" s="1"/>
  <c r="E14" i="4" s="1"/>
  <c r="F14" i="4" s="1"/>
  <c r="G14" i="4" s="1"/>
  <c r="L14" i="4" s="1"/>
  <c r="GE70" i="2"/>
  <c r="GE91" i="2"/>
  <c r="GE180" i="2"/>
  <c r="GE47" i="2"/>
  <c r="GE48" i="2"/>
  <c r="GE201" i="2"/>
  <c r="GE55" i="2"/>
  <c r="GE117" i="2"/>
  <c r="GE51" i="2"/>
  <c r="GE137" i="2"/>
  <c r="GE122" i="2"/>
  <c r="GE59" i="2"/>
  <c r="GE186" i="2"/>
  <c r="GE41" i="2"/>
  <c r="GE133" i="2"/>
  <c r="FJ134" i="2"/>
  <c r="FJ158" i="2"/>
  <c r="GE142" i="2"/>
  <c r="GE193" i="2"/>
  <c r="FJ88" i="2"/>
  <c r="FJ100" i="2"/>
  <c r="GE173" i="2"/>
  <c r="GE162" i="2"/>
  <c r="FJ42" i="2"/>
  <c r="FJ49" i="2"/>
  <c r="FJ52" i="2"/>
  <c r="GE75" i="2"/>
  <c r="GE124" i="2"/>
  <c r="FJ97" i="2"/>
  <c r="GE110" i="2"/>
  <c r="GE9" i="2"/>
  <c r="FJ201" i="2"/>
  <c r="FJ144" i="2"/>
  <c r="GE74" i="2"/>
  <c r="GE69" i="2"/>
  <c r="FJ6" i="2"/>
  <c r="GE184" i="2"/>
  <c r="GE101" i="2"/>
  <c r="FJ143" i="2"/>
  <c r="FJ187" i="2"/>
  <c r="GE39" i="2"/>
  <c r="GE66" i="2"/>
  <c r="FJ191" i="2"/>
  <c r="FE127" i="2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I95" i="2" l="1"/>
  <c r="BF127" i="2"/>
  <c r="BG127" i="2" s="1"/>
  <c r="BH127" i="2" s="1"/>
  <c r="BI178" i="2" s="1"/>
  <c r="BS126" i="2"/>
  <c r="BE128" i="2"/>
  <c r="BI153" i="2" l="1"/>
  <c r="BI190" i="2"/>
  <c r="BI130" i="2"/>
  <c r="BI101" i="2"/>
  <c r="BI63" i="2"/>
  <c r="BI180" i="2"/>
  <c r="BI172" i="2"/>
  <c r="BI34" i="2"/>
  <c r="BI32" i="2"/>
  <c r="BI192" i="2"/>
  <c r="BI108" i="2"/>
  <c r="BI128" i="2"/>
  <c r="BI78" i="2"/>
  <c r="BI195" i="2"/>
  <c r="BI25" i="2"/>
  <c r="BI127" i="2"/>
  <c r="BI58" i="2"/>
  <c r="BI197" i="2"/>
  <c r="BI176" i="2"/>
  <c r="BI105" i="2"/>
  <c r="BI154" i="2"/>
  <c r="BI44" i="2"/>
  <c r="BI9" i="2"/>
  <c r="BI198" i="2"/>
  <c r="BI202" i="2"/>
  <c r="BI6" i="2"/>
  <c r="BI26" i="2"/>
  <c r="BI10" i="2"/>
  <c r="BI73" i="2"/>
  <c r="BI92" i="2"/>
  <c r="BI189" i="2"/>
  <c r="BI193" i="2"/>
  <c r="BI45" i="2"/>
  <c r="BI39" i="2"/>
  <c r="BI5" i="2"/>
  <c r="BI159" i="2"/>
  <c r="BI84" i="2"/>
  <c r="BI171" i="2"/>
  <c r="BI157" i="2"/>
  <c r="BI74" i="2"/>
  <c r="BI131" i="2"/>
  <c r="BI68" i="2"/>
  <c r="BI138" i="2"/>
  <c r="BI115" i="2"/>
  <c r="BI56" i="2"/>
  <c r="BI160" i="2"/>
  <c r="BI135" i="2"/>
  <c r="BI65" i="2"/>
  <c r="BI38" i="2"/>
  <c r="BI179" i="2"/>
  <c r="BI166" i="2"/>
  <c r="BI15" i="2"/>
  <c r="BI90" i="2"/>
  <c r="BI106" i="2"/>
  <c r="BI47" i="2"/>
  <c r="BI94" i="2"/>
  <c r="BI33" i="2"/>
  <c r="BI28" i="2"/>
  <c r="BI107" i="2"/>
  <c r="BI177" i="2"/>
  <c r="BI24" i="2"/>
  <c r="BI116" i="2"/>
  <c r="BI42" i="2"/>
  <c r="BI62" i="2"/>
  <c r="BI36" i="2"/>
  <c r="BI129" i="2"/>
  <c r="BI134" i="2"/>
  <c r="BI41" i="2"/>
  <c r="BI29" i="2"/>
  <c r="BI53" i="2"/>
  <c r="BI170" i="2"/>
  <c r="BI83" i="2"/>
  <c r="BI18" i="2"/>
  <c r="BI97" i="2"/>
  <c r="BI151" i="2"/>
  <c r="BI52" i="2"/>
  <c r="BI118" i="2"/>
  <c r="BI102" i="2"/>
  <c r="BI191" i="2"/>
  <c r="BI57" i="2"/>
  <c r="BI150" i="2"/>
  <c r="BI147" i="2"/>
  <c r="BI72" i="2"/>
  <c r="BI144" i="2"/>
  <c r="BI146" i="2"/>
  <c r="BI194" i="2"/>
  <c r="BI100" i="2"/>
  <c r="BI40" i="2"/>
  <c r="BI169" i="2"/>
  <c r="BI114" i="2"/>
  <c r="BI142" i="2"/>
  <c r="BI8" i="2"/>
  <c r="BI49" i="2"/>
  <c r="BI4" i="2"/>
  <c r="BI13" i="2"/>
  <c r="BI158" i="2"/>
  <c r="BI61" i="2"/>
  <c r="BI174" i="2"/>
  <c r="BI125" i="2"/>
  <c r="BI152" i="2"/>
  <c r="BI156" i="2"/>
  <c r="BI182" i="2"/>
  <c r="BI80" i="2"/>
  <c r="BI76" i="2"/>
  <c r="BI37" i="2"/>
  <c r="BI188" i="2"/>
  <c r="BI133" i="2"/>
  <c r="BI51" i="2"/>
  <c r="BI11" i="2"/>
  <c r="BI55" i="2"/>
  <c r="BI136" i="2"/>
  <c r="BI183" i="2"/>
  <c r="BI66" i="2"/>
  <c r="BI46" i="2"/>
  <c r="BI86" i="2"/>
  <c r="BI124" i="2"/>
  <c r="BI126" i="2"/>
  <c r="BI43" i="2"/>
  <c r="BI93" i="2"/>
  <c r="BI23" i="2"/>
  <c r="BI117" i="2"/>
  <c r="BI184" i="2"/>
  <c r="BI27" i="2"/>
  <c r="BI69" i="2"/>
  <c r="BI141" i="2"/>
  <c r="BI88" i="2"/>
  <c r="BI161" i="2"/>
  <c r="BI120" i="2"/>
  <c r="BI165" i="2"/>
  <c r="BI168" i="2"/>
  <c r="BI111" i="2"/>
  <c r="BI164" i="2"/>
  <c r="BI17" i="2"/>
  <c r="BI75" i="2"/>
  <c r="BI121" i="2"/>
  <c r="BI173" i="2"/>
  <c r="BI201" i="2"/>
  <c r="BI98" i="2"/>
  <c r="BI109" i="2"/>
  <c r="BI82" i="2"/>
  <c r="BI119" i="2"/>
  <c r="BI200" i="2"/>
  <c r="BI112" i="2"/>
  <c r="BI181" i="2"/>
  <c r="BI155" i="2"/>
  <c r="BI85" i="2"/>
  <c r="BI196" i="2"/>
  <c r="BI186" i="2"/>
  <c r="BI50" i="2"/>
  <c r="BI113" i="2"/>
  <c r="BI79" i="2"/>
  <c r="BI31" i="2"/>
  <c r="BI203" i="2"/>
  <c r="BI175" i="2"/>
  <c r="BI81" i="2"/>
  <c r="BI54" i="2"/>
  <c r="BI60" i="2"/>
  <c r="BI35" i="2"/>
  <c r="BI71" i="2"/>
  <c r="BI91" i="2"/>
  <c r="BI110" i="2"/>
  <c r="BI145" i="2"/>
  <c r="BI20" i="2"/>
  <c r="BI185" i="2"/>
  <c r="BI12" i="2"/>
  <c r="BI104" i="2"/>
  <c r="BI48" i="2"/>
  <c r="BI143" i="2"/>
  <c r="BI77" i="2"/>
  <c r="BI137" i="2"/>
  <c r="BI16" i="2"/>
  <c r="BI3" i="2"/>
  <c r="C8" i="4" s="1"/>
  <c r="E8" i="4" s="1"/>
  <c r="F8" i="4" s="1"/>
  <c r="G8" i="4" s="1"/>
  <c r="L8" i="4" s="1"/>
  <c r="BI199" i="2"/>
  <c r="BI89" i="2"/>
  <c r="BI96" i="2"/>
  <c r="BI148" i="2"/>
  <c r="BI30" i="2"/>
  <c r="BI19" i="2"/>
  <c r="BI187" i="2"/>
  <c r="BI99" i="2"/>
  <c r="BI167" i="2"/>
  <c r="BI87" i="2"/>
  <c r="BI139" i="2"/>
  <c r="BI103" i="2"/>
  <c r="BI67" i="2"/>
  <c r="BI59" i="2"/>
  <c r="BI149" i="2"/>
  <c r="BI21" i="2"/>
  <c r="BI122" i="2"/>
  <c r="BI70" i="2"/>
  <c r="BI132" i="2"/>
  <c r="BI14" i="2"/>
  <c r="BI22" i="2"/>
  <c r="BI7" i="2"/>
  <c r="BI162" i="2"/>
  <c r="BI163" i="2"/>
  <c r="BI64" i="2"/>
  <c r="BI140" i="2"/>
  <c r="BI123" i="2"/>
  <c r="BF128" i="2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<sst xmlns="http://schemas.openxmlformats.org/spreadsheetml/2006/main" count="1187" uniqueCount="332">
  <si>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</si>
  <si>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</si>
  <si>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</si>
  <si>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</si>
  <si>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</si>
  <si>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</si>
  <si>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</si>
  <si>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</si>
  <si>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</si>
  <si>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</si>
  <si>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</si>
  <si>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</si>
  <si>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</si>
  <si>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</si>
  <si>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</si>
  <si>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</si>
  <si>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</si>
  <si>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</si>
  <si>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</si>
  <si>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</si>
  <si>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</si>
  <si>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</si>
  <si>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</si>
  <si>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</si>
  <si>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</si>
  <si>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</si>
  <si>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</si>
  <si>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</si>
  <si>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</si>
  <si>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</si>
  <si>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</si>
  <si>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</si>
  <si>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</si>
  <si>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</si>
  <si>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</si>
  <si>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</si>
  <si>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</si>
  <si>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</si>
  <si>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</si>
  <si>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</si>
  <si>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</si>
  <si>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</si>
  <si>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</si>
  <si>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</si>
  <si>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</si>
  <si>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</si>
  <si>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</si>
  <si>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</si>
  <si>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</si>
  <si>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</si>
  <si>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</si>
  <si>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</si>
  <si>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</si>
  <si>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</si>
  <si>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</si>
  <si>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</si>
  <si>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</si>
  <si>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</si>
  <si>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</si>
  <si>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</si>
  <si>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</si>
  <si>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</si>
  <si>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</si>
  <si>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</si>
  <si>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</si>
  <si>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</si>
  <si>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</si>
  <si>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</si>
  <si>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</si>
  <si>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</si>
  <si>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</si>
  <si>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</si>
  <si>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</si>
  <si>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</si>
  <si>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</si>
  <si>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</si>
  <si>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</si>
  <si>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</si>
  <si>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</si>
  <si>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</si>
  <si>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</si>
  <si>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</si>
  <si>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</si>
  <si>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</si>
  <si>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</si>
  <si>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</si>
  <si>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</si>
  <si>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</si>
  <si>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</si>
  <si>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</si>
  <si>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</si>
  <si>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</si>
  <si>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</si>
  <si>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</si>
  <si>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</si>
  <si>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</si>
  <si>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</si>
  <si>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</si>
  <si>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</si>
  <si>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</si>
  <si>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</si>
  <si>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</si>
  <si>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</si>
  <si>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</si>
  <si>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</si>
  <si>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</si>
  <si>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</si>
  <si>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</si>
  <si>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</si>
  <si>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</si>
  <si>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</si>
  <si>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</si>
  <si>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</si>
  <si>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</si>
  <si>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</si>
  <si>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</si>
  <si>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</si>
  <si>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</si>
  <si>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</si>
  <si>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</si>
  <si>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</si>
  <si>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</si>
  <si>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</si>
  <si>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</si>
  <si>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</si>
  <si>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</si>
  <si>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</si>
  <si>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</si>
  <si>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</si>
  <si>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</si>
  <si>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</si>
  <si>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</si>
  <si>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</si>
  <si>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</si>
  <si>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</si>
  <si>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</si>
  <si>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</si>
  <si>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</si>
  <si>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</si>
  <si>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</si>
  <si>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</si>
  <si>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</si>
  <si>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</si>
  <si>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</si>
  <si>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</si>
  <si>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</si>
  <si>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</si>
  <si>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</si>
  <si>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</si>
  <si>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</si>
  <si>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</si>
  <si>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</si>
  <si>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</si>
  <si>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</si>
  <si>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</si>
  <si>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</si>
  <si>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</si>
  <si>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</si>
  <si>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</si>
  <si>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</si>
  <si>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</si>
  <si>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</si>
  <si>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</si>
  <si>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</si>
  <si>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</si>
  <si>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</si>
  <si>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</si>
  <si>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</si>
  <si>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</si>
  <si>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</si>
  <si>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</si>
  <si>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</si>
  <si>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</si>
  <si>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</si>
  <si>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</si>
  <si>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</si>
  <si>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</si>
  <si>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</si>
  <si>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</si>
  <si>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</si>
  <si>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</si>
  <si>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</si>
  <si>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</si>
  <si>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</si>
  <si>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</si>
  <si>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</si>
  <si>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</si>
  <si>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</si>
  <si>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</si>
  <si>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</si>
  <si>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</si>
  <si>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</si>
  <si>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</si>
  <si>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</si>
  <si>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</si>
  <si>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</si>
  <si>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</si>
  <si>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</si>
  <si>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</si>
  <si>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</si>
  <si>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</si>
  <si>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</si>
  <si>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</si>
  <si>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</si>
  <si>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</si>
  <si>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</si>
  <si>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</si>
  <si>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</si>
  <si>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</si>
  <si>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</si>
  <si>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</si>
  <si>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</si>
  <si>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</si>
  <si>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</si>
  <si>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</si>
  <si>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</si>
  <si>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</si>
  <si>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</si>
  <si>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</si>
  <si>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</si>
  <si>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</si>
  <si>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</si>
  <si>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</si>
  <si>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</si>
  <si>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</si>
  <si>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</si>
  <si>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</si>
  <si>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</si>
  <si>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</si>
  <si>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</si>
  <si>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</si>
  <si>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</si>
  <si>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</si>
  <si>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</si>
  <si>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</si>
  <si>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</si>
  <si>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</si>
  <si>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</si>
  <si>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</si>
  <si>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</si>
  <si>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</si>
  <si>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</si>
  <si>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</si>
  <si>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</si>
  <si>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</si>
  <si>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</si>
  <si>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</si>
  <si>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</si>
  <si>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</si>
  <si>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</si>
  <si>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</si>
  <si>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</si>
  <si>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</si>
  <si>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</si>
  <si>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</si>
  <si>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</si>
  <si>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</si>
  <si>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</si>
  <si>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</si>
  <si>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</si>
  <si>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</si>
  <si>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</si>
  <si>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</si>
  <si>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</si>
  <si>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</si>
  <si>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</si>
  <si>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</si>
  <si>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</si>
  <si>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</si>
  <si>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</si>
  <si>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</si>
  <si>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</si>
  <si>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</si>
  <si>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</si>
  <si>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</si>
  <si>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</si>
  <si>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</si>
  <si>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</si>
  <si>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</si>
  <si>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</si>
  <si>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</si>
  <si>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</si>
  <si>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</si>
  <si>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</si>
  <si>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</si>
  <si>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</si>
  <si>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</si>
  <si>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</si>
  <si>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</si>
  <si>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</si>
  <si>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</si>
  <si>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</si>
  <si>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</si>
  <si>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</si>
  <si>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</si>
  <si>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</si>
  <si>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</si>
  <si>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</si>
  <si>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</si>
  <si>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</si>
  <si>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</si>
  <si>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</si>
  <si>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</si>
  <si>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</si>
  <si>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</si>
  <si>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</si>
  <si>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</si>
  <si>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</si>
  <si>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</si>
  <si>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</si>
  <si>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</si>
  <si>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</si>
  <si>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</si>
  <si>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</si>
  <si>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</si>
  <si>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</si>
  <si>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</si>
  <si>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</si>
  <si>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</si>
  <si>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</si>
  <si>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</si>
  <si>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</si>
  <si>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</si>
  <si>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</si>
  <si>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Sessile</t>
  </si>
  <si>
    <t>Pin Laricio</t>
  </si>
  <si>
    <t>Chêne Rouge</t>
  </si>
  <si>
    <t>Robinier Hongrie</t>
  </si>
  <si>
    <t>Charme commun</t>
  </si>
  <si>
    <t>Poirier commun</t>
  </si>
  <si>
    <t>Alisier Torminal &amp; Cormier</t>
  </si>
  <si>
    <t xml:space="preserve">Charme commun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</si>
</sst>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6"/>
      <color theme="1"/>
      <name val="GillSans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0" borderId="0" xfId="0" applyFon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168" fontId="33" fillId="21" borderId="1" xfId="0" applyNumberFormat="1" applyFont="1" applyFill="1" applyBorder="1" applyAlignment="1" applyProtection="1">
      <alignment horizontal="center"/>
      <protection locked="0"/>
    </xf>
    <xf numFmtId="0" fontId="34" fillId="0" borderId="0" xfId="0" applyFont="1" applyProtection="1"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532.84422993929081</c:v>
                </c:pt>
                <c:pt idx="86">
                  <c:v>548.52394495954456</c:v>
                </c:pt>
                <c:pt idx="87">
                  <c:v>564.19426205044931</c:v>
                </c:pt>
                <c:pt idx="88">
                  <c:v>579.85547886369841</c:v>
                </c:pt>
                <c:pt idx="89">
                  <c:v>595.50787567037457</c:v>
                </c:pt>
                <c:pt idx="90">
                  <c:v>611.15171681542461</c:v>
                </c:pt>
                <c:pt idx="91">
                  <c:v>627.24503389997983</c:v>
                </c:pt>
                <c:pt idx="92">
                  <c:v>643.32980876959175</c:v>
                </c:pt>
                <c:pt idx="93">
                  <c:v>659.40628493406564</c:v>
                </c:pt>
                <c:pt idx="94">
                  <c:v>675.47469307008441</c:v>
                </c:pt>
                <c:pt idx="95">
                  <c:v>572.66141294310569</c:v>
                </c:pt>
                <c:pt idx="96">
                  <c:v>587.85943661111344</c:v>
                </c:pt>
                <c:pt idx="97">
                  <c:v>603.04927853537947</c:v>
                </c:pt>
                <c:pt idx="98">
                  <c:v>618.23117371588148</c:v>
                </c:pt>
                <c:pt idx="99">
                  <c:v>633.40534467650673</c:v>
                </c:pt>
                <c:pt idx="100">
                  <c:v>648.57200241659064</c:v>
                </c:pt>
                <c:pt idx="101">
                  <c:v>664.16953701650334</c:v>
                </c:pt>
                <c:pt idx="102">
                  <c:v>679.75953699268439</c:v>
                </c:pt>
                <c:pt idx="103">
                  <c:v>695.34219936624515</c:v>
                </c:pt>
                <c:pt idx="104">
                  <c:v>710.91771161446832</c:v>
                </c:pt>
                <c:pt idx="105">
                  <c:v>611.35210210207231</c:v>
                </c:pt>
                <c:pt idx="106">
                  <c:v>626.49159753762888</c:v>
                </c:pt>
                <c:pt idx="107">
                  <c:v>641.62352318685726</c:v>
                </c:pt>
                <c:pt idx="108">
                  <c:v>656.74808261198325</c:v>
                </c:pt>
                <c:pt idx="109">
                  <c:v>671.86546924103675</c:v>
                </c:pt>
                <c:pt idx="110">
                  <c:v>686.97586709374957</c:v>
                </c:pt>
                <c:pt idx="111">
                  <c:v>702.07945144031135</c:v>
                </c:pt>
                <c:pt idx="112">
                  <c:v>717.17638940053212</c:v>
                </c:pt>
                <c:pt idx="113">
                  <c:v>732.26684048997322</c:v>
                </c:pt>
                <c:pt idx="114">
                  <c:v>747.35095711875431</c:v>
                </c:pt>
                <c:pt idx="115">
                  <c:v>655.85624900138521</c:v>
                </c:pt>
                <c:pt idx="116">
                  <c:v>671.08262465023358</c:v>
                </c:pt>
                <c:pt idx="117">
                  <c:v>686.30190130011749</c:v>
                </c:pt>
                <c:pt idx="118">
                  <c:v>701.51425844303446</c:v>
                </c:pt>
                <c:pt idx="119">
                  <c:v>716.7198671574514</c:v>
                </c:pt>
                <c:pt idx="120">
                  <c:v>731.9188906764831</c:v>
                </c:pt>
                <c:pt idx="121">
                  <c:v>747.11148490646076</c:v>
                </c:pt>
                <c:pt idx="122">
                  <c:v>762.2977989011614</c:v>
                </c:pt>
                <c:pt idx="123">
                  <c:v>777.47797529631623</c:v>
                </c:pt>
                <c:pt idx="124">
                  <c:v>792.65215070844999</c:v>
                </c:pt>
                <c:pt idx="125">
                  <c:v>7.619152395849318E-12</c:v>
                </c:pt>
                <c:pt idx="126">
                  <c:v>7.619152395849318E-12</c:v>
                </c:pt>
                <c:pt idx="127">
                  <c:v>7.619152395849318E-12</c:v>
                </c:pt>
                <c:pt idx="128">
                  <c:v>7.619152395849318E-12</c:v>
                </c:pt>
                <c:pt idx="129">
                  <c:v>7.619152395849318E-12</c:v>
                </c:pt>
                <c:pt idx="130">
                  <c:v>7.619152395849318E-12</c:v>
                </c:pt>
                <c:pt idx="131">
                  <c:v>7.619152395849318E-12</c:v>
                </c:pt>
                <c:pt idx="132">
                  <c:v>7.619152395849318E-12</c:v>
                </c:pt>
                <c:pt idx="133">
                  <c:v>7.619152395849318E-12</c:v>
                </c:pt>
                <c:pt idx="134">
                  <c:v>7.619152395849318E-12</c:v>
                </c:pt>
                <c:pt idx="135">
                  <c:v>7.619152395849318E-12</c:v>
                </c:pt>
                <c:pt idx="136">
                  <c:v>7.619152395849318E-12</c:v>
                </c:pt>
                <c:pt idx="137">
                  <c:v>7.619152395849318E-12</c:v>
                </c:pt>
                <c:pt idx="138">
                  <c:v>7.619152395849318E-12</c:v>
                </c:pt>
                <c:pt idx="139">
                  <c:v>7.619152395849318E-12</c:v>
                </c:pt>
                <c:pt idx="140">
                  <c:v>7.619152395849318E-12</c:v>
                </c:pt>
                <c:pt idx="141">
                  <c:v>7.619152395849318E-12</c:v>
                </c:pt>
                <c:pt idx="142">
                  <c:v>7.619152395849318E-12</c:v>
                </c:pt>
                <c:pt idx="143">
                  <c:v>7.619152395849318E-12</c:v>
                </c:pt>
                <c:pt idx="144">
                  <c:v>7.619152395849318E-12</c:v>
                </c:pt>
                <c:pt idx="145">
                  <c:v>7.619152395849318E-12</c:v>
                </c:pt>
                <c:pt idx="146">
                  <c:v>7.619152395849318E-12</c:v>
                </c:pt>
                <c:pt idx="147">
                  <c:v>7.619152395849318E-12</c:v>
                </c:pt>
                <c:pt idx="148">
                  <c:v>7.619152395849318E-12</c:v>
                </c:pt>
                <c:pt idx="149">
                  <c:v>7.619152395849318E-12</c:v>
                </c:pt>
                <c:pt idx="150">
                  <c:v>7.619152395849318E-12</c:v>
                </c:pt>
                <c:pt idx="151">
                  <c:v>7.619152395849318E-12</c:v>
                </c:pt>
                <c:pt idx="152">
                  <c:v>7.619152395849318E-12</c:v>
                </c:pt>
                <c:pt idx="153">
                  <c:v>7.619152395849318E-12</c:v>
                </c:pt>
                <c:pt idx="154">
                  <c:v>7.619152395849318E-12</c:v>
                </c:pt>
                <c:pt idx="155">
                  <c:v>7.619152395849318E-12</c:v>
                </c:pt>
                <c:pt idx="156">
                  <c:v>7.619152395849318E-12</c:v>
                </c:pt>
                <c:pt idx="157">
                  <c:v>7.619152395849318E-12</c:v>
                </c:pt>
                <c:pt idx="158">
                  <c:v>7.619152395849318E-12</c:v>
                </c:pt>
                <c:pt idx="159">
                  <c:v>7.619152395849318E-12</c:v>
                </c:pt>
                <c:pt idx="160">
                  <c:v>7.619152395849318E-12</c:v>
                </c:pt>
                <c:pt idx="161">
                  <c:v>7.619152395849318E-12</c:v>
                </c:pt>
                <c:pt idx="162">
                  <c:v>7.619152395849318E-12</c:v>
                </c:pt>
                <c:pt idx="163">
                  <c:v>7.619152395849318E-12</c:v>
                </c:pt>
                <c:pt idx="164">
                  <c:v>7.619152395849318E-12</c:v>
                </c:pt>
                <c:pt idx="165">
                  <c:v>7.619152395849318E-12</c:v>
                </c:pt>
                <c:pt idx="166">
                  <c:v>7.619152395849318E-12</c:v>
                </c:pt>
                <c:pt idx="167">
                  <c:v>7.619152395849318E-12</c:v>
                </c:pt>
                <c:pt idx="168">
                  <c:v>7.619152395849318E-12</c:v>
                </c:pt>
                <c:pt idx="169">
                  <c:v>7.619152395849318E-12</c:v>
                </c:pt>
                <c:pt idx="170">
                  <c:v>7.619152395849318E-12</c:v>
                </c:pt>
                <c:pt idx="171">
                  <c:v>7.619152395849318E-12</c:v>
                </c:pt>
                <c:pt idx="172">
                  <c:v>7.619152395849318E-12</c:v>
                </c:pt>
                <c:pt idx="173">
                  <c:v>7.619152395849318E-12</c:v>
                </c:pt>
                <c:pt idx="174">
                  <c:v>7.619152395849318E-12</c:v>
                </c:pt>
                <c:pt idx="175">
                  <c:v>7.619152395849318E-12</c:v>
                </c:pt>
                <c:pt idx="176">
                  <c:v>7.619152395849318E-12</c:v>
                </c:pt>
                <c:pt idx="177">
                  <c:v>7.619152395849318E-12</c:v>
                </c:pt>
                <c:pt idx="178">
                  <c:v>7.619152395849318E-12</c:v>
                </c:pt>
                <c:pt idx="179">
                  <c:v>7.619152395849318E-12</c:v>
                </c:pt>
                <c:pt idx="180">
                  <c:v>7.619152395849318E-12</c:v>
                </c:pt>
                <c:pt idx="181">
                  <c:v>7.619152395849318E-12</c:v>
                </c:pt>
                <c:pt idx="182">
                  <c:v>7.619152395849318E-12</c:v>
                </c:pt>
                <c:pt idx="183">
                  <c:v>7.619152395849318E-12</c:v>
                </c:pt>
                <c:pt idx="184">
                  <c:v>7.619152395849318E-12</c:v>
                </c:pt>
                <c:pt idx="185">
                  <c:v>7.619152395849318E-12</c:v>
                </c:pt>
                <c:pt idx="186">
                  <c:v>7.619152395849318E-12</c:v>
                </c:pt>
                <c:pt idx="187">
                  <c:v>7.619152395849318E-12</c:v>
                </c:pt>
                <c:pt idx="188">
                  <c:v>7.619152395849318E-12</c:v>
                </c:pt>
                <c:pt idx="189">
                  <c:v>7.619152395849318E-12</c:v>
                </c:pt>
                <c:pt idx="190">
                  <c:v>7.619152395849318E-12</c:v>
                </c:pt>
                <c:pt idx="191">
                  <c:v>7.619152395849318E-12</c:v>
                </c:pt>
                <c:pt idx="192">
                  <c:v>7.619152395849318E-12</c:v>
                </c:pt>
                <c:pt idx="193">
                  <c:v>7.619152395849318E-12</c:v>
                </c:pt>
                <c:pt idx="194">
                  <c:v>7.619152395849318E-12</c:v>
                </c:pt>
                <c:pt idx="195">
                  <c:v>7.619152395849318E-12</c:v>
                </c:pt>
                <c:pt idx="196">
                  <c:v>7.619152395849318E-12</c:v>
                </c:pt>
                <c:pt idx="197">
                  <c:v>7.619152395849318E-12</c:v>
                </c:pt>
                <c:pt idx="198">
                  <c:v>7.619152395849318E-12</c:v>
                </c:pt>
                <c:pt idx="199">
                  <c:v>7.619152395849318E-12</c:v>
                </c:pt>
                <c:pt idx="200">
                  <c:v>7.619152395849318E-12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595.61602368565775</c:v>
                </c:pt>
                <c:pt idx="86">
                  <c:v>613.14728294722136</c:v>
                </c:pt>
                <c:pt idx="87">
                  <c:v>630.66814881355288</c:v>
                </c:pt>
                <c:pt idx="88">
                  <c:v>648.17895046479146</c:v>
                </c:pt>
                <c:pt idx="89">
                  <c:v>665.67999785944255</c:v>
                </c:pt>
                <c:pt idx="90">
                  <c:v>683.17158334291651</c:v>
                </c:pt>
                <c:pt idx="91">
                  <c:v>701.16583951767541</c:v>
                </c:pt>
                <c:pt idx="92">
                  <c:v>719.1506486522652</c:v>
                </c:pt>
                <c:pt idx="93">
                  <c:v>737.12628005001454</c:v>
                </c:pt>
                <c:pt idx="94">
                  <c:v>755.09298882179371</c:v>
                </c:pt>
                <c:pt idx="95">
                  <c:v>640.13525405815994</c:v>
                </c:pt>
                <c:pt idx="96">
                  <c:v>657.12821483163953</c:v>
                </c:pt>
                <c:pt idx="97">
                  <c:v>674.11212721868947</c:v>
                </c:pt>
                <c:pt idx="98">
                  <c:v>691.08725111141428</c:v>
                </c:pt>
                <c:pt idx="99">
                  <c:v>708.05383260431324</c:v>
                </c:pt>
                <c:pt idx="100">
                  <c:v>725.01210504660594</c:v>
                </c:pt>
                <c:pt idx="101">
                  <c:v>742.45224632565453</c:v>
                </c:pt>
                <c:pt idx="102">
                  <c:v>759.88405488379647</c:v>
                </c:pt>
                <c:pt idx="103">
                  <c:v>777.30774861139935</c:v>
                </c:pt>
                <c:pt idx="104">
                  <c:v>794.72353484408097</c:v>
                </c:pt>
                <c:pt idx="105">
                  <c:v>683.39563744279769</c:v>
                </c:pt>
                <c:pt idx="106">
                  <c:v>700.32340506833282</c:v>
                </c:pt>
                <c:pt idx="107">
                  <c:v>717.24280108580308</c:v>
                </c:pt>
                <c:pt idx="108">
                  <c:v>734.15405061955119</c:v>
                </c:pt>
                <c:pt idx="109">
                  <c:v>751.05736758626983</c:v>
                </c:pt>
                <c:pt idx="110">
                  <c:v>767.9529554977895</c:v>
                </c:pt>
                <c:pt idx="111">
                  <c:v>784.84100818961178</c:v>
                </c:pt>
                <c:pt idx="112">
                  <c:v>801.72171048353903</c:v>
                </c:pt>
                <c:pt idx="113">
                  <c:v>818.59523879165238</c:v>
                </c:pt>
                <c:pt idx="114">
                  <c:v>835.46176166795431</c:v>
                </c:pt>
                <c:pt idx="115">
                  <c:v>733.15686072460505</c:v>
                </c:pt>
                <c:pt idx="116">
                  <c:v>750.18203757377114</c:v>
                </c:pt>
                <c:pt idx="117">
                  <c:v>767.19936346989743</c:v>
                </c:pt>
                <c:pt idx="118">
                  <c:v>784.20903691748447</c:v>
                </c:pt>
                <c:pt idx="119">
                  <c:v>801.21124711630773</c:v>
                </c:pt>
                <c:pt idx="120">
                  <c:v>818.20617458978006</c:v>
                </c:pt>
                <c:pt idx="121">
                  <c:v>835.19399175844831</c:v>
                </c:pt>
                <c:pt idx="122">
                  <c:v>852.1748634644556</c:v>
                </c:pt>
                <c:pt idx="123">
                  <c:v>869.14894745207437</c:v>
                </c:pt>
                <c:pt idx="124">
                  <c:v>886.11639480879273</c:v>
                </c:pt>
                <c:pt idx="125">
                  <c:v>8.4341392062765094E-12</c:v>
                </c:pt>
                <c:pt idx="126">
                  <c:v>8.4341392062765094E-12</c:v>
                </c:pt>
                <c:pt idx="127">
                  <c:v>8.4341392062765094E-12</c:v>
                </c:pt>
                <c:pt idx="128">
                  <c:v>8.4341392062765094E-12</c:v>
                </c:pt>
                <c:pt idx="129">
                  <c:v>8.4341392062765094E-12</c:v>
                </c:pt>
                <c:pt idx="130">
                  <c:v>8.4341392062765094E-12</c:v>
                </c:pt>
                <c:pt idx="131">
                  <c:v>8.4341392062765094E-12</c:v>
                </c:pt>
                <c:pt idx="132">
                  <c:v>8.4341392062765094E-12</c:v>
                </c:pt>
                <c:pt idx="133">
                  <c:v>8.4341392062765094E-12</c:v>
                </c:pt>
                <c:pt idx="134">
                  <c:v>8.4341392062765094E-12</c:v>
                </c:pt>
                <c:pt idx="135">
                  <c:v>8.4341392062765094E-12</c:v>
                </c:pt>
                <c:pt idx="136">
                  <c:v>8.4341392062765094E-12</c:v>
                </c:pt>
                <c:pt idx="137">
                  <c:v>8.4341392062765094E-12</c:v>
                </c:pt>
                <c:pt idx="138">
                  <c:v>8.4341392062765094E-12</c:v>
                </c:pt>
                <c:pt idx="139">
                  <c:v>8.4341392062765094E-12</c:v>
                </c:pt>
                <c:pt idx="140">
                  <c:v>8.4341392062765094E-12</c:v>
                </c:pt>
                <c:pt idx="141">
                  <c:v>8.4341392062765094E-12</c:v>
                </c:pt>
                <c:pt idx="142">
                  <c:v>8.4341392062765094E-12</c:v>
                </c:pt>
                <c:pt idx="143">
                  <c:v>8.4341392062765094E-12</c:v>
                </c:pt>
                <c:pt idx="144">
                  <c:v>8.4341392062765094E-12</c:v>
                </c:pt>
                <c:pt idx="145">
                  <c:v>8.4341392062765094E-12</c:v>
                </c:pt>
                <c:pt idx="146">
                  <c:v>8.4341392062765094E-12</c:v>
                </c:pt>
                <c:pt idx="147">
                  <c:v>8.4341392062765094E-12</c:v>
                </c:pt>
                <c:pt idx="148">
                  <c:v>8.4341392062765094E-12</c:v>
                </c:pt>
                <c:pt idx="149">
                  <c:v>8.4341392062765094E-12</c:v>
                </c:pt>
                <c:pt idx="150">
                  <c:v>8.4341392062765094E-12</c:v>
                </c:pt>
                <c:pt idx="151">
                  <c:v>8.4341392062765094E-12</c:v>
                </c:pt>
                <c:pt idx="152">
                  <c:v>8.4341392062765094E-12</c:v>
                </c:pt>
                <c:pt idx="153">
                  <c:v>8.4341392062765094E-12</c:v>
                </c:pt>
                <c:pt idx="154">
                  <c:v>8.4341392062765094E-12</c:v>
                </c:pt>
                <c:pt idx="155">
                  <c:v>8.4341392062765094E-12</c:v>
                </c:pt>
                <c:pt idx="156">
                  <c:v>8.4341392062765094E-12</c:v>
                </c:pt>
                <c:pt idx="157">
                  <c:v>8.4341392062765094E-12</c:v>
                </c:pt>
                <c:pt idx="158">
                  <c:v>8.4341392062765094E-12</c:v>
                </c:pt>
                <c:pt idx="159">
                  <c:v>8.4341392062765094E-12</c:v>
                </c:pt>
                <c:pt idx="160">
                  <c:v>8.4341392062765094E-12</c:v>
                </c:pt>
                <c:pt idx="161">
                  <c:v>8.4341392062765094E-12</c:v>
                </c:pt>
                <c:pt idx="162">
                  <c:v>8.4341392062765094E-12</c:v>
                </c:pt>
                <c:pt idx="163">
                  <c:v>8.4341392062765094E-12</c:v>
                </c:pt>
                <c:pt idx="164">
                  <c:v>8.4341392062765094E-12</c:v>
                </c:pt>
                <c:pt idx="165">
                  <c:v>8.4341392062765094E-12</c:v>
                </c:pt>
                <c:pt idx="166">
                  <c:v>8.4341392062765094E-12</c:v>
                </c:pt>
                <c:pt idx="167">
                  <c:v>8.4341392062765094E-12</c:v>
                </c:pt>
                <c:pt idx="168">
                  <c:v>8.4341392062765094E-12</c:v>
                </c:pt>
                <c:pt idx="169">
                  <c:v>8.4341392062765094E-12</c:v>
                </c:pt>
                <c:pt idx="170">
                  <c:v>8.4341392062765094E-12</c:v>
                </c:pt>
                <c:pt idx="171">
                  <c:v>8.4341392062765094E-12</c:v>
                </c:pt>
                <c:pt idx="172">
                  <c:v>8.4341392062765094E-12</c:v>
                </c:pt>
                <c:pt idx="173">
                  <c:v>8.4341392062765094E-12</c:v>
                </c:pt>
                <c:pt idx="174">
                  <c:v>8.4341392062765094E-12</c:v>
                </c:pt>
                <c:pt idx="175">
                  <c:v>8.4341392062765094E-12</c:v>
                </c:pt>
                <c:pt idx="176">
                  <c:v>8.4341392062765094E-12</c:v>
                </c:pt>
                <c:pt idx="177">
                  <c:v>8.4341392062765094E-12</c:v>
                </c:pt>
                <c:pt idx="178">
                  <c:v>8.4341392062765094E-12</c:v>
                </c:pt>
                <c:pt idx="179">
                  <c:v>8.4341392062765094E-12</c:v>
                </c:pt>
                <c:pt idx="180">
                  <c:v>8.4341392062765094E-12</c:v>
                </c:pt>
                <c:pt idx="181">
                  <c:v>8.4341392062765094E-12</c:v>
                </c:pt>
                <c:pt idx="182">
                  <c:v>8.4341392062765094E-12</c:v>
                </c:pt>
                <c:pt idx="183">
                  <c:v>8.4341392062765094E-12</c:v>
                </c:pt>
                <c:pt idx="184">
                  <c:v>8.4341392062765094E-12</c:v>
                </c:pt>
                <c:pt idx="185">
                  <c:v>8.4341392062765094E-12</c:v>
                </c:pt>
                <c:pt idx="186">
                  <c:v>8.4341392062765094E-12</c:v>
                </c:pt>
                <c:pt idx="187">
                  <c:v>8.4341392062765094E-12</c:v>
                </c:pt>
                <c:pt idx="188">
                  <c:v>8.4341392062765094E-12</c:v>
                </c:pt>
                <c:pt idx="189">
                  <c:v>8.4341392062765094E-12</c:v>
                </c:pt>
                <c:pt idx="190">
                  <c:v>8.4341392062765094E-12</c:v>
                </c:pt>
                <c:pt idx="191">
                  <c:v>8.4341392062765094E-12</c:v>
                </c:pt>
                <c:pt idx="192">
                  <c:v>8.4341392062765094E-12</c:v>
                </c:pt>
                <c:pt idx="193">
                  <c:v>8.4341392062765094E-12</c:v>
                </c:pt>
                <c:pt idx="194">
                  <c:v>8.4341392062765094E-12</c:v>
                </c:pt>
                <c:pt idx="195">
                  <c:v>8.4341392062765094E-12</c:v>
                </c:pt>
                <c:pt idx="196">
                  <c:v>8.4341392062765094E-12</c:v>
                </c:pt>
                <c:pt idx="197">
                  <c:v>8.4341392062765094E-12</c:v>
                </c:pt>
                <c:pt idx="198">
                  <c:v>8.4341392062765094E-12</c:v>
                </c:pt>
                <c:pt idx="199">
                  <c:v>8.4341392062765094E-12</c:v>
                </c:pt>
                <c:pt idx="200">
                  <c:v>8.4341392062765094E-12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4.0314676005013244</c:v>
                </c:pt>
                <c:pt idx="2">
                  <c:v>7.0407446882161819</c:v>
                </c:pt>
                <c:pt idx="3">
                  <c:v>12.307722988466052</c:v>
                </c:pt>
                <c:pt idx="4">
                  <c:v>21.534208160801484</c:v>
                </c:pt>
                <c:pt idx="5">
                  <c:v>37.710319162786249</c:v>
                </c:pt>
                <c:pt idx="6">
                  <c:v>46.840947180252947</c:v>
                </c:pt>
                <c:pt idx="7">
                  <c:v>61.084849619607809</c:v>
                </c:pt>
                <c:pt idx="8">
                  <c:v>75.241865865543119</c:v>
                </c:pt>
                <c:pt idx="9">
                  <c:v>89.330764087495879</c:v>
                </c:pt>
                <c:pt idx="10">
                  <c:v>103.36384630997127</c:v>
                </c:pt>
                <c:pt idx="11">
                  <c:v>90.610829231962569</c:v>
                </c:pt>
                <c:pt idx="12">
                  <c:v>104.64327309821816</c:v>
                </c:pt>
                <c:pt idx="13">
                  <c:v>118.62920512220586</c:v>
                </c:pt>
                <c:pt idx="14">
                  <c:v>132.57489100412258</c:v>
                </c:pt>
                <c:pt idx="15">
                  <c:v>146.48516600969754</c:v>
                </c:pt>
                <c:pt idx="16">
                  <c:v>137.37981636421117</c:v>
                </c:pt>
                <c:pt idx="17">
                  <c:v>149.76272460341599</c:v>
                </c:pt>
                <c:pt idx="18">
                  <c:v>162.12121786769652</c:v>
                </c:pt>
                <c:pt idx="19">
                  <c:v>174.45742106451073</c:v>
                </c:pt>
                <c:pt idx="20">
                  <c:v>186.77313359736718</c:v>
                </c:pt>
                <c:pt idx="21">
                  <c:v>179.74528001068612</c:v>
                </c:pt>
                <c:pt idx="22">
                  <c:v>190.29452034615596</c:v>
                </c:pt>
                <c:pt idx="23">
                  <c:v>200.83014061070116</c:v>
                </c:pt>
                <c:pt idx="24">
                  <c:v>211.35295663995055</c:v>
                </c:pt>
                <c:pt idx="25">
                  <c:v>221.86369631006369</c:v>
                </c:pt>
                <c:pt idx="26">
                  <c:v>216.60979358120588</c:v>
                </c:pt>
                <c:pt idx="27">
                  <c:v>225.11374796401199</c:v>
                </c:pt>
                <c:pt idx="28">
                  <c:v>233.61034286375423</c:v>
                </c:pt>
                <c:pt idx="29">
                  <c:v>242.09988399324376</c:v>
                </c:pt>
                <c:pt idx="30">
                  <c:v>250.58265384971901</c:v>
                </c:pt>
                <c:pt idx="31">
                  <c:v>246.58929862780818</c:v>
                </c:pt>
                <c:pt idx="32">
                  <c:v>253.82375984286207</c:v>
                </c:pt>
                <c:pt idx="33">
                  <c:v>261.05355259290178</c:v>
                </c:pt>
                <c:pt idx="34">
                  <c:v>268.27882456875994</c:v>
                </c:pt>
                <c:pt idx="35">
                  <c:v>275.4997148468297</c:v>
                </c:pt>
                <c:pt idx="36">
                  <c:v>272.7579154774819</c:v>
                </c:pt>
                <c:pt idx="37">
                  <c:v>278.73393966613901</c:v>
                </c:pt>
                <c:pt idx="38">
                  <c:v>284.70708949814281</c:v>
                </c:pt>
                <c:pt idx="39">
                  <c:v>290.67743387017862</c:v>
                </c:pt>
                <c:pt idx="40">
                  <c:v>296.64503861387669</c:v>
                </c:pt>
                <c:pt idx="41">
                  <c:v>295.39667943153341</c:v>
                </c:pt>
                <c:pt idx="42">
                  <c:v>301.61018238972099</c:v>
                </c:pt>
                <c:pt idx="43">
                  <c:v>307.82083603943175</c:v>
                </c:pt>
                <c:pt idx="44">
                  <c:v>314.0287060515364</c:v>
                </c:pt>
                <c:pt idx="45">
                  <c:v>320.23385528541138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3.1810904653671215</c:v>
                </c:pt>
                <c:pt idx="2">
                  <c:v>6.2094680488116252</c:v>
                </c:pt>
                <c:pt idx="3">
                  <c:v>9.188527037102256</c:v>
                </c:pt>
                <c:pt idx="4">
                  <c:v>12.137184895822921</c:v>
                </c:pt>
                <c:pt idx="5">
                  <c:v>15.064015640531764</c:v>
                </c:pt>
                <c:pt idx="6">
                  <c:v>17.973910247678308</c:v>
                </c:pt>
                <c:pt idx="7">
                  <c:v>20.870021740667198</c:v>
                </c:pt>
                <c:pt idx="8">
                  <c:v>23.75454632478105</c:v>
                </c:pt>
                <c:pt idx="9">
                  <c:v>26.62909823884058</c:v>
                </c:pt>
                <c:pt idx="10">
                  <c:v>29.494911957588343</c:v>
                </c:pt>
                <c:pt idx="11">
                  <c:v>32.352960773667625</c:v>
                </c:pt>
                <c:pt idx="12">
                  <c:v>35.204030867447585</c:v>
                </c:pt>
                <c:pt idx="13">
                  <c:v>38.048769917348906</c:v>
                </c:pt>
                <c:pt idx="14">
                  <c:v>40.887720298604187</c:v>
                </c:pt>
                <c:pt idx="15">
                  <c:v>43.721342513764405</c:v>
                </c:pt>
                <c:pt idx="16">
                  <c:v>46.55003219133971</c:v>
                </c:pt>
                <c:pt idx="17">
                  <c:v>49.374132711152072</c:v>
                </c:pt>
                <c:pt idx="18">
                  <c:v>52.193944773305979</c:v>
                </c:pt>
                <c:pt idx="19">
                  <c:v>55.009733779758164</c:v>
                </c:pt>
                <c:pt idx="20">
                  <c:v>57.821735617540241</c:v>
                </c:pt>
                <c:pt idx="21">
                  <c:v>60.630161252466685</c:v>
                </c:pt>
                <c:pt idx="22">
                  <c:v>63.435200423059477</c:v>
                </c:pt>
                <c:pt idx="23">
                  <c:v>66.237024643864871</c:v>
                </c:pt>
                <c:pt idx="24">
                  <c:v>69.035789671715975</c:v>
                </c:pt>
                <c:pt idx="25">
                  <c:v>71.831637549369091</c:v>
                </c:pt>
                <c:pt idx="26">
                  <c:v>74.624698312954209</c:v>
                </c:pt>
                <c:pt idx="27">
                  <c:v>77.415091429351889</c:v>
                </c:pt>
                <c:pt idx="28">
                  <c:v>80.202927014639741</c:v>
                </c:pt>
                <c:pt idx="29">
                  <c:v>82.988306873583142</c:v>
                </c:pt>
                <c:pt idx="30">
                  <c:v>85.771325391720211</c:v>
                </c:pt>
                <c:pt idx="31">
                  <c:v>88.552070305160541</c:v>
                </c:pt>
                <c:pt idx="32">
                  <c:v>91.330623368264909</c:v>
                </c:pt>
                <c:pt idx="33">
                  <c:v>94.107060935520551</c:v>
                </c:pt>
                <c:pt idx="34">
                  <c:v>96.881454470904217</c:v>
                </c:pt>
                <c:pt idx="35">
                  <c:v>99.653870995636581</c:v>
                </c:pt>
                <c:pt idx="36">
                  <c:v>102.42437348332608</c:v>
                </c:pt>
                <c:pt idx="37">
                  <c:v>105.19302120997368</c:v>
                </c:pt>
                <c:pt idx="38">
                  <c:v>107.95987006507546</c:v>
                </c:pt>
                <c:pt idx="39">
                  <c:v>110.72497282905589</c:v>
                </c:pt>
                <c:pt idx="40">
                  <c:v>113.48837942144611</c:v>
                </c:pt>
                <c:pt idx="41">
                  <c:v>120.98830536971133</c:v>
                </c:pt>
                <c:pt idx="42">
                  <c:v>140.93477880101247</c:v>
                </c:pt>
                <c:pt idx="43">
                  <c:v>160.81345131698617</c:v>
                </c:pt>
                <c:pt idx="44">
                  <c:v>180.63389383332569</c:v>
                </c:pt>
                <c:pt idx="45">
                  <c:v>200.40339902760684</c:v>
                </c:pt>
                <c:pt idx="46">
                  <c:v>192.9954118351387</c:v>
                </c:pt>
                <c:pt idx="47">
                  <c:v>210.27088926992508</c:v>
                </c:pt>
                <c:pt idx="48">
                  <c:v>227.51363078342172</c:v>
                </c:pt>
                <c:pt idx="49">
                  <c:v>244.72646674718473</c:v>
                </c:pt>
                <c:pt idx="50">
                  <c:v>261.9117966123722</c:v>
                </c:pt>
                <c:pt idx="51">
                  <c:v>247.18314656436397</c:v>
                </c:pt>
                <c:pt idx="52">
                  <c:v>263.13832385446153</c:v>
                </c:pt>
                <c:pt idx="53">
                  <c:v>279.07167909659785</c:v>
                </c:pt>
                <c:pt idx="54">
                  <c:v>294.98463359298847</c:v>
                </c:pt>
                <c:pt idx="55">
                  <c:v>310.87844274943274</c:v>
                </c:pt>
                <c:pt idx="56">
                  <c:v>289.27455595422862</c:v>
                </c:pt>
                <c:pt idx="57">
                  <c:v>304.36014728879525</c:v>
                </c:pt>
                <c:pt idx="58">
                  <c:v>319.42911394952921</c:v>
                </c:pt>
                <c:pt idx="59">
                  <c:v>334.48235062383475</c:v>
                </c:pt>
                <c:pt idx="60">
                  <c:v>349.52066488969609</c:v>
                </c:pt>
                <c:pt idx="61">
                  <c:v>324.31292757822467</c:v>
                </c:pt>
                <c:pt idx="62">
                  <c:v>337.73511622084806</c:v>
                </c:pt>
                <c:pt idx="63">
                  <c:v>351.145566247609</c:v>
                </c:pt>
                <c:pt idx="64">
                  <c:v>364.54478915866071</c:v>
                </c:pt>
                <c:pt idx="65">
                  <c:v>377.93325577983654</c:v>
                </c:pt>
                <c:pt idx="66">
                  <c:v>349.1144136813848</c:v>
                </c:pt>
                <c:pt idx="67">
                  <c:v>362.92122282331735</c:v>
                </c:pt>
                <c:pt idx="68">
                  <c:v>376.71655525191062</c:v>
                </c:pt>
                <c:pt idx="69">
                  <c:v>390.5008904454059</c:v>
                </c:pt>
                <c:pt idx="70">
                  <c:v>404.2746712693833</c:v>
                </c:pt>
                <c:pt idx="71">
                  <c:v>374.28289709357801</c:v>
                </c:pt>
                <c:pt idx="72">
                  <c:v>386.85314052749169</c:v>
                </c:pt>
                <c:pt idx="73">
                  <c:v>399.41451566222298</c:v>
                </c:pt>
                <c:pt idx="74">
                  <c:v>411.96734072289206</c:v>
                </c:pt>
                <c:pt idx="75">
                  <c:v>424.51191295811401</c:v>
                </c:pt>
                <c:pt idx="76">
                  <c:v>392.12187483767138</c:v>
                </c:pt>
                <c:pt idx="77">
                  <c:v>404.27467126938319</c:v>
                </c:pt>
                <c:pt idx="78">
                  <c:v>416.41957043134624</c:v>
                </c:pt>
                <c:pt idx="79">
                  <c:v>428.55683512546574</c:v>
                </c:pt>
                <c:pt idx="80">
                  <c:v>440.6867120524239</c:v>
                </c:pt>
                <c:pt idx="81">
                  <c:v>407.91895794657785</c:v>
                </c:pt>
                <c:pt idx="82">
                  <c:v>419.65691037033889</c:v>
                </c:pt>
                <c:pt idx="83">
                  <c:v>431.38779177607313</c:v>
                </c:pt>
                <c:pt idx="84">
                  <c:v>443.11182156668548</c:v>
                </c:pt>
                <c:pt idx="85">
                  <c:v>454.82920658695633</c:v>
                </c:pt>
                <c:pt idx="86">
                  <c:v>421.67997431688536</c:v>
                </c:pt>
                <c:pt idx="87">
                  <c:v>433.00530189114835</c:v>
                </c:pt>
                <c:pt idx="88">
                  <c:v>444.32426956358091</c:v>
                </c:pt>
                <c:pt idx="89">
                  <c:v>455.63706220347689</c:v>
                </c:pt>
                <c:pt idx="90">
                  <c:v>466.94385475039059</c:v>
                </c:pt>
                <c:pt idx="91">
                  <c:v>433.40965912078991</c:v>
                </c:pt>
                <c:pt idx="92">
                  <c:v>444.32426956358091</c:v>
                </c:pt>
                <c:pt idx="93">
                  <c:v>455.23313822520049</c:v>
                </c:pt>
                <c:pt idx="94">
                  <c:v>466.13642210984557</c:v>
                </c:pt>
                <c:pt idx="95">
                  <c:v>477.03427027689941</c:v>
                </c:pt>
                <c:pt idx="96">
                  <c:v>443.11182156668548</c:v>
                </c:pt>
                <c:pt idx="97">
                  <c:v>453.61736563459635</c:v>
                </c:pt>
                <c:pt idx="98">
                  <c:v>464.11770990664189</c:v>
                </c:pt>
                <c:pt idx="99">
                  <c:v>474.61298862626444</c:v>
                </c:pt>
                <c:pt idx="100">
                  <c:v>485.10332961470635</c:v>
                </c:pt>
                <c:pt idx="101">
                  <c:v>450.78946718843326</c:v>
                </c:pt>
                <c:pt idx="102">
                  <c:v>460.88738037445069</c:v>
                </c:pt>
                <c:pt idx="103">
                  <c:v>470.98057267369001</c:v>
                </c:pt>
                <c:pt idx="104">
                  <c:v>481.06915953635763</c:v>
                </c:pt>
                <c:pt idx="105">
                  <c:v>491.15325117467387</c:v>
                </c:pt>
                <c:pt idx="106">
                  <c:v>456.84878825602186</c:v>
                </c:pt>
                <c:pt idx="107">
                  <c:v>466.94385475039059</c:v>
                </c:pt>
                <c:pt idx="108">
                  <c:v>477.03427027689918</c:v>
                </c:pt>
                <c:pt idx="109">
                  <c:v>487.12014710011562</c:v>
                </c:pt>
                <c:pt idx="110">
                  <c:v>497.20159245584978</c:v>
                </c:pt>
                <c:pt idx="111">
                  <c:v>464.52146730281999</c:v>
                </c:pt>
                <c:pt idx="112">
                  <c:v>474.20941616317117</c:v>
                </c:pt>
                <c:pt idx="113">
                  <c:v>483.89315369645163</c:v>
                </c:pt>
                <c:pt idx="114">
                  <c:v>493.57277607855099</c:v>
                </c:pt>
                <c:pt idx="115">
                  <c:v>503.24837540475659</c:v>
                </c:pt>
                <c:pt idx="116">
                  <c:v>470.17328826504416</c:v>
                </c:pt>
                <c:pt idx="117">
                  <c:v>479.45529052095429</c:v>
                </c:pt>
                <c:pt idx="118">
                  <c:v>488.73347343283518</c:v>
                </c:pt>
                <c:pt idx="119">
                  <c:v>498.00791974705606</c:v>
                </c:pt>
                <c:pt idx="120">
                  <c:v>507.27870887599448</c:v>
                </c:pt>
                <c:pt idx="121">
                  <c:v>2.3165654549909759E-12</c:v>
                </c:pt>
                <c:pt idx="122">
                  <c:v>2.3165654549909759E-12</c:v>
                </c:pt>
                <c:pt idx="123">
                  <c:v>2.3165654549909759E-12</c:v>
                </c:pt>
                <c:pt idx="124">
                  <c:v>2.3165654549909759E-12</c:v>
                </c:pt>
                <c:pt idx="125">
                  <c:v>2.3165654549909759E-12</c:v>
                </c:pt>
                <c:pt idx="126">
                  <c:v>2.3165654549909759E-12</c:v>
                </c:pt>
                <c:pt idx="127">
                  <c:v>2.3165654549909759E-12</c:v>
                </c:pt>
                <c:pt idx="128">
                  <c:v>2.3165654549909759E-12</c:v>
                </c:pt>
                <c:pt idx="129">
                  <c:v>2.3165654549909759E-12</c:v>
                </c:pt>
                <c:pt idx="130">
                  <c:v>2.3165654549909759E-12</c:v>
                </c:pt>
                <c:pt idx="131">
                  <c:v>2.3165654549909759E-12</c:v>
                </c:pt>
                <c:pt idx="132">
                  <c:v>2.3165654549909759E-12</c:v>
                </c:pt>
                <c:pt idx="133">
                  <c:v>2.3165654549909759E-12</c:v>
                </c:pt>
                <c:pt idx="134">
                  <c:v>2.3165654549909759E-12</c:v>
                </c:pt>
                <c:pt idx="135">
                  <c:v>2.3165654549909759E-12</c:v>
                </c:pt>
                <c:pt idx="136">
                  <c:v>2.3165654549909759E-12</c:v>
                </c:pt>
                <c:pt idx="137">
                  <c:v>2.3165654549909759E-12</c:v>
                </c:pt>
                <c:pt idx="138">
                  <c:v>2.3165654549909759E-12</c:v>
                </c:pt>
                <c:pt idx="139">
                  <c:v>2.3165654549909759E-12</c:v>
                </c:pt>
                <c:pt idx="140">
                  <c:v>2.3165654549909759E-12</c:v>
                </c:pt>
                <c:pt idx="141">
                  <c:v>2.3165654549909759E-12</c:v>
                </c:pt>
                <c:pt idx="142">
                  <c:v>2.3165654549909759E-12</c:v>
                </c:pt>
                <c:pt idx="143">
                  <c:v>2.3165654549909759E-12</c:v>
                </c:pt>
                <c:pt idx="144">
                  <c:v>2.3165654549909759E-12</c:v>
                </c:pt>
                <c:pt idx="145">
                  <c:v>2.3165654549909759E-12</c:v>
                </c:pt>
                <c:pt idx="146">
                  <c:v>2.3165654549909759E-12</c:v>
                </c:pt>
                <c:pt idx="147">
                  <c:v>2.3165654549909759E-12</c:v>
                </c:pt>
                <c:pt idx="148">
                  <c:v>2.3165654549909759E-12</c:v>
                </c:pt>
                <c:pt idx="149">
                  <c:v>2.3165654549909759E-12</c:v>
                </c:pt>
                <c:pt idx="150">
                  <c:v>2.3165654549909759E-12</c:v>
                </c:pt>
                <c:pt idx="151">
                  <c:v>2.3165654549909759E-12</c:v>
                </c:pt>
                <c:pt idx="152">
                  <c:v>2.3165654549909759E-12</c:v>
                </c:pt>
                <c:pt idx="153">
                  <c:v>2.3165654549909759E-12</c:v>
                </c:pt>
                <c:pt idx="154">
                  <c:v>2.3165654549909759E-12</c:v>
                </c:pt>
                <c:pt idx="155">
                  <c:v>2.3165654549909759E-12</c:v>
                </c:pt>
                <c:pt idx="156">
                  <c:v>2.3165654549909759E-12</c:v>
                </c:pt>
                <c:pt idx="157">
                  <c:v>2.3165654549909759E-12</c:v>
                </c:pt>
                <c:pt idx="158">
                  <c:v>2.3165654549909759E-12</c:v>
                </c:pt>
                <c:pt idx="159">
                  <c:v>2.3165654549909759E-12</c:v>
                </c:pt>
                <c:pt idx="160">
                  <c:v>2.3165654549909759E-12</c:v>
                </c:pt>
                <c:pt idx="161">
                  <c:v>2.3165654549909759E-12</c:v>
                </c:pt>
                <c:pt idx="162">
                  <c:v>2.3165654549909759E-12</c:v>
                </c:pt>
                <c:pt idx="163">
                  <c:v>2.3165654549909759E-12</c:v>
                </c:pt>
                <c:pt idx="164">
                  <c:v>2.3165654549909759E-12</c:v>
                </c:pt>
                <c:pt idx="165">
                  <c:v>2.3165654549909759E-12</c:v>
                </c:pt>
                <c:pt idx="166">
                  <c:v>2.3165654549909759E-12</c:v>
                </c:pt>
                <c:pt idx="167">
                  <c:v>2.3165654549909759E-12</c:v>
                </c:pt>
                <c:pt idx="168">
                  <c:v>2.3165654549909759E-12</c:v>
                </c:pt>
                <c:pt idx="169">
                  <c:v>2.3165654549909759E-12</c:v>
                </c:pt>
                <c:pt idx="170">
                  <c:v>2.3165654549909759E-12</c:v>
                </c:pt>
                <c:pt idx="171">
                  <c:v>2.3165654549909759E-12</c:v>
                </c:pt>
                <c:pt idx="172">
                  <c:v>2.3165654549909759E-12</c:v>
                </c:pt>
                <c:pt idx="173">
                  <c:v>2.3165654549909759E-12</c:v>
                </c:pt>
                <c:pt idx="174">
                  <c:v>2.3165654549909759E-12</c:v>
                </c:pt>
                <c:pt idx="175">
                  <c:v>2.3165654549909759E-12</c:v>
                </c:pt>
                <c:pt idx="176">
                  <c:v>2.3165654549909759E-12</c:v>
                </c:pt>
                <c:pt idx="177">
                  <c:v>2.3165654549909759E-12</c:v>
                </c:pt>
                <c:pt idx="178">
                  <c:v>2.3165654549909759E-12</c:v>
                </c:pt>
                <c:pt idx="179">
                  <c:v>2.3165654549909759E-12</c:v>
                </c:pt>
                <c:pt idx="180">
                  <c:v>2.3165654549909759E-12</c:v>
                </c:pt>
                <c:pt idx="181">
                  <c:v>2.3165654549909759E-12</c:v>
                </c:pt>
                <c:pt idx="182">
                  <c:v>2.3165654549909759E-12</c:v>
                </c:pt>
                <c:pt idx="183">
                  <c:v>2.3165654549909759E-12</c:v>
                </c:pt>
                <c:pt idx="184">
                  <c:v>2.3165654549909759E-12</c:v>
                </c:pt>
                <c:pt idx="185">
                  <c:v>2.3165654549909759E-12</c:v>
                </c:pt>
                <c:pt idx="186">
                  <c:v>2.3165654549909759E-12</c:v>
                </c:pt>
                <c:pt idx="187">
                  <c:v>2.3165654549909759E-12</c:v>
                </c:pt>
                <c:pt idx="188">
                  <c:v>2.3165654549909759E-12</c:v>
                </c:pt>
                <c:pt idx="189">
                  <c:v>2.3165654549909759E-12</c:v>
                </c:pt>
                <c:pt idx="190">
                  <c:v>2.3165654549909759E-12</c:v>
                </c:pt>
                <c:pt idx="191">
                  <c:v>2.3165654549909759E-12</c:v>
                </c:pt>
                <c:pt idx="192">
                  <c:v>2.3165654549909759E-12</c:v>
                </c:pt>
                <c:pt idx="193">
                  <c:v>2.3165654549909759E-12</c:v>
                </c:pt>
                <c:pt idx="194">
                  <c:v>2.3165654549909759E-12</c:v>
                </c:pt>
                <c:pt idx="195">
                  <c:v>2.3165654549909759E-12</c:v>
                </c:pt>
                <c:pt idx="196">
                  <c:v>2.3165654549909759E-12</c:v>
                </c:pt>
                <c:pt idx="197">
                  <c:v>2.3165654549909759E-12</c:v>
                </c:pt>
                <c:pt idx="198">
                  <c:v>2.3165654549909759E-12</c:v>
                </c:pt>
                <c:pt idx="199">
                  <c:v>2.3165654549909759E-12</c:v>
                </c:pt>
                <c:pt idx="200">
                  <c:v>2.3165654549909759E-12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1.4291543668766262</c:v>
                </c:pt>
                <c:pt idx="2">
                  <c:v>1.6668584822322881</c:v>
                </c:pt>
                <c:pt idx="3">
                  <c:v>1.9442470068561069</c:v>
                </c:pt>
                <c:pt idx="4">
                  <c:v>2.2679686856822596</c:v>
                </c:pt>
                <c:pt idx="5">
                  <c:v>2.6457899024890454</c:v>
                </c:pt>
                <c:pt idx="6">
                  <c:v>3.0867831349357764</c:v>
                </c:pt>
                <c:pt idx="7">
                  <c:v>3.6015472779597215</c:v>
                </c:pt>
                <c:pt idx="8">
                  <c:v>4.2024652388357486</c:v>
                </c:pt>
                <c:pt idx="9">
                  <c:v>4.9040051255561234</c:v>
                </c:pt>
                <c:pt idx="10">
                  <c:v>5.7230724249731315</c:v>
                </c:pt>
                <c:pt idx="11">
                  <c:v>6.6794218250620458</c:v>
                </c:pt>
                <c:pt idx="12">
                  <c:v>7.796138807971313</c:v>
                </c:pt>
                <c:pt idx="13">
                  <c:v>9.1002028638425916</c:v>
                </c:pt>
                <c:pt idx="14">
                  <c:v>10.623146192580593</c:v>
                </c:pt>
                <c:pt idx="15">
                  <c:v>12.401824122043109</c:v>
                </c:pt>
                <c:pt idx="16">
                  <c:v>14.479316235310385</c:v>
                </c:pt>
                <c:pt idx="17">
                  <c:v>16.905980435651845</c:v>
                </c:pt>
                <c:pt idx="18">
                  <c:v>19.740685966201656</c:v>
                </c:pt>
                <c:pt idx="19">
                  <c:v>23.052255836662599</c:v>
                </c:pt>
                <c:pt idx="20">
                  <c:v>26.921154302242531</c:v>
                </c:pt>
                <c:pt idx="21">
                  <c:v>31.44146112011536</c:v>
                </c:pt>
                <c:pt idx="22">
                  <c:v>36.723181427825928</c:v>
                </c:pt>
                <c:pt idx="23">
                  <c:v>42.894948424090153</c:v>
                </c:pt>
                <c:pt idx="24">
                  <c:v>50.10718579373664</c:v>
                </c:pt>
                <c:pt idx="25">
                  <c:v>58.535808249179098</c:v>
                </c:pt>
                <c:pt idx="26">
                  <c:v>68.386551946749833</c:v>
                </c:pt>
                <c:pt idx="27">
                  <c:v>79.900042212465777</c:v>
                </c:pt>
                <c:pt idx="28">
                  <c:v>93.357724370818289</c:v>
                </c:pt>
                <c:pt idx="29">
                  <c:v>109.08880497181222</c:v>
                </c:pt>
                <c:pt idx="30">
                  <c:v>127.47837589447978</c:v>
                </c:pt>
                <c:pt idx="31">
                  <c:v>138.4345205657205</c:v>
                </c:pt>
                <c:pt idx="32">
                  <c:v>149.36982926723314</c:v>
                </c:pt>
                <c:pt idx="33">
                  <c:v>160.28604398764332</c:v>
                </c:pt>
                <c:pt idx="34">
                  <c:v>171.18464966259771</c:v>
                </c:pt>
                <c:pt idx="35">
                  <c:v>182.06692642317867</c:v>
                </c:pt>
                <c:pt idx="36">
                  <c:v>194.4626831633781</c:v>
                </c:pt>
                <c:pt idx="37">
                  <c:v>206.840076692922</c:v>
                </c:pt>
                <c:pt idx="38">
                  <c:v>219.20036132924983</c:v>
                </c:pt>
                <c:pt idx="39">
                  <c:v>231.54463825280232</c:v>
                </c:pt>
                <c:pt idx="40">
                  <c:v>243.87388154779401</c:v>
                </c:pt>
                <c:pt idx="41">
                  <c:v>257.414085438472</c:v>
                </c:pt>
                <c:pt idx="42">
                  <c:v>270.93818880693084</c:v>
                </c:pt>
                <c:pt idx="43">
                  <c:v>284.447108733596</c:v>
                </c:pt>
                <c:pt idx="44">
                  <c:v>297.94166804438095</c:v>
                </c:pt>
                <c:pt idx="45">
                  <c:v>311.42260891900111</c:v>
                </c:pt>
                <c:pt idx="46">
                  <c:v>325.96384792470673</c:v>
                </c:pt>
                <c:pt idx="47">
                  <c:v>340.49076175474403</c:v>
                </c:pt>
                <c:pt idx="48">
                  <c:v>355.00404766122102</c:v>
                </c:pt>
                <c:pt idx="49">
                  <c:v>369.50434123060467</c:v>
                </c:pt>
                <c:pt idx="50">
                  <c:v>383.99222409421549</c:v>
                </c:pt>
                <c:pt idx="51">
                  <c:v>398.46823041409965</c:v>
                </c:pt>
                <c:pt idx="52">
                  <c:v>240.20262398498866</c:v>
                </c:pt>
                <c:pt idx="53">
                  <c:v>253.51695709548235</c:v>
                </c:pt>
                <c:pt idx="54">
                  <c:v>266.81545917972466</c:v>
                </c:pt>
                <c:pt idx="55">
                  <c:v>280.09903066030222</c:v>
                </c:pt>
                <c:pt idx="56">
                  <c:v>292.79851644004327</c:v>
                </c:pt>
                <c:pt idx="57">
                  <c:v>305.48570806934259</c:v>
                </c:pt>
                <c:pt idx="58">
                  <c:v>318.16118821698802</c:v>
                </c:pt>
                <c:pt idx="59">
                  <c:v>330.82548931985656</c:v>
                </c:pt>
                <c:pt idx="60">
                  <c:v>343.47909971146322</c:v>
                </c:pt>
                <c:pt idx="61">
                  <c:v>356.12246879986333</c:v>
                </c:pt>
                <c:pt idx="62">
                  <c:v>267.4033594140854</c:v>
                </c:pt>
                <c:pt idx="63">
                  <c:v>279.07502565621843</c:v>
                </c:pt>
                <c:pt idx="64">
                  <c:v>290.73574451517726</c:v>
                </c:pt>
                <c:pt idx="65">
                  <c:v>302.38601713273596</c:v>
                </c:pt>
                <c:pt idx="66">
                  <c:v>314.39929278070736</c:v>
                </c:pt>
                <c:pt idx="67">
                  <c:v>326.40239465265228</c:v>
                </c:pt>
                <c:pt idx="68">
                  <c:v>338.39574971516998</c:v>
                </c:pt>
                <c:pt idx="69">
                  <c:v>350.37975218974185</c:v>
                </c:pt>
                <c:pt idx="70">
                  <c:v>362.35476712199647</c:v>
                </c:pt>
                <c:pt idx="71">
                  <c:v>374.32113345435664</c:v>
                </c:pt>
                <c:pt idx="72">
                  <c:v>386.27916668515809</c:v>
                </c:pt>
                <c:pt idx="73">
                  <c:v>398.22916118123521</c:v>
                </c:pt>
                <c:pt idx="74">
                  <c:v>307.10398746380133</c:v>
                </c:pt>
                <c:pt idx="75">
                  <c:v>317.9881505859999</c:v>
                </c:pt>
                <c:pt idx="76">
                  <c:v>328.86406579909431</c:v>
                </c:pt>
                <c:pt idx="77">
                  <c:v>339.7320444403465</c:v>
                </c:pt>
                <c:pt idx="78">
                  <c:v>350.59237629302532</c:v>
                </c:pt>
                <c:pt idx="79">
                  <c:v>361.44533171439571</c:v>
                </c:pt>
                <c:pt idx="80">
                  <c:v>372.29116349468018</c:v>
                </c:pt>
                <c:pt idx="81">
                  <c:v>383.41068047160314</c:v>
                </c:pt>
                <c:pt idx="82">
                  <c:v>394.52318922165023</c:v>
                </c:pt>
                <c:pt idx="83">
                  <c:v>405.62891501870325</c:v>
                </c:pt>
                <c:pt idx="84">
                  <c:v>416.72806979169383</c:v>
                </c:pt>
                <c:pt idx="85">
                  <c:v>427.82085325710779</c:v>
                </c:pt>
                <c:pt idx="86">
                  <c:v>343.37983080196494</c:v>
                </c:pt>
                <c:pt idx="87">
                  <c:v>353.35423547887029</c:v>
                </c:pt>
                <c:pt idx="88">
                  <c:v>363.32247137647801</c:v>
                </c:pt>
                <c:pt idx="89">
                  <c:v>373.28473168505292</c:v>
                </c:pt>
                <c:pt idx="90">
                  <c:v>383.24119843689959</c:v>
                </c:pt>
                <c:pt idx="91">
                  <c:v>393.3218600608177</c:v>
                </c:pt>
                <c:pt idx="92">
                  <c:v>403.39692099740586</c:v>
                </c:pt>
                <c:pt idx="93">
                  <c:v>413.4665408968429</c:v>
                </c:pt>
                <c:pt idx="94">
                  <c:v>423.53087099597883</c:v>
                </c:pt>
                <c:pt idx="95">
                  <c:v>433.59005475539442</c:v>
                </c:pt>
                <c:pt idx="96">
                  <c:v>443.64422843425086</c:v>
                </c:pt>
                <c:pt idx="97">
                  <c:v>453.69352161030332</c:v>
                </c:pt>
                <c:pt idx="98">
                  <c:v>373.45497586576568</c:v>
                </c:pt>
                <c:pt idx="99">
                  <c:v>382.41702725810211</c:v>
                </c:pt>
                <c:pt idx="100">
                  <c:v>391.37451283949099</c:v>
                </c:pt>
                <c:pt idx="101">
                  <c:v>400.39860082749988</c:v>
                </c:pt>
                <c:pt idx="102">
                  <c:v>409.41828763484824</c:v>
                </c:pt>
                <c:pt idx="103">
                  <c:v>418.43368393940273</c:v>
                </c:pt>
                <c:pt idx="104">
                  <c:v>427.44489525856028</c:v>
                </c:pt>
                <c:pt idx="105">
                  <c:v>436.4520222959373</c:v>
                </c:pt>
                <c:pt idx="106">
                  <c:v>445.477023232585</c:v>
                </c:pt>
                <c:pt idx="107">
                  <c:v>454.49810936219592</c:v>
                </c:pt>
                <c:pt idx="108">
                  <c:v>463.51536937085211</c:v>
                </c:pt>
                <c:pt idx="109">
                  <c:v>472.52888821143847</c:v>
                </c:pt>
                <c:pt idx="110">
                  <c:v>390.01589545204268</c:v>
                </c:pt>
                <c:pt idx="111">
                  <c:v>398.10298449959987</c:v>
                </c:pt>
                <c:pt idx="112">
                  <c:v>406.18651636625395</c:v>
                </c:pt>
                <c:pt idx="113">
                  <c:v>414.26657187002019</c:v>
                </c:pt>
                <c:pt idx="114">
                  <c:v>422.34322841725231</c:v>
                </c:pt>
                <c:pt idx="115">
                  <c:v>430.41656021057776</c:v>
                </c:pt>
                <c:pt idx="116">
                  <c:v>438.44521912503188</c:v>
                </c:pt>
                <c:pt idx="117">
                  <c:v>446.47072511112657</c:v>
                </c:pt>
                <c:pt idx="118">
                  <c:v>454.49314286458565</c:v>
                </c:pt>
                <c:pt idx="119">
                  <c:v>462.51253460982065</c:v>
                </c:pt>
                <c:pt idx="120">
                  <c:v>470.52896023648236</c:v>
                </c:pt>
                <c:pt idx="121">
                  <c:v>478.54247742621436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7.0450932450994683</c:v>
                </c:pt>
                <c:pt idx="2">
                  <c:v>13.773947803871033</c:v>
                </c:pt>
                <c:pt idx="3">
                  <c:v>20.40067314114772</c:v>
                </c:pt>
                <c:pt idx="4">
                  <c:v>26.9644436500101</c:v>
                </c:pt>
                <c:pt idx="5">
                  <c:v>33.483014449623838</c:v>
                </c:pt>
                <c:pt idx="6">
                  <c:v>39.966513801257918</c:v>
                </c:pt>
                <c:pt idx="7">
                  <c:v>46.421471003337565</c:v>
                </c:pt>
                <c:pt idx="8">
                  <c:v>52.852433969992468</c:v>
                </c:pt>
                <c:pt idx="9">
                  <c:v>59.262745475962085</c:v>
                </c:pt>
                <c:pt idx="10">
                  <c:v>65.654961878417993</c:v>
                </c:pt>
                <c:pt idx="11">
                  <c:v>72.031098677186023</c:v>
                </c:pt>
                <c:pt idx="12">
                  <c:v>78.392783898952857</c:v>
                </c:pt>
                <c:pt idx="13">
                  <c:v>84.741358759798842</c:v>
                </c:pt>
                <c:pt idx="14">
                  <c:v>91.077946413376097</c:v>
                </c:pt>
                <c:pt idx="15">
                  <c:v>97.403500470931704</c:v>
                </c:pt>
                <c:pt idx="16">
                  <c:v>103.71884020218766</c:v>
                </c:pt>
                <c:pt idx="17">
                  <c:v>110.02467667999157</c:v>
                </c:pt>
                <c:pt idx="18">
                  <c:v>116.32163259579433</c:v>
                </c:pt>
                <c:pt idx="19">
                  <c:v>122.61025754544603</c:v>
                </c:pt>
                <c:pt idx="20">
                  <c:v>128.89104000512529</c:v>
                </c:pt>
                <c:pt idx="21">
                  <c:v>135.16441684401556</c:v>
                </c:pt>
                <c:pt idx="22">
                  <c:v>141.43078097370486</c:v>
                </c:pt>
                <c:pt idx="23">
                  <c:v>147.69048756747068</c:v>
                </c:pt>
                <c:pt idx="24">
                  <c:v>153.94385916743042</c:v>
                </c:pt>
                <c:pt idx="25">
                  <c:v>160.1911899165149</c:v>
                </c:pt>
                <c:pt idx="26">
                  <c:v>166.43274909426603</c:v>
                </c:pt>
                <c:pt idx="27">
                  <c:v>172.66878409336573</c:v>
                </c:pt>
                <c:pt idx="28">
                  <c:v>178.89952294280042</c:v>
                </c:pt>
                <c:pt idx="29">
                  <c:v>185.12517646044549</c:v>
                </c:pt>
                <c:pt idx="30">
                  <c:v>191.34594010039868</c:v>
                </c:pt>
                <c:pt idx="31">
                  <c:v>197.56199554708428</c:v>
                </c:pt>
                <c:pt idx="32">
                  <c:v>203.77351209788813</c:v>
                </c:pt>
                <c:pt idx="33">
                  <c:v>209.98064786810735</c:v>
                </c:pt>
                <c:pt idx="34">
                  <c:v>216.18355084574318</c:v>
                </c:pt>
                <c:pt idx="35">
                  <c:v>222.38235981871244</c:v>
                </c:pt>
                <c:pt idx="36">
                  <c:v>228.57720519311422</c:v>
                </c:pt>
                <c:pt idx="37">
                  <c:v>234.76820971802169</c:v>
                </c:pt>
                <c:pt idx="38">
                  <c:v>240.95548912971404</c:v>
                </c:pt>
                <c:pt idx="39">
                  <c:v>247.1391527261886</c:v>
                </c:pt>
                <c:pt idx="40">
                  <c:v>253.31930388108844</c:v>
                </c:pt>
                <c:pt idx="41">
                  <c:v>259.49604050479201</c:v>
                </c:pt>
                <c:pt idx="42">
                  <c:v>265.66945545925108</c:v>
                </c:pt>
                <c:pt idx="43">
                  <c:v>271.83963693220841</c:v>
                </c:pt>
                <c:pt idx="44">
                  <c:v>278.00666877562224</c:v>
                </c:pt>
                <c:pt idx="45">
                  <c:v>284.17063081245851</c:v>
                </c:pt>
                <c:pt idx="46">
                  <c:v>290.33159911544391</c:v>
                </c:pt>
                <c:pt idx="47">
                  <c:v>296.48964626089503</c:v>
                </c:pt>
                <c:pt idx="48">
                  <c:v>302.6448415603362</c:v>
                </c:pt>
                <c:pt idx="49">
                  <c:v>308.79725127227067</c:v>
                </c:pt>
                <c:pt idx="50">
                  <c:v>314.9469387961762</c:v>
                </c:pt>
                <c:pt idx="51">
                  <c:v>321.09396485054248</c:v>
                </c:pt>
                <c:pt idx="52">
                  <c:v>327.23838763655039</c:v>
                </c:pt>
                <c:pt idx="53">
                  <c:v>333.38026298880533</c:v>
                </c:pt>
                <c:pt idx="54">
                  <c:v>339.51964451437107</c:v>
                </c:pt>
                <c:pt idx="55">
                  <c:v>345.65658372121516</c:v>
                </c:pt>
                <c:pt idx="56">
                  <c:v>351.7911301370479</c:v>
                </c:pt>
                <c:pt idx="57">
                  <c:v>357.92333141943232</c:v>
                </c:pt>
                <c:pt idx="58">
                  <c:v>364.05323345794847</c:v>
                </c:pt>
                <c:pt idx="59">
                  <c:v>370.18088046911311</c:v>
                </c:pt>
                <c:pt idx="60">
                  <c:v>376.30631508468036</c:v>
                </c:pt>
                <c:pt idx="61">
                  <c:v>252.89782579501798</c:v>
                </c:pt>
                <c:pt idx="62">
                  <c:v>264.75808050744837</c:v>
                </c:pt>
                <c:pt idx="63">
                  <c:v>276.6063578130225</c:v>
                </c:pt>
                <c:pt idx="64">
                  <c:v>288.93459142939429</c:v>
                </c:pt>
                <c:pt idx="65">
                  <c:v>301.25106873581223</c:v>
                </c:pt>
                <c:pt idx="66">
                  <c:v>313.55633826555743</c:v>
                </c:pt>
                <c:pt idx="67">
                  <c:v>326.12170401452101</c:v>
                </c:pt>
                <c:pt idx="68">
                  <c:v>338.67637845006647</c:v>
                </c:pt>
                <c:pt idx="69">
                  <c:v>351.2208138248543</c:v>
                </c:pt>
                <c:pt idx="70">
                  <c:v>286.93271523051516</c:v>
                </c:pt>
                <c:pt idx="71">
                  <c:v>298.82066442243251</c:v>
                </c:pt>
                <c:pt idx="72">
                  <c:v>310.69807871536506</c:v>
                </c:pt>
                <c:pt idx="73">
                  <c:v>322.56541773704492</c:v>
                </c:pt>
                <c:pt idx="74">
                  <c:v>334.42310452141396</c:v>
                </c:pt>
                <c:pt idx="75">
                  <c:v>346.27152964400733</c:v>
                </c:pt>
                <c:pt idx="76">
                  <c:v>358.11105476153489</c:v>
                </c:pt>
                <c:pt idx="77">
                  <c:v>369.94201565876295</c:v>
                </c:pt>
                <c:pt idx="78">
                  <c:v>320.74771265885198</c:v>
                </c:pt>
                <c:pt idx="79">
                  <c:v>332.53783898042883</c:v>
                </c:pt>
                <c:pt idx="80">
                  <c:v>344.31875179017743</c:v>
                </c:pt>
                <c:pt idx="81">
                  <c:v>356.09081084806326</c:v>
                </c:pt>
                <c:pt idx="82">
                  <c:v>367.85435017894093</c:v>
                </c:pt>
                <c:pt idx="83">
                  <c:v>379.60968069514752</c:v>
                </c:pt>
                <c:pt idx="84">
                  <c:v>391.35709247720041</c:v>
                </c:pt>
                <c:pt idx="85">
                  <c:v>403.09685676630596</c:v>
                </c:pt>
                <c:pt idx="86">
                  <c:v>414.82922771259751</c:v>
                </c:pt>
                <c:pt idx="87">
                  <c:v>360.153030538373</c:v>
                </c:pt>
                <c:pt idx="88">
                  <c:v>371.89655768530679</c:v>
                </c:pt>
                <c:pt idx="89">
                  <c:v>383.63200161758419</c:v>
                </c:pt>
                <c:pt idx="90">
                  <c:v>395.35964450271507</c:v>
                </c:pt>
                <c:pt idx="91">
                  <c:v>407.0797503990255</c:v>
                </c:pt>
                <c:pt idx="92">
                  <c:v>418.79256691689392</c:v>
                </c:pt>
                <c:pt idx="93">
                  <c:v>430.49832668442417</c:v>
                </c:pt>
                <c:pt idx="94">
                  <c:v>442.19724864537937</c:v>
                </c:pt>
                <c:pt idx="95">
                  <c:v>453.889539212594</c:v>
                </c:pt>
                <c:pt idx="96">
                  <c:v>390.86152779033858</c:v>
                </c:pt>
                <c:pt idx="97">
                  <c:v>402.4208356717686</c:v>
                </c:pt>
                <c:pt idx="98">
                  <c:v>413.97296248266952</c:v>
                </c:pt>
                <c:pt idx="99">
                  <c:v>425.51813688878264</c:v>
                </c:pt>
                <c:pt idx="100">
                  <c:v>437.056574133472</c:v>
                </c:pt>
                <c:pt idx="101">
                  <c:v>448.58847716669243</c:v>
                </c:pt>
                <c:pt idx="102">
                  <c:v>460.51400792301956</c:v>
                </c:pt>
                <c:pt idx="103">
                  <c:v>472.43294872543743</c:v>
                </c:pt>
                <c:pt idx="104">
                  <c:v>484.34548925926839</c:v>
                </c:pt>
                <c:pt idx="105">
                  <c:v>427.04800615065341</c:v>
                </c:pt>
                <c:pt idx="106">
                  <c:v>438.85569004009625</c:v>
                </c:pt>
                <c:pt idx="107">
                  <c:v>450.65656209767093</c:v>
                </c:pt>
                <c:pt idx="108">
                  <c:v>462.45082584479718</c:v>
                </c:pt>
                <c:pt idx="109">
                  <c:v>474.23867357468311</c:v>
                </c:pt>
                <c:pt idx="110">
                  <c:v>486.02028724139268</c:v>
                </c:pt>
                <c:pt idx="111">
                  <c:v>497.79583925822061</c:v>
                </c:pt>
                <c:pt idx="112">
                  <c:v>509.56549321659759</c:v>
                </c:pt>
                <c:pt idx="113">
                  <c:v>521.32940453512526</c:v>
                </c:pt>
                <c:pt idx="114">
                  <c:v>460.76571874452105</c:v>
                </c:pt>
                <c:pt idx="115">
                  <c:v>472.72502986992487</c:v>
                </c:pt>
                <c:pt idx="116">
                  <c:v>484.67790168155574</c:v>
                </c:pt>
                <c:pt idx="117">
                  <c:v>496.62451535546762</c:v>
                </c:pt>
                <c:pt idx="118">
                  <c:v>508.56504264075761</c:v>
                </c:pt>
                <c:pt idx="119">
                  <c:v>520.49964656456518</c:v>
                </c:pt>
                <c:pt idx="120">
                  <c:v>532.42848206905637</c:v>
                </c:pt>
                <c:pt idx="121">
                  <c:v>544.35169658836219</c:v>
                </c:pt>
                <c:pt idx="122">
                  <c:v>556.2694305723486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8.7992712595148941</c:v>
                </c:pt>
                <c:pt idx="2">
                  <c:v>17.211033244404259</c:v>
                </c:pt>
                <c:pt idx="3">
                  <c:v>25.497649185338332</c:v>
                </c:pt>
                <c:pt idx="4">
                  <c:v>33.70712219295114</c:v>
                </c:pt>
                <c:pt idx="5">
                  <c:v>41.861208850628032</c:v>
                </c:pt>
                <c:pt idx="6">
                  <c:v>49.972320021894738</c:v>
                </c:pt>
                <c:pt idx="7">
                  <c:v>58.048456510593269</c:v>
                </c:pt>
                <c:pt idx="8">
                  <c:v>66.095191192471148</c:v>
                </c:pt>
                <c:pt idx="9">
                  <c:v>74.116620202095433</c:v>
                </c:pt>
                <c:pt idx="10">
                  <c:v>82.115876021847555</c:v>
                </c:pt>
                <c:pt idx="11">
                  <c:v>90.095428383956019</c:v>
                </c:pt>
                <c:pt idx="12">
                  <c:v>98.057272222841206</c:v>
                </c:pt>
                <c:pt idx="13">
                  <c:v>106.00305102392376</c:v>
                </c:pt>
                <c:pt idx="14">
                  <c:v>113.9341410655524</c:v>
                </c:pt>
                <c:pt idx="15">
                  <c:v>121.85171087396567</c:v>
                </c:pt>
                <c:pt idx="16">
                  <c:v>129.75676435738058</c:v>
                </c:pt>
                <c:pt idx="17">
                  <c:v>137.65017284285244</c:v>
                </c:pt>
                <c:pt idx="18">
                  <c:v>145.53269935755944</c:v>
                </c:pt>
                <c:pt idx="19">
                  <c:v>153.40501735955218</c:v>
                </c:pt>
                <c:pt idx="20">
                  <c:v>161.26772541269335</c:v>
                </c:pt>
                <c:pt idx="21">
                  <c:v>169.1213588432025</c:v>
                </c:pt>
                <c:pt idx="22">
                  <c:v>176.96639911299755</c:v>
                </c:pt>
                <c:pt idx="23">
                  <c:v>184.80328144061778</c:v>
                </c:pt>
                <c:pt idx="24">
                  <c:v>192.63240105937066</c:v>
                </c:pt>
                <c:pt idx="25">
                  <c:v>200.45411840306357</c:v>
                </c:pt>
                <c:pt idx="26">
                  <c:v>208.268763438663</c:v>
                </c:pt>
                <c:pt idx="27">
                  <c:v>216.07663931364195</c:v>
                </c:pt>
                <c:pt idx="28">
                  <c:v>223.87802544779007</c:v>
                </c:pt>
                <c:pt idx="29">
                  <c:v>231.67318017092404</c:v>
                </c:pt>
                <c:pt idx="30">
                  <c:v>239.46234298655497</c:v>
                </c:pt>
                <c:pt idx="31">
                  <c:v>247.2457365252543</c:v>
                </c:pt>
                <c:pt idx="32">
                  <c:v>255.02356823889306</c:v>
                </c:pt>
                <c:pt idx="33">
                  <c:v>262.7960318771506</c:v>
                </c:pt>
                <c:pt idx="34">
                  <c:v>270.56330878002592</c:v>
                </c:pt>
                <c:pt idx="35">
                  <c:v>278.32556901401398</c:v>
                </c:pt>
                <c:pt idx="36">
                  <c:v>286.08297237478496</c:v>
                </c:pt>
                <c:pt idx="37">
                  <c:v>293.83566927532246</c:v>
                </c:pt>
                <c:pt idx="38">
                  <c:v>301.58380153534546</c:v>
                </c:pt>
                <c:pt idx="39">
                  <c:v>309.32750308529802</c:v>
                </c:pt>
                <c:pt idx="40">
                  <c:v>317.06690059610008</c:v>
                </c:pt>
                <c:pt idx="41">
                  <c:v>324.80211404415377</c:v>
                </c:pt>
                <c:pt idx="42">
                  <c:v>332.53325721967263</c:v>
                </c:pt>
                <c:pt idx="43">
                  <c:v>340.26043818523596</c:v>
                </c:pt>
                <c:pt idx="44">
                  <c:v>347.98375969048493</c:v>
                </c:pt>
                <c:pt idx="45">
                  <c:v>355.70331954805596</c:v>
                </c:pt>
                <c:pt idx="46">
                  <c:v>363.41921097515609</c:v>
                </c:pt>
                <c:pt idx="47">
                  <c:v>371.13152290459789</c:v>
                </c:pt>
                <c:pt idx="48">
                  <c:v>378.8403402686169</c:v>
                </c:pt>
                <c:pt idx="49">
                  <c:v>386.54574425836881</c:v>
                </c:pt>
                <c:pt idx="50">
                  <c:v>394.24781256164687</c:v>
                </c:pt>
                <c:pt idx="51">
                  <c:v>401.94661958104285</c:v>
                </c:pt>
                <c:pt idx="52">
                  <c:v>409.64223663451526</c:v>
                </c:pt>
                <c:pt idx="53">
                  <c:v>417.33473214009183</c:v>
                </c:pt>
                <c:pt idx="54">
                  <c:v>425.02417178623972</c:v>
                </c:pt>
                <c:pt idx="55">
                  <c:v>432.71061868925659</c:v>
                </c:pt>
                <c:pt idx="56">
                  <c:v>440.39413353889358</c:v>
                </c:pt>
                <c:pt idx="57">
                  <c:v>448.07477473327981</c:v>
                </c:pt>
                <c:pt idx="58">
                  <c:v>455.75259850411197</c:v>
                </c:pt>
                <c:pt idx="59">
                  <c:v>463.42765903296578</c:v>
                </c:pt>
                <c:pt idx="60">
                  <c:v>471.10000855949693</c:v>
                </c:pt>
                <c:pt idx="61">
                  <c:v>316.5390810317117</c:v>
                </c:pt>
                <c:pt idx="62">
                  <c:v>331.3919108982667</c:v>
                </c:pt>
                <c:pt idx="63">
                  <c:v>346.23006401449533</c:v>
                </c:pt>
                <c:pt idx="64">
                  <c:v>361.66961543290489</c:v>
                </c:pt>
                <c:pt idx="65">
                  <c:v>377.0947610264123</c:v>
                </c:pt>
                <c:pt idx="66">
                  <c:v>392.50617295102853</c:v>
                </c:pt>
                <c:pt idx="67">
                  <c:v>408.24363474470664</c:v>
                </c:pt>
                <c:pt idx="68">
                  <c:v>423.96799572786853</c:v>
                </c:pt>
                <c:pt idx="69">
                  <c:v>439.67981007717913</c:v>
                </c:pt>
                <c:pt idx="70">
                  <c:v>359.16249699467335</c:v>
                </c:pt>
                <c:pt idx="71">
                  <c:v>374.05090030503135</c:v>
                </c:pt>
                <c:pt idx="72">
                  <c:v>388.92639447036595</c:v>
                </c:pt>
                <c:pt idx="73">
                  <c:v>403.78954270453011</c:v>
                </c:pt>
                <c:pt idx="74">
                  <c:v>418.64086338045917</c:v>
                </c:pt>
                <c:pt idx="75">
                  <c:v>433.48083509754247</c:v>
                </c:pt>
                <c:pt idx="76">
                  <c:v>448.30990101892036</c:v>
                </c:pt>
                <c:pt idx="77">
                  <c:v>463.12847260503986</c:v>
                </c:pt>
                <c:pt idx="78">
                  <c:v>401.51295614992978</c:v>
                </c:pt>
                <c:pt idx="79">
                  <c:v>416.27961993310481</c:v>
                </c:pt>
                <c:pt idx="80">
                  <c:v>431.03499375891664</c:v>
                </c:pt>
                <c:pt idx="81">
                  <c:v>445.77951846629236</c:v>
                </c:pt>
                <c:pt idx="82">
                  <c:v>460.51360335913643</c:v>
                </c:pt>
                <c:pt idx="83">
                  <c:v>475.23762941997717</c:v>
                </c:pt>
                <c:pt idx="84">
                  <c:v>489.95195210466414</c:v>
                </c:pt>
                <c:pt idx="85">
                  <c:v>504.65690378392759</c:v>
                </c:pt>
                <c:pt idx="86">
                  <c:v>519.35279588561627</c:v>
                </c:pt>
                <c:pt idx="87">
                  <c:v>450.86750990339033</c:v>
                </c:pt>
                <c:pt idx="88">
                  <c:v>465.57660670491958</c:v>
                </c:pt>
                <c:pt idx="89">
                  <c:v>480.27579858088637</c:v>
                </c:pt>
                <c:pt idx="90">
                  <c:v>494.96543129078077</c:v>
                </c:pt>
                <c:pt idx="91">
                  <c:v>509.64582840365028</c:v>
                </c:pt>
                <c:pt idx="92">
                  <c:v>524.31729333372641</c:v>
                </c:pt>
                <c:pt idx="93">
                  <c:v>538.98011113641758</c:v>
                </c:pt>
                <c:pt idx="94">
                  <c:v>553.63455009875656</c:v>
                </c:pt>
                <c:pt idx="95">
                  <c:v>568.28086315275721</c:v>
                </c:pt>
                <c:pt idx="96">
                  <c:v>489.33122399875668</c:v>
                </c:pt>
                <c:pt idx="97">
                  <c:v>503.81013019199457</c:v>
                </c:pt>
                <c:pt idx="98">
                  <c:v>518.28023691966382</c:v>
                </c:pt>
                <c:pt idx="99">
                  <c:v>532.74182438181401</c:v>
                </c:pt>
                <c:pt idx="100">
                  <c:v>547.19515633112167</c:v>
                </c:pt>
                <c:pt idx="101">
                  <c:v>561.64048145629249</c:v>
                </c:pt>
                <c:pt idx="102">
                  <c:v>576.57906249878022</c:v>
                </c:pt>
                <c:pt idx="103">
                  <c:v>591.50956841203947</c:v>
                </c:pt>
                <c:pt idx="104">
                  <c:v>606.43223163069899</c:v>
                </c:pt>
                <c:pt idx="105">
                  <c:v>534.65816603407461</c:v>
                </c:pt>
                <c:pt idx="106">
                  <c:v>549.44878961636539</c:v>
                </c:pt>
                <c:pt idx="107">
                  <c:v>564.23106618692088</c:v>
                </c:pt>
                <c:pt idx="108">
                  <c:v>579.00524513470202</c:v>
                </c:pt>
                <c:pt idx="109">
                  <c:v>593.77156208996246</c:v>
                </c:pt>
                <c:pt idx="110">
                  <c:v>608.53024001368158</c:v>
                </c:pt>
                <c:pt idx="111">
                  <c:v>623.28149017587032</c:v>
                </c:pt>
                <c:pt idx="112">
                  <c:v>638.02551303649568</c:v>
                </c:pt>
                <c:pt idx="113">
                  <c:v>652.76249904078929</c:v>
                </c:pt>
                <c:pt idx="114">
                  <c:v>576.89437138699134</c:v>
                </c:pt>
                <c:pt idx="115">
                  <c:v>591.87545206924881</c:v>
                </c:pt>
                <c:pt idx="116">
                  <c:v>606.84864221212217</c:v>
                </c:pt>
                <c:pt idx="117">
                  <c:v>621.81416382324176</c:v>
                </c:pt>
                <c:pt idx="118">
                  <c:v>636.77222735873022</c:v>
                </c:pt>
                <c:pt idx="119">
                  <c:v>651.72303258709019</c:v>
                </c:pt>
                <c:pt idx="120">
                  <c:v>666.66676936974204</c:v>
                </c:pt>
                <c:pt idx="121">
                  <c:v>681.60361836798916</c:v>
                </c:pt>
                <c:pt idx="122">
                  <c:v>696.53375168482853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/>
  <cols>
    <col min="1" max="1" width="6.6640625" customWidth="1"/>
    <col min="2" max="13" width="15.83203125" customWidth="1"/>
  </cols>
  <sheetData>
    <row r="12" spans="2:13" ht="15" customHeight="1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80" workbookViewId="0">
      <selection activeCell="E18" sqref="E18"/>
    </sheetView>
  </sheetViews>
  <sheetFormatPr baseColWidth="10" defaultColWidth="11.5" defaultRowHeight="15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>
      <c r="A5" s="305" t="s">
        <v>231</v>
      </c>
      <c r="B5" s="305"/>
      <c r="C5" s="26">
        <v>1.2130000000000001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>
      <c r="A9" s="33" t="s">
        <v>165</v>
      </c>
      <c r="B9" s="34" t="s">
        <v>14</v>
      </c>
      <c r="C9" s="35">
        <v>0.24168400000000001</v>
      </c>
      <c r="D9" s="36">
        <f t="shared" ref="D9:D18" si="0">C9*$C$5</f>
        <v>0.29316269200000006</v>
      </c>
      <c r="E9" s="37">
        <v>124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H9" s="292" t="s">
        <v>324</v>
      </c>
      <c r="I9" s="254"/>
      <c r="J9" s="29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H10" s="292" t="s">
        <v>325</v>
      </c>
      <c r="I10" s="254"/>
      <c r="J10" s="29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>
      <c r="A11" s="33" t="s">
        <v>167</v>
      </c>
      <c r="B11" s="34" t="s">
        <v>12</v>
      </c>
      <c r="C11" s="35">
        <v>0.51039500000000004</v>
      </c>
      <c r="D11" s="36">
        <f t="shared" si="0"/>
        <v>0.61910913500000009</v>
      </c>
      <c r="E11" s="37">
        <v>124</v>
      </c>
      <c r="F11" s="38" t="str">
        <f t="array" ref="F11">IF(E11="","",IF(INDEX(A:A,MAX(IF(ISNUMBER($A$88:$A$107),ROW($A$88:$A$107),"")))&lt;&gt;E11,"Corrigez : révolution incorrecte","OK"))</f>
        <v>OK</v>
      </c>
      <c r="H11" s="292" t="s">
        <v>12</v>
      </c>
      <c r="I11" s="254"/>
      <c r="J11" s="29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92" t="s">
        <v>326</v>
      </c>
      <c r="I12" s="254"/>
      <c r="J12" s="29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>
      <c r="A13" s="33" t="s">
        <v>169</v>
      </c>
      <c r="B13" s="34" t="s">
        <v>44</v>
      </c>
      <c r="C13" s="35">
        <v>3.1704999999999997E-2</v>
      </c>
      <c r="D13" s="36">
        <f t="shared" si="0"/>
        <v>3.8458164999999996E-2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92" t="s">
        <v>327</v>
      </c>
      <c r="I13" s="254"/>
      <c r="J13" s="29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33" t="s">
        <v>170</v>
      </c>
      <c r="B14" s="34" t="s">
        <v>6</v>
      </c>
      <c r="C14" s="35">
        <v>3.1704999999999997E-2</v>
      </c>
      <c r="D14" s="36">
        <f t="shared" si="0"/>
        <v>3.8458164999999996E-2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92" t="s">
        <v>328</v>
      </c>
      <c r="I14" s="254"/>
      <c r="J14" s="29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>
      <c r="A15" s="33" t="s">
        <v>171</v>
      </c>
      <c r="B15" s="34" t="s">
        <v>164</v>
      </c>
      <c r="C15" s="35">
        <v>0.102911</v>
      </c>
      <c r="D15" s="36">
        <f t="shared" si="0"/>
        <v>0.12483104300000002</v>
      </c>
      <c r="E15" s="37">
        <v>121</v>
      </c>
      <c r="F15" s="38" t="str">
        <f t="array" ref="F15">IF(E15="","",IF(INDEX(A:A,MAX(IF(ISNUMBER($A$192:$A$211),ROW($A$192:$A$211),"")))&lt;&gt;E15,"Corrigez : révolution incorrecte","OK"))</f>
        <v>OK</v>
      </c>
      <c r="H15" s="292" t="s">
        <v>164</v>
      </c>
      <c r="I15" s="254"/>
      <c r="J15" s="29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>
      <c r="A16" s="33" t="s">
        <v>172</v>
      </c>
      <c r="B16" s="34" t="s">
        <v>14</v>
      </c>
      <c r="C16" s="35">
        <v>1.2994E-2</v>
      </c>
      <c r="D16" s="36">
        <f t="shared" si="0"/>
        <v>1.5761722000000002E-2</v>
      </c>
      <c r="E16" s="37">
        <v>122</v>
      </c>
      <c r="F16" s="38" t="str">
        <f t="array" ref="F16">IF(E16="","",IF(INDEX(A:A,MAX(IF(ISNUMBER($A$218:$A$237),ROW($A$218:$A$237),"")))&lt;&gt;E16,"Corrigez : révolution incorrecte","OK"))</f>
        <v>OK</v>
      </c>
      <c r="H16" s="292" t="s">
        <v>329</v>
      </c>
      <c r="I16" s="254"/>
      <c r="J16" s="29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>
      <c r="A17" s="33" t="s">
        <v>173</v>
      </c>
      <c r="B17" s="34" t="s">
        <v>16</v>
      </c>
      <c r="C17" s="35">
        <v>6.8606E-2</v>
      </c>
      <c r="D17" s="36">
        <f t="shared" si="0"/>
        <v>8.3219078000000002E-2</v>
      </c>
      <c r="E17" s="37">
        <v>122</v>
      </c>
      <c r="F17" s="38" t="str">
        <f t="array" ref="F17">IF(E17="","",IF(INDEX(A:A,MAX(IF(ISNUMBER($A$244:$A$263),ROW($A$244:$A$263),"")))&lt;&gt;E17,"Corrigez : révolution incorrecte","OK"))</f>
        <v>OK</v>
      </c>
      <c r="H17" s="292" t="s">
        <v>16</v>
      </c>
      <c r="I17" s="254"/>
      <c r="J17" s="29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92" t="s">
        <v>330</v>
      </c>
      <c r="I18" s="254"/>
      <c r="J18" s="29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>
      <c r="A19" s="100"/>
      <c r="B19" s="39" t="s">
        <v>175</v>
      </c>
      <c r="C19" s="40">
        <f>SUM(C9:C18)</f>
        <v>1</v>
      </c>
      <c r="D19" s="41">
        <f>SUM(D9:D18)</f>
        <v>1.2129999999999999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>
      <c r="A36" s="53">
        <v>42</v>
      </c>
      <c r="B36" s="63">
        <v>163.26</v>
      </c>
      <c r="C36" s="63">
        <v>1</v>
      </c>
      <c r="D36" s="63">
        <v>43.21</v>
      </c>
      <c r="E36" s="54">
        <v>0.2</v>
      </c>
      <c r="F36" s="54"/>
      <c r="G36" s="54"/>
      <c r="H36" s="54">
        <v>0.8</v>
      </c>
      <c r="I36" s="52">
        <f>IFERROR(B36/A36,"")</f>
        <v>3.887142857142857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>
      <c r="A37" s="53">
        <v>50</v>
      </c>
      <c r="B37" s="63">
        <v>195.02</v>
      </c>
      <c r="C37" s="63">
        <v>2</v>
      </c>
      <c r="D37" s="63">
        <v>35.58</v>
      </c>
      <c r="E37" s="54">
        <v>0.3</v>
      </c>
      <c r="F37" s="54"/>
      <c r="G37" s="54"/>
      <c r="H37" s="54">
        <v>0.7</v>
      </c>
      <c r="I37" s="56">
        <f t="shared" ref="I37:I55" si="1">IF(A37&lt;&gt;0,(B37-(B36-D36))/(A37-A36),"")</f>
        <v>9.3712500000000034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>
      <c r="A38" s="53">
        <v>58</v>
      </c>
      <c r="B38" s="63">
        <v>235.87</v>
      </c>
      <c r="C38" s="63">
        <v>3</v>
      </c>
      <c r="D38" s="63">
        <v>44.93</v>
      </c>
      <c r="E38" s="54">
        <v>0.3</v>
      </c>
      <c r="F38" s="54"/>
      <c r="G38" s="54"/>
      <c r="H38" s="54">
        <v>0.7</v>
      </c>
      <c r="I38" s="56">
        <f t="shared" si="1"/>
        <v>9.5537500000000009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>
      <c r="A39" s="53">
        <v>66</v>
      </c>
      <c r="B39" s="63">
        <v>264.95999999999998</v>
      </c>
      <c r="C39" s="63">
        <v>4</v>
      </c>
      <c r="D39" s="63">
        <v>49.91</v>
      </c>
      <c r="E39" s="54">
        <v>0.4</v>
      </c>
      <c r="F39" s="54"/>
      <c r="G39" s="54"/>
      <c r="H39" s="54">
        <v>0.6</v>
      </c>
      <c r="I39" s="52">
        <f t="shared" si="1"/>
        <v>9.2524999999999977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>
      <c r="A40" s="53">
        <v>74</v>
      </c>
      <c r="B40" s="63">
        <v>285.98</v>
      </c>
      <c r="C40" s="63">
        <v>5</v>
      </c>
      <c r="D40" s="63">
        <v>47.4</v>
      </c>
      <c r="E40" s="54">
        <v>0.5</v>
      </c>
      <c r="F40" s="54"/>
      <c r="G40" s="54"/>
      <c r="H40" s="54">
        <v>0.5</v>
      </c>
      <c r="I40" s="52">
        <f t="shared" si="1"/>
        <v>8.8662500000000044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>
      <c r="A41" s="53">
        <v>84</v>
      </c>
      <c r="B41" s="63">
        <v>325.35000000000002</v>
      </c>
      <c r="C41" s="63">
        <v>6</v>
      </c>
      <c r="D41" s="63">
        <v>61.47</v>
      </c>
      <c r="E41" s="54">
        <v>0.6</v>
      </c>
      <c r="F41" s="54"/>
      <c r="G41" s="54"/>
      <c r="H41" s="54">
        <v>0.4</v>
      </c>
      <c r="I41" s="56">
        <f t="shared" si="1"/>
        <v>8.6770000000000014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>
      <c r="A42" s="53">
        <v>90</v>
      </c>
      <c r="B42" s="63">
        <v>313.05</v>
      </c>
      <c r="C42" s="63"/>
      <c r="D42" s="63"/>
      <c r="E42" s="54"/>
      <c r="F42" s="54"/>
      <c r="G42" s="54"/>
      <c r="H42" s="54"/>
      <c r="I42" s="56">
        <f t="shared" si="1"/>
        <v>8.1950000000000021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>
      <c r="A43" s="283">
        <v>94</v>
      </c>
      <c r="B43" s="63">
        <v>346.79</v>
      </c>
      <c r="C43" s="63">
        <v>7</v>
      </c>
      <c r="D43" s="63">
        <v>61.85</v>
      </c>
      <c r="E43" s="54">
        <v>0.7</v>
      </c>
      <c r="F43" s="54"/>
      <c r="G43" s="54"/>
      <c r="H43" s="54">
        <v>0.3</v>
      </c>
      <c r="I43" s="52">
        <f t="shared" si="1"/>
        <v>8.4350000000000023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>
      <c r="A44" s="283">
        <v>100</v>
      </c>
      <c r="B44" s="63">
        <v>332.67</v>
      </c>
      <c r="C44" s="63"/>
      <c r="D44" s="63"/>
      <c r="E44" s="54"/>
      <c r="F44" s="54"/>
      <c r="G44" s="54"/>
      <c r="H44" s="54"/>
      <c r="I44" s="52">
        <f t="shared" si="1"/>
        <v>7.9550000000000027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>
      <c r="A45" s="283">
        <v>104</v>
      </c>
      <c r="B45" s="63">
        <v>365.41</v>
      </c>
      <c r="C45" s="63">
        <v>8</v>
      </c>
      <c r="D45" s="63">
        <v>60.19</v>
      </c>
      <c r="E45" s="54">
        <v>0.7</v>
      </c>
      <c r="F45" s="54"/>
      <c r="G45" s="54"/>
      <c r="H45" s="54">
        <v>0.3</v>
      </c>
      <c r="I45" s="52">
        <f t="shared" si="1"/>
        <v>8.1850000000000023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>
      <c r="A46" s="283">
        <v>114</v>
      </c>
      <c r="B46" s="63">
        <v>384.57</v>
      </c>
      <c r="C46" s="63">
        <v>9</v>
      </c>
      <c r="D46" s="63">
        <v>56.07</v>
      </c>
      <c r="E46" s="54">
        <v>0.8</v>
      </c>
      <c r="F46" s="54"/>
      <c r="G46" s="54"/>
      <c r="H46" s="54">
        <v>0.2</v>
      </c>
      <c r="I46" s="52">
        <f t="shared" si="1"/>
        <v>7.9349999999999969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>
      <c r="A47" s="283">
        <v>124</v>
      </c>
      <c r="B47" s="63">
        <v>408.42</v>
      </c>
      <c r="C47" s="63">
        <v>10</v>
      </c>
      <c r="D47" s="63">
        <v>408.42</v>
      </c>
      <c r="E47" s="54">
        <v>0.8</v>
      </c>
      <c r="F47" s="54"/>
      <c r="G47" s="54"/>
      <c r="H47" s="54">
        <v>0.2</v>
      </c>
      <c r="I47" s="52">
        <f t="shared" si="1"/>
        <v>7.9920000000000018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>
      <c r="A62" s="53">
        <v>15</v>
      </c>
      <c r="B62" s="63">
        <v>22.31</v>
      </c>
      <c r="C62" s="63"/>
      <c r="D62" s="63"/>
      <c r="E62" s="54"/>
      <c r="F62" s="54"/>
      <c r="G62" s="54"/>
      <c r="H62" s="54"/>
      <c r="I62" s="56">
        <f>IFERROR(B62/A62,"")</f>
        <v>1.4873333333333332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>
      <c r="A63" s="53">
        <v>21</v>
      </c>
      <c r="B63" s="63">
        <v>109.91</v>
      </c>
      <c r="C63" s="63"/>
      <c r="D63" s="63"/>
      <c r="E63" s="54"/>
      <c r="F63" s="54"/>
      <c r="G63" s="54"/>
      <c r="H63" s="54"/>
      <c r="I63" s="52">
        <f>IF(A63&lt;&gt;0,(B63-(B62-D62))/(A63-A62),"")</f>
        <v>14.6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>
      <c r="A64" s="53">
        <v>22</v>
      </c>
      <c r="B64" s="63">
        <v>129.07</v>
      </c>
      <c r="C64" s="63">
        <v>1</v>
      </c>
      <c r="D64" s="63">
        <v>52.41</v>
      </c>
      <c r="E64" s="54">
        <v>0.2</v>
      </c>
      <c r="F64" s="54">
        <v>0.45</v>
      </c>
      <c r="G64" s="54">
        <v>0.35</v>
      </c>
      <c r="H64" s="54"/>
      <c r="I64" s="52">
        <f>IF(A64&lt;&gt;0,(B64-(B63-D63))/(A64-A63),"")</f>
        <v>19.159999999999997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>
      <c r="A65" s="53">
        <v>24</v>
      </c>
      <c r="B65" s="63">
        <v>104.41</v>
      </c>
      <c r="C65" s="63"/>
      <c r="D65" s="63"/>
      <c r="E65" s="54"/>
      <c r="F65" s="54"/>
      <c r="G65" s="54"/>
      <c r="H65" s="54"/>
      <c r="I65" s="52">
        <f>IF(A65&lt;&gt;0,(B65-(B64-D64))/(A65-A64),"")</f>
        <v>13.875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>
      <c r="A66" s="53">
        <v>27</v>
      </c>
      <c r="B66" s="63">
        <v>155.49</v>
      </c>
      <c r="C66" s="63">
        <v>2</v>
      </c>
      <c r="D66" s="63">
        <v>37.840000000000003</v>
      </c>
      <c r="E66" s="54">
        <v>0.3</v>
      </c>
      <c r="F66" s="54">
        <v>0.39</v>
      </c>
      <c r="G66" s="54">
        <v>0.31</v>
      </c>
      <c r="H66" s="54"/>
      <c r="I66" s="52">
        <f t="shared" ref="I66:I81" si="2">IF(A66&lt;&gt;0,(B66-(B65-D65))/(A66-A65),"")</f>
        <v>17.026666666666671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>
      <c r="A67" s="53">
        <v>33</v>
      </c>
      <c r="B67" s="63">
        <v>217.34</v>
      </c>
      <c r="C67" s="63">
        <v>3</v>
      </c>
      <c r="D67" s="63">
        <v>50.41</v>
      </c>
      <c r="E67" s="54">
        <v>0.3</v>
      </c>
      <c r="F67" s="54">
        <v>0.39</v>
      </c>
      <c r="G67" s="54">
        <v>0.31</v>
      </c>
      <c r="H67" s="54"/>
      <c r="I67" s="52">
        <f t="shared" si="2"/>
        <v>16.614999999999998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>
      <c r="A68" s="53">
        <v>41</v>
      </c>
      <c r="B68" s="63">
        <v>300.54000000000002</v>
      </c>
      <c r="C68" s="63">
        <v>4</v>
      </c>
      <c r="D68" s="63">
        <v>72.13</v>
      </c>
      <c r="E68" s="54">
        <v>0.4</v>
      </c>
      <c r="F68" s="54">
        <v>0.34</v>
      </c>
      <c r="G68" s="54">
        <v>0.26</v>
      </c>
      <c r="H68" s="54"/>
      <c r="I68" s="52">
        <f t="shared" si="2"/>
        <v>16.701250000000002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>
      <c r="A69" s="53">
        <v>50</v>
      </c>
      <c r="B69" s="53">
        <v>369.94</v>
      </c>
      <c r="C69" s="53">
        <v>5</v>
      </c>
      <c r="D69" s="53">
        <v>70.2</v>
      </c>
      <c r="E69" s="54">
        <v>0.5</v>
      </c>
      <c r="F69" s="54">
        <v>0.28000000000000003</v>
      </c>
      <c r="G69" s="54">
        <v>0.22</v>
      </c>
      <c r="H69" s="54"/>
      <c r="I69" s="52">
        <f t="shared" si="2"/>
        <v>15.725555555555552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>
      <c r="A70" s="53">
        <v>60</v>
      </c>
      <c r="B70" s="53">
        <v>440.94</v>
      </c>
      <c r="C70" s="53">
        <v>6</v>
      </c>
      <c r="D70" s="53">
        <v>69.849999999999994</v>
      </c>
      <c r="E70" s="54">
        <v>0.6</v>
      </c>
      <c r="F70" s="54">
        <v>0.22</v>
      </c>
      <c r="G70" s="54">
        <v>0.18</v>
      </c>
      <c r="H70" s="54"/>
      <c r="I70" s="52">
        <f t="shared" si="2"/>
        <v>14.12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53">
        <v>69</v>
      </c>
      <c r="B71" s="53">
        <v>478.64</v>
      </c>
      <c r="C71" s="53"/>
      <c r="D71" s="53"/>
      <c r="E71" s="54"/>
      <c r="F71" s="54"/>
      <c r="G71" s="54"/>
      <c r="H71" s="54"/>
      <c r="I71" s="52">
        <f t="shared" si="2"/>
        <v>11.949999999999996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53">
        <v>70</v>
      </c>
      <c r="B72" s="53">
        <v>490.06</v>
      </c>
      <c r="C72" s="53">
        <v>7</v>
      </c>
      <c r="D72" s="53">
        <v>67.88</v>
      </c>
      <c r="E72" s="54">
        <v>0.7</v>
      </c>
      <c r="F72" s="54">
        <v>0.17</v>
      </c>
      <c r="G72" s="54">
        <v>0.13</v>
      </c>
      <c r="H72" s="54"/>
      <c r="I72" s="52">
        <f t="shared" si="2"/>
        <v>11.420000000000016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53">
        <v>78</v>
      </c>
      <c r="B73" s="53">
        <v>501.48</v>
      </c>
      <c r="C73" s="53"/>
      <c r="D73" s="53"/>
      <c r="E73" s="54"/>
      <c r="F73" s="54"/>
      <c r="G73" s="54"/>
      <c r="H73" s="54"/>
      <c r="I73" s="52">
        <f t="shared" si="2"/>
        <v>9.9125000000000014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53">
        <v>80</v>
      </c>
      <c r="B74" s="53">
        <v>520</v>
      </c>
      <c r="C74" s="53">
        <v>8</v>
      </c>
      <c r="D74" s="53">
        <v>520</v>
      </c>
      <c r="E74" s="54">
        <v>0.8</v>
      </c>
      <c r="F74" s="54">
        <v>0.11</v>
      </c>
      <c r="G74" s="54">
        <v>0.09</v>
      </c>
      <c r="H74" s="54"/>
      <c r="I74" s="52">
        <f t="shared" si="2"/>
        <v>9.2599999999999909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53">
        <v>42</v>
      </c>
      <c r="B88" s="63">
        <v>163.26</v>
      </c>
      <c r="C88" s="63">
        <v>1</v>
      </c>
      <c r="D88" s="63">
        <v>43.21</v>
      </c>
      <c r="E88" s="54">
        <v>0.2</v>
      </c>
      <c r="F88" s="54"/>
      <c r="G88" s="54"/>
      <c r="H88" s="54">
        <v>0.8</v>
      </c>
      <c r="I88" s="56">
        <f>IFERROR(B88/A88,"")</f>
        <v>3.887142857142857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53">
        <v>50</v>
      </c>
      <c r="B89" s="63">
        <v>195.02</v>
      </c>
      <c r="C89" s="63">
        <v>2</v>
      </c>
      <c r="D89" s="63">
        <v>35.58</v>
      </c>
      <c r="E89" s="54">
        <v>0.3</v>
      </c>
      <c r="F89" s="54"/>
      <c r="G89" s="54"/>
      <c r="H89" s="54">
        <v>0.7</v>
      </c>
      <c r="I89" s="56">
        <f t="shared" ref="I89:I107" si="3">IF(A89&lt;&gt;0,(B89-(B88-D88))/(A89-A88),"")</f>
        <v>9.3712500000000034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53">
        <v>58</v>
      </c>
      <c r="B90" s="63">
        <v>235.87</v>
      </c>
      <c r="C90" s="63">
        <v>3</v>
      </c>
      <c r="D90" s="63">
        <v>44.93</v>
      </c>
      <c r="E90" s="54">
        <v>0.3</v>
      </c>
      <c r="F90" s="54"/>
      <c r="G90" s="54"/>
      <c r="H90" s="54">
        <v>0.7</v>
      </c>
      <c r="I90" s="56">
        <f t="shared" si="3"/>
        <v>9.5537500000000009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53">
        <v>66</v>
      </c>
      <c r="B91" s="63">
        <v>264.95999999999998</v>
      </c>
      <c r="C91" s="63">
        <v>4</v>
      </c>
      <c r="D91" s="63">
        <v>49.91</v>
      </c>
      <c r="E91" s="54">
        <v>0.4</v>
      </c>
      <c r="F91" s="54"/>
      <c r="G91" s="54"/>
      <c r="H91" s="54">
        <v>0.6</v>
      </c>
      <c r="I91" s="56">
        <f t="shared" si="3"/>
        <v>9.2524999999999977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53">
        <v>74</v>
      </c>
      <c r="B92" s="63">
        <v>285.98</v>
      </c>
      <c r="C92" s="63">
        <v>5</v>
      </c>
      <c r="D92" s="63">
        <v>47.4</v>
      </c>
      <c r="E92" s="54">
        <v>0.5</v>
      </c>
      <c r="F92" s="54"/>
      <c r="G92" s="54"/>
      <c r="H92" s="54">
        <v>0.5</v>
      </c>
      <c r="I92" s="56">
        <f t="shared" si="3"/>
        <v>8.8662500000000044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53">
        <v>84</v>
      </c>
      <c r="B93" s="63">
        <v>325.35000000000002</v>
      </c>
      <c r="C93" s="63">
        <v>6</v>
      </c>
      <c r="D93" s="63">
        <v>61.47</v>
      </c>
      <c r="E93" s="54">
        <v>0.6</v>
      </c>
      <c r="F93" s="54"/>
      <c r="G93" s="54"/>
      <c r="H93" s="54">
        <v>0.4</v>
      </c>
      <c r="I93" s="56">
        <f t="shared" si="3"/>
        <v>8.6770000000000014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53">
        <v>90</v>
      </c>
      <c r="B94" s="63">
        <v>313.05</v>
      </c>
      <c r="C94" s="63"/>
      <c r="D94" s="63"/>
      <c r="E94" s="54"/>
      <c r="F94" s="54"/>
      <c r="G94" s="54"/>
      <c r="H94" s="54"/>
      <c r="I94" s="56">
        <f t="shared" si="3"/>
        <v>8.1950000000000021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283">
        <v>94</v>
      </c>
      <c r="B95" s="63">
        <v>346.79</v>
      </c>
      <c r="C95" s="63">
        <v>7</v>
      </c>
      <c r="D95" s="63">
        <v>61.85</v>
      </c>
      <c r="E95" s="54">
        <v>0.7</v>
      </c>
      <c r="F95" s="54"/>
      <c r="G95" s="54"/>
      <c r="H95" s="54">
        <v>0.3</v>
      </c>
      <c r="I95" s="56">
        <f t="shared" si="3"/>
        <v>8.4350000000000023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283">
        <v>100</v>
      </c>
      <c r="B96" s="63">
        <v>332.67</v>
      </c>
      <c r="C96" s="63"/>
      <c r="D96" s="63"/>
      <c r="E96" s="54"/>
      <c r="F96" s="54"/>
      <c r="G96" s="54"/>
      <c r="H96" s="54"/>
      <c r="I96" s="56">
        <f t="shared" si="3"/>
        <v>7.9550000000000027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283">
        <v>104</v>
      </c>
      <c r="B97" s="63">
        <v>365.41</v>
      </c>
      <c r="C97" s="63">
        <v>8</v>
      </c>
      <c r="D97" s="63">
        <v>60.19</v>
      </c>
      <c r="E97" s="54">
        <v>0.7</v>
      </c>
      <c r="F97" s="54"/>
      <c r="G97" s="54"/>
      <c r="H97" s="54">
        <v>0.3</v>
      </c>
      <c r="I97" s="56">
        <f t="shared" si="3"/>
        <v>8.1850000000000023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283">
        <v>114</v>
      </c>
      <c r="B98" s="63">
        <v>384.57</v>
      </c>
      <c r="C98" s="63">
        <v>9</v>
      </c>
      <c r="D98" s="63">
        <v>56.07</v>
      </c>
      <c r="E98" s="54">
        <v>0.8</v>
      </c>
      <c r="F98" s="54"/>
      <c r="G98" s="54"/>
      <c r="H98" s="54">
        <v>0.2</v>
      </c>
      <c r="I98" s="56">
        <f t="shared" si="3"/>
        <v>7.9349999999999969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283">
        <v>124</v>
      </c>
      <c r="B99" s="63">
        <v>408.42</v>
      </c>
      <c r="C99" s="63">
        <v>10</v>
      </c>
      <c r="D99" s="63">
        <v>408.42</v>
      </c>
      <c r="E99" s="54">
        <v>0.8</v>
      </c>
      <c r="F99" s="54"/>
      <c r="G99" s="54"/>
      <c r="H99" s="54">
        <v>0.2</v>
      </c>
      <c r="I99" s="56">
        <f t="shared" si="3"/>
        <v>7.9920000000000018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53">
        <v>20</v>
      </c>
      <c r="B114" s="63">
        <v>50.64</v>
      </c>
      <c r="C114" s="53">
        <v>1</v>
      </c>
      <c r="D114" s="63">
        <v>10.9</v>
      </c>
      <c r="E114" s="54">
        <v>0</v>
      </c>
      <c r="F114" s="54"/>
      <c r="G114" s="54"/>
      <c r="H114" s="54">
        <v>1</v>
      </c>
      <c r="I114" s="56">
        <f>IFERROR(B114/A114,"")</f>
        <v>2.532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53">
        <v>25</v>
      </c>
      <c r="B115" s="63">
        <v>69.23</v>
      </c>
      <c r="C115" s="53">
        <v>2</v>
      </c>
      <c r="D115" s="63">
        <v>16.670000000000002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5.8980000000000006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53">
        <v>30</v>
      </c>
      <c r="B116" s="63">
        <v>80.13</v>
      </c>
      <c r="C116" s="53">
        <v>3</v>
      </c>
      <c r="D116" s="63">
        <v>16.670000000000002</v>
      </c>
      <c r="E116" s="54">
        <v>0</v>
      </c>
      <c r="F116" s="54"/>
      <c r="G116" s="54"/>
      <c r="H116" s="54">
        <v>1</v>
      </c>
      <c r="I116" s="56">
        <f t="shared" si="4"/>
        <v>5.5139999999999985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53">
        <v>35</v>
      </c>
      <c r="B117" s="63">
        <v>88.46</v>
      </c>
      <c r="C117" s="53">
        <v>4</v>
      </c>
      <c r="D117" s="63">
        <v>16.03</v>
      </c>
      <c r="E117" s="54">
        <v>0</v>
      </c>
      <c r="F117" s="54"/>
      <c r="G117" s="54"/>
      <c r="H117" s="54">
        <v>1</v>
      </c>
      <c r="I117" s="56">
        <f t="shared" si="4"/>
        <v>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53">
        <v>40</v>
      </c>
      <c r="B118" s="63">
        <v>96.15</v>
      </c>
      <c r="C118" s="53">
        <v>5</v>
      </c>
      <c r="D118" s="63">
        <v>14.74</v>
      </c>
      <c r="E118" s="54">
        <v>0.2</v>
      </c>
      <c r="F118" s="54"/>
      <c r="G118" s="54"/>
      <c r="H118" s="54">
        <v>0.8</v>
      </c>
      <c r="I118" s="56">
        <f t="shared" si="4"/>
        <v>4.7440000000000024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53">
        <v>45</v>
      </c>
      <c r="B119" s="63">
        <v>101.92</v>
      </c>
      <c r="C119" s="53">
        <v>6</v>
      </c>
      <c r="D119" s="63">
        <v>13.46</v>
      </c>
      <c r="E119" s="54">
        <v>0.3</v>
      </c>
      <c r="F119" s="54"/>
      <c r="G119" s="54"/>
      <c r="H119" s="54">
        <v>0.7</v>
      </c>
      <c r="I119" s="56">
        <f t="shared" si="4"/>
        <v>4.1019999999999985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63">
        <v>50</v>
      </c>
      <c r="B120" s="63">
        <v>106.41</v>
      </c>
      <c r="C120" s="63">
        <v>7</v>
      </c>
      <c r="D120" s="63">
        <v>12.18</v>
      </c>
      <c r="E120" s="93">
        <v>0.4</v>
      </c>
      <c r="F120" s="93"/>
      <c r="G120" s="93"/>
      <c r="H120" s="93">
        <v>0.6</v>
      </c>
      <c r="I120" s="56">
        <f t="shared" si="4"/>
        <v>3.5899999999999976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63">
        <v>55</v>
      </c>
      <c r="B121" s="63">
        <v>110.26</v>
      </c>
      <c r="C121" s="63">
        <v>8</v>
      </c>
      <c r="D121" s="63">
        <v>11.54</v>
      </c>
      <c r="E121" s="93">
        <v>0.5</v>
      </c>
      <c r="F121" s="93"/>
      <c r="G121" s="93"/>
      <c r="H121" s="93">
        <v>0.5</v>
      </c>
      <c r="I121" s="56">
        <f t="shared" si="4"/>
        <v>3.2060000000000031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63">
        <v>60</v>
      </c>
      <c r="B122" s="63">
        <v>113.46</v>
      </c>
      <c r="C122" s="63">
        <v>9</v>
      </c>
      <c r="D122" s="63">
        <v>10.26</v>
      </c>
      <c r="E122" s="93">
        <v>0.5</v>
      </c>
      <c r="F122" s="93"/>
      <c r="G122" s="93"/>
      <c r="H122" s="93">
        <v>0.5</v>
      </c>
      <c r="I122" s="56">
        <f t="shared" si="4"/>
        <v>2.9479999999999991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63">
        <v>65</v>
      </c>
      <c r="B123" s="63">
        <v>116.03</v>
      </c>
      <c r="C123" s="63">
        <v>10</v>
      </c>
      <c r="D123" s="63">
        <v>8.9700000000000006</v>
      </c>
      <c r="E123" s="93">
        <v>0.6</v>
      </c>
      <c r="F123" s="93"/>
      <c r="G123" s="93"/>
      <c r="H123" s="93">
        <v>0.4</v>
      </c>
      <c r="I123" s="56">
        <f t="shared" si="4"/>
        <v>2.5660000000000025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63">
        <v>70</v>
      </c>
      <c r="B124" s="63">
        <v>117.95</v>
      </c>
      <c r="C124" s="63">
        <v>11</v>
      </c>
      <c r="D124" s="63">
        <v>7.69</v>
      </c>
      <c r="E124" s="68">
        <v>0.6</v>
      </c>
      <c r="F124" s="68"/>
      <c r="G124" s="68"/>
      <c r="H124" s="68">
        <v>0.4</v>
      </c>
      <c r="I124" s="56">
        <f t="shared" si="4"/>
        <v>2.1779999999999999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63">
        <v>75</v>
      </c>
      <c r="B125" s="63">
        <v>119.87</v>
      </c>
      <c r="C125" s="63">
        <v>12</v>
      </c>
      <c r="D125" s="63">
        <v>7.05</v>
      </c>
      <c r="E125" s="68">
        <v>0.7</v>
      </c>
      <c r="F125" s="68"/>
      <c r="G125" s="68"/>
      <c r="H125" s="68">
        <v>0.3</v>
      </c>
      <c r="I125" s="56">
        <f t="shared" si="4"/>
        <v>1.9219999999999999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63">
        <v>80</v>
      </c>
      <c r="B126" s="63">
        <v>121.15</v>
      </c>
      <c r="C126" s="63">
        <v>13</v>
      </c>
      <c r="D126" s="63">
        <v>121.15</v>
      </c>
      <c r="E126" s="57">
        <v>0.7</v>
      </c>
      <c r="F126" s="57"/>
      <c r="G126" s="57"/>
      <c r="H126" s="57">
        <v>0.3</v>
      </c>
      <c r="I126" s="56">
        <f t="shared" si="4"/>
        <v>1.6659999999999997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63"/>
      <c r="B127" s="63"/>
      <c r="C127" s="63"/>
      <c r="D127" s="63"/>
      <c r="E127" s="57"/>
      <c r="F127" s="57"/>
      <c r="G127" s="57"/>
      <c r="H127" s="57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49" t="s">
        <v>169</v>
      </c>
      <c r="B136" s="55" t="str">
        <f>IF(B13="","",B13)</f>
        <v>Robinier faux-acacia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53">
        <v>5</v>
      </c>
      <c r="B140" s="63">
        <v>17.95</v>
      </c>
      <c r="C140" s="53">
        <v>1</v>
      </c>
      <c r="D140" s="63">
        <v>2.56</v>
      </c>
      <c r="E140" s="54">
        <v>0</v>
      </c>
      <c r="F140" s="54"/>
      <c r="G140" s="54"/>
      <c r="H140" s="54">
        <v>1</v>
      </c>
      <c r="I140" s="60">
        <f>IFERROR(B140/A140,"")</f>
        <v>3.59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>
      <c r="A141" s="53">
        <v>10</v>
      </c>
      <c r="B141" s="63">
        <v>50.64</v>
      </c>
      <c r="C141" s="53">
        <v>2</v>
      </c>
      <c r="D141" s="63">
        <v>13.46</v>
      </c>
      <c r="E141" s="54">
        <v>0</v>
      </c>
      <c r="F141" s="54"/>
      <c r="G141" s="54"/>
      <c r="H141" s="54">
        <v>1</v>
      </c>
      <c r="I141" s="60">
        <f t="shared" ref="I141:I159" si="5">IF(A141&lt;&gt;0,(B141-(B140-D140))/(A141-A140),"")</f>
        <v>7.05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53">
        <v>15</v>
      </c>
      <c r="B142" s="63">
        <v>72.44</v>
      </c>
      <c r="C142" s="53">
        <v>3</v>
      </c>
      <c r="D142" s="63">
        <v>10.9</v>
      </c>
      <c r="E142" s="54">
        <v>0</v>
      </c>
      <c r="F142" s="54"/>
      <c r="G142" s="54"/>
      <c r="H142" s="54">
        <v>1</v>
      </c>
      <c r="I142" s="60">
        <f t="shared" si="5"/>
        <v>7.0519999999999996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53">
        <v>20</v>
      </c>
      <c r="B143" s="63">
        <v>92.95</v>
      </c>
      <c r="C143" s="53">
        <v>4</v>
      </c>
      <c r="D143" s="63">
        <v>8.9700000000000006</v>
      </c>
      <c r="E143" s="54">
        <v>0</v>
      </c>
      <c r="F143" s="54"/>
      <c r="G143" s="54"/>
      <c r="H143" s="54">
        <v>1</v>
      </c>
      <c r="I143" s="60">
        <f t="shared" si="5"/>
        <v>6.2820000000000009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53">
        <v>25</v>
      </c>
      <c r="B144" s="63">
        <v>110.9</v>
      </c>
      <c r="C144" s="53">
        <v>5</v>
      </c>
      <c r="D144" s="63">
        <v>7.05</v>
      </c>
      <c r="E144" s="54">
        <v>0</v>
      </c>
      <c r="F144" s="54"/>
      <c r="G144" s="54"/>
      <c r="H144" s="54">
        <v>1</v>
      </c>
      <c r="I144" s="60">
        <f t="shared" si="5"/>
        <v>5.3840000000000003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53">
        <v>30</v>
      </c>
      <c r="B145" s="63">
        <v>125.64</v>
      </c>
      <c r="C145" s="53">
        <v>6</v>
      </c>
      <c r="D145" s="63">
        <v>5.77</v>
      </c>
      <c r="E145" s="54">
        <v>0</v>
      </c>
      <c r="F145" s="54"/>
      <c r="G145" s="54"/>
      <c r="H145" s="54">
        <v>1</v>
      </c>
      <c r="I145" s="60">
        <f t="shared" si="5"/>
        <v>4.3579999999999988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53">
        <v>35</v>
      </c>
      <c r="B146" s="63">
        <v>138.46</v>
      </c>
      <c r="C146" s="53">
        <v>7</v>
      </c>
      <c r="D146" s="63">
        <v>4.49</v>
      </c>
      <c r="E146" s="54">
        <v>0.3</v>
      </c>
      <c r="F146" s="54"/>
      <c r="G146" s="54"/>
      <c r="H146" s="54">
        <v>0.7</v>
      </c>
      <c r="I146" s="60">
        <f t="shared" si="5"/>
        <v>3.7180000000000009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53">
        <v>40</v>
      </c>
      <c r="B147" s="63">
        <v>149.36000000000001</v>
      </c>
      <c r="C147" s="53">
        <v>8</v>
      </c>
      <c r="D147" s="63">
        <v>3.85</v>
      </c>
      <c r="E147" s="54">
        <v>0.5</v>
      </c>
      <c r="F147" s="54"/>
      <c r="G147" s="54"/>
      <c r="H147" s="54">
        <v>0.5</v>
      </c>
      <c r="I147" s="60">
        <f>IF(A147&lt;&gt;0,(B147-(B146-D146))/(A147-A146),"")</f>
        <v>3.078000000000003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53">
        <v>45</v>
      </c>
      <c r="B148" s="63">
        <v>161.54</v>
      </c>
      <c r="C148" s="53">
        <v>9</v>
      </c>
      <c r="D148" s="63">
        <v>161.54</v>
      </c>
      <c r="E148" s="54">
        <v>0.7</v>
      </c>
      <c r="F148" s="54"/>
      <c r="G148" s="54"/>
      <c r="H148" s="54">
        <v>0.3</v>
      </c>
      <c r="I148" s="60">
        <f t="shared" si="5"/>
        <v>3.2059999999999946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49" t="s">
        <v>170</v>
      </c>
      <c r="B162" s="55" t="str">
        <f>IF(B14="","",B14)</f>
        <v>Charme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53">
        <v>40</v>
      </c>
      <c r="B166" s="63">
        <v>53</v>
      </c>
      <c r="C166" s="63">
        <v>1</v>
      </c>
      <c r="D166" s="63">
        <v>6</v>
      </c>
      <c r="E166" s="54">
        <v>0.2</v>
      </c>
      <c r="F166" s="54"/>
      <c r="G166" s="54"/>
      <c r="H166" s="54">
        <v>0.8</v>
      </c>
      <c r="I166" s="52">
        <f>IFERROR(B166/A166,"")</f>
        <v>1.325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53">
        <v>45</v>
      </c>
      <c r="B167" s="63">
        <v>95</v>
      </c>
      <c r="C167" s="63">
        <v>2</v>
      </c>
      <c r="D167" s="63">
        <v>12</v>
      </c>
      <c r="E167" s="54">
        <v>0.2</v>
      </c>
      <c r="F167" s="54"/>
      <c r="G167" s="54"/>
      <c r="H167" s="54">
        <v>0.8</v>
      </c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53">
        <v>50</v>
      </c>
      <c r="B168" s="63">
        <v>125</v>
      </c>
      <c r="C168" s="63">
        <v>3</v>
      </c>
      <c r="D168" s="63">
        <v>15</v>
      </c>
      <c r="E168" s="54">
        <v>0.3</v>
      </c>
      <c r="F168" s="54"/>
      <c r="G168" s="54"/>
      <c r="H168" s="54">
        <v>0.7</v>
      </c>
      <c r="I168" s="52">
        <f t="shared" si="6"/>
        <v>8.4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53">
        <v>55</v>
      </c>
      <c r="B169" s="63">
        <v>149</v>
      </c>
      <c r="C169" s="63">
        <v>4</v>
      </c>
      <c r="D169" s="63">
        <v>18</v>
      </c>
      <c r="E169" s="54">
        <v>0.3</v>
      </c>
      <c r="F169" s="54"/>
      <c r="G169" s="54"/>
      <c r="H169" s="54">
        <v>0.7</v>
      </c>
      <c r="I169" s="52">
        <f t="shared" si="6"/>
        <v>7.8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53">
        <v>60</v>
      </c>
      <c r="B170" s="63">
        <v>168</v>
      </c>
      <c r="C170" s="63">
        <v>5</v>
      </c>
      <c r="D170" s="63">
        <v>19</v>
      </c>
      <c r="E170" s="93">
        <v>0.4</v>
      </c>
      <c r="F170" s="93"/>
      <c r="G170" s="93"/>
      <c r="H170" s="93">
        <v>0.6</v>
      </c>
      <c r="I170" s="52">
        <f t="shared" si="6"/>
        <v>7.4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53">
        <v>65</v>
      </c>
      <c r="B171" s="63">
        <v>182</v>
      </c>
      <c r="C171" s="63">
        <v>6</v>
      </c>
      <c r="D171" s="63">
        <v>21</v>
      </c>
      <c r="E171" s="93">
        <v>0.4</v>
      </c>
      <c r="F171" s="93"/>
      <c r="G171" s="93"/>
      <c r="H171" s="93">
        <v>0.6</v>
      </c>
      <c r="I171" s="52">
        <f t="shared" si="6"/>
        <v>6.6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53">
        <v>70</v>
      </c>
      <c r="B172" s="63">
        <v>195</v>
      </c>
      <c r="C172" s="63">
        <v>7</v>
      </c>
      <c r="D172" s="63">
        <v>21</v>
      </c>
      <c r="E172" s="93">
        <v>0.5</v>
      </c>
      <c r="F172" s="93"/>
      <c r="G172" s="93"/>
      <c r="H172" s="93">
        <v>0.5</v>
      </c>
      <c r="I172" s="52">
        <f t="shared" si="6"/>
        <v>6.8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53">
        <v>75</v>
      </c>
      <c r="B173" s="53">
        <v>205</v>
      </c>
      <c r="C173" s="53">
        <v>8</v>
      </c>
      <c r="D173" s="53">
        <v>22</v>
      </c>
      <c r="E173" s="93">
        <v>0.5</v>
      </c>
      <c r="F173" s="93"/>
      <c r="G173" s="93"/>
      <c r="H173" s="93">
        <v>0.5</v>
      </c>
      <c r="I173" s="52">
        <f t="shared" si="6"/>
        <v>6.2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53">
        <v>80</v>
      </c>
      <c r="B174" s="53">
        <v>213</v>
      </c>
      <c r="C174" s="53">
        <v>9</v>
      </c>
      <c r="D174" s="53">
        <v>22</v>
      </c>
      <c r="E174" s="93">
        <v>0.5</v>
      </c>
      <c r="F174" s="93"/>
      <c r="G174" s="93"/>
      <c r="H174" s="93">
        <v>0.5</v>
      </c>
      <c r="I174" s="52">
        <f t="shared" si="6"/>
        <v>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53">
        <v>85</v>
      </c>
      <c r="B175" s="53">
        <v>220</v>
      </c>
      <c r="C175" s="53">
        <v>10</v>
      </c>
      <c r="D175" s="53">
        <v>22</v>
      </c>
      <c r="E175" s="93">
        <v>0.6</v>
      </c>
      <c r="F175" s="93"/>
      <c r="G175" s="93"/>
      <c r="H175" s="93">
        <v>0.4</v>
      </c>
      <c r="I175" s="52">
        <f t="shared" si="6"/>
        <v>5.8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53">
        <v>90</v>
      </c>
      <c r="B176" s="53">
        <v>226</v>
      </c>
      <c r="C176" s="53">
        <v>11</v>
      </c>
      <c r="D176" s="53">
        <v>22</v>
      </c>
      <c r="E176" s="68">
        <v>0.6</v>
      </c>
      <c r="F176" s="68"/>
      <c r="G176" s="68"/>
      <c r="H176" s="68">
        <v>0.4</v>
      </c>
      <c r="I176" s="52">
        <f t="shared" si="6"/>
        <v>5.6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53">
        <v>95</v>
      </c>
      <c r="B177" s="53">
        <v>231</v>
      </c>
      <c r="C177" s="53">
        <v>12</v>
      </c>
      <c r="D177" s="53">
        <v>22</v>
      </c>
      <c r="E177" s="68">
        <v>0.6</v>
      </c>
      <c r="F177" s="68"/>
      <c r="G177" s="68"/>
      <c r="H177" s="68">
        <v>0.4</v>
      </c>
      <c r="I177" s="52">
        <f t="shared" si="6"/>
        <v>5.4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53">
        <v>100</v>
      </c>
      <c r="B178" s="53">
        <v>235</v>
      </c>
      <c r="C178" s="53">
        <v>13</v>
      </c>
      <c r="D178" s="53">
        <v>22</v>
      </c>
      <c r="E178" s="68">
        <v>0.7</v>
      </c>
      <c r="F178" s="68"/>
      <c r="G178" s="68"/>
      <c r="H178" s="68">
        <v>0.3</v>
      </c>
      <c r="I178" s="52">
        <f t="shared" si="6"/>
        <v>5.2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53">
        <v>105</v>
      </c>
      <c r="B179" s="53">
        <v>238</v>
      </c>
      <c r="C179" s="53">
        <v>14</v>
      </c>
      <c r="D179" s="53">
        <v>22</v>
      </c>
      <c r="E179" s="57">
        <v>0.7</v>
      </c>
      <c r="F179" s="57"/>
      <c r="G179" s="57"/>
      <c r="H179" s="57">
        <v>0.3</v>
      </c>
      <c r="I179" s="52">
        <f t="shared" si="6"/>
        <v>5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53">
        <v>110</v>
      </c>
      <c r="B180" s="53">
        <v>241</v>
      </c>
      <c r="C180" s="53">
        <v>15</v>
      </c>
      <c r="D180" s="53">
        <v>21</v>
      </c>
      <c r="E180" s="54">
        <v>0.7</v>
      </c>
      <c r="F180" s="54"/>
      <c r="G180" s="54"/>
      <c r="H180" s="54">
        <v>0.3</v>
      </c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53">
        <v>115</v>
      </c>
      <c r="B181" s="53">
        <v>244</v>
      </c>
      <c r="C181" s="53">
        <v>16</v>
      </c>
      <c r="D181" s="53">
        <v>21</v>
      </c>
      <c r="E181" s="54">
        <v>0.8</v>
      </c>
      <c r="F181" s="54"/>
      <c r="G181" s="54"/>
      <c r="H181" s="54">
        <v>0.2</v>
      </c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53">
        <v>120</v>
      </c>
      <c r="B182" s="53">
        <v>246</v>
      </c>
      <c r="C182" s="53">
        <v>17</v>
      </c>
      <c r="D182" s="53">
        <v>246</v>
      </c>
      <c r="E182" s="54">
        <v>0.8</v>
      </c>
      <c r="F182" s="54"/>
      <c r="G182" s="54"/>
      <c r="H182" s="54">
        <v>0.2</v>
      </c>
      <c r="I182" s="52">
        <f t="shared" si="6"/>
        <v>4.5999999999999996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49" t="s">
        <v>171</v>
      </c>
      <c r="B188" s="55" t="str">
        <f>IF(B15="","",B15)</f>
        <v>Cèdre de l'Atlas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53">
        <v>30</v>
      </c>
      <c r="B192" s="63">
        <v>121.43</v>
      </c>
      <c r="C192" s="63"/>
      <c r="D192" s="63"/>
      <c r="E192" s="54"/>
      <c r="F192" s="54"/>
      <c r="G192" s="54"/>
      <c r="H192" s="54"/>
      <c r="I192" s="52">
        <f>IFERROR(B192/A192,"")</f>
        <v>4.0476666666666672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53">
        <v>35</v>
      </c>
      <c r="B193" s="63">
        <v>175.06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10.725999999999999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53">
        <v>40</v>
      </c>
      <c r="B194" s="63">
        <v>236.24</v>
      </c>
      <c r="C194" s="63"/>
      <c r="D194" s="63"/>
      <c r="E194" s="54"/>
      <c r="F194" s="54"/>
      <c r="G194" s="54"/>
      <c r="H194" s="54"/>
      <c r="I194" s="52">
        <f t="shared" si="7"/>
        <v>12.236000000000001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53">
        <v>45</v>
      </c>
      <c r="B195" s="63">
        <v>303.51</v>
      </c>
      <c r="C195" s="63"/>
      <c r="D195" s="63"/>
      <c r="E195" s="54"/>
      <c r="F195" s="54"/>
      <c r="G195" s="54"/>
      <c r="H195" s="54"/>
      <c r="I195" s="52">
        <f t="shared" si="7"/>
        <v>13.453999999999997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53">
        <v>51</v>
      </c>
      <c r="B196" s="63">
        <v>390.67</v>
      </c>
      <c r="C196" s="63">
        <v>1</v>
      </c>
      <c r="D196" s="63">
        <v>171.3</v>
      </c>
      <c r="E196" s="54">
        <v>0.2</v>
      </c>
      <c r="F196" s="54">
        <v>0.45</v>
      </c>
      <c r="G196" s="54">
        <v>0.35</v>
      </c>
      <c r="H196" s="54"/>
      <c r="I196" s="52">
        <f t="shared" si="7"/>
        <v>14.526666666666671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53">
        <v>55</v>
      </c>
      <c r="B197" s="63">
        <v>272.27</v>
      </c>
      <c r="C197" s="63"/>
      <c r="D197" s="63"/>
      <c r="E197" s="54"/>
      <c r="F197" s="54"/>
      <c r="G197" s="54"/>
      <c r="H197" s="54"/>
      <c r="I197" s="52">
        <f t="shared" si="7"/>
        <v>13.224999999999994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53">
        <v>61</v>
      </c>
      <c r="B198" s="63">
        <v>348.21</v>
      </c>
      <c r="C198" s="63">
        <v>2</v>
      </c>
      <c r="D198" s="63">
        <v>100.2</v>
      </c>
      <c r="E198" s="54">
        <v>0.3</v>
      </c>
      <c r="F198" s="54">
        <v>0.39</v>
      </c>
      <c r="G198" s="54">
        <v>0.31</v>
      </c>
      <c r="H198" s="54"/>
      <c r="I198" s="52">
        <f t="shared" si="7"/>
        <v>12.656666666666666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53">
        <v>65</v>
      </c>
      <c r="B199" s="53">
        <v>294.49</v>
      </c>
      <c r="C199" s="53"/>
      <c r="D199" s="53"/>
      <c r="E199" s="54"/>
      <c r="F199" s="54"/>
      <c r="G199" s="54"/>
      <c r="H199" s="54"/>
      <c r="I199" s="52">
        <f t="shared" si="7"/>
        <v>11.620000000000005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53">
        <v>73</v>
      </c>
      <c r="B200" s="53">
        <v>390.43</v>
      </c>
      <c r="C200" s="53">
        <v>3</v>
      </c>
      <c r="D200" s="53">
        <v>102.1</v>
      </c>
      <c r="E200" s="54">
        <v>0.4</v>
      </c>
      <c r="F200" s="54">
        <v>0.34</v>
      </c>
      <c r="G200" s="54">
        <v>0.26</v>
      </c>
      <c r="H200" s="54"/>
      <c r="I200" s="52">
        <f t="shared" si="7"/>
        <v>11.9925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53">
        <v>80</v>
      </c>
      <c r="B201" s="53">
        <v>364.41</v>
      </c>
      <c r="C201" s="53"/>
      <c r="D201" s="53"/>
      <c r="E201" s="54"/>
      <c r="F201" s="54"/>
      <c r="G201" s="54"/>
      <c r="H201" s="54"/>
      <c r="I201" s="52">
        <f t="shared" si="7"/>
        <v>10.868571428571427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53">
        <v>85</v>
      </c>
      <c r="B202" s="53">
        <v>420.16</v>
      </c>
      <c r="C202" s="53">
        <v>4</v>
      </c>
      <c r="D202" s="53">
        <v>94.69</v>
      </c>
      <c r="E202" s="54">
        <v>0.5</v>
      </c>
      <c r="F202" s="54">
        <v>0.28000000000000003</v>
      </c>
      <c r="G202" s="54">
        <v>0.22</v>
      </c>
      <c r="H202" s="54"/>
      <c r="I202" s="52">
        <f t="shared" si="7"/>
        <v>11.15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53">
        <v>90</v>
      </c>
      <c r="B203" s="53">
        <v>375.39</v>
      </c>
      <c r="C203" s="53"/>
      <c r="D203" s="53"/>
      <c r="E203" s="54"/>
      <c r="F203" s="54"/>
      <c r="G203" s="54"/>
      <c r="H203" s="54"/>
      <c r="I203" s="52">
        <f t="shared" si="7"/>
        <v>9.9839999999999911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53">
        <v>97</v>
      </c>
      <c r="B204" s="53">
        <v>446.19</v>
      </c>
      <c r="C204" s="53">
        <v>5</v>
      </c>
      <c r="D204" s="53">
        <v>89.6</v>
      </c>
      <c r="E204" s="54">
        <v>0.6</v>
      </c>
      <c r="F204" s="54">
        <v>0.22</v>
      </c>
      <c r="G204" s="54">
        <v>0.18</v>
      </c>
      <c r="H204" s="54"/>
      <c r="I204" s="52">
        <f t="shared" si="7"/>
        <v>10.114285714285716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53">
        <v>100</v>
      </c>
      <c r="B205" s="53">
        <v>383.55</v>
      </c>
      <c r="C205" s="53"/>
      <c r="D205" s="53"/>
      <c r="E205" s="54"/>
      <c r="F205" s="54"/>
      <c r="G205" s="54"/>
      <c r="H205" s="54"/>
      <c r="I205" s="52">
        <f t="shared" si="7"/>
        <v>8.9866666666666593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53">
        <v>105</v>
      </c>
      <c r="B206" s="53">
        <v>428.84</v>
      </c>
      <c r="C206" s="53"/>
      <c r="D206" s="53"/>
      <c r="E206" s="54"/>
      <c r="F206" s="54"/>
      <c r="G206" s="54"/>
      <c r="H206" s="54"/>
      <c r="I206" s="52">
        <f t="shared" si="7"/>
        <v>9.0579999999999927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53">
        <v>109</v>
      </c>
      <c r="B207" s="53">
        <v>465.16</v>
      </c>
      <c r="C207" s="53">
        <v>6</v>
      </c>
      <c r="D207" s="53">
        <v>91.09</v>
      </c>
      <c r="E207" s="54">
        <v>0.7</v>
      </c>
      <c r="F207" s="54">
        <v>0.17</v>
      </c>
      <c r="G207" s="54">
        <v>0.13</v>
      </c>
      <c r="H207" s="54"/>
      <c r="I207" s="52">
        <f t="shared" si="7"/>
        <v>9.0800000000000125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53">
        <v>115</v>
      </c>
      <c r="B208" s="53">
        <v>422.77</v>
      </c>
      <c r="C208" s="53"/>
      <c r="D208" s="53"/>
      <c r="E208" s="54"/>
      <c r="F208" s="54"/>
      <c r="G208" s="54"/>
      <c r="H208" s="54"/>
      <c r="I208" s="52">
        <f t="shared" si="7"/>
        <v>8.1166666666666547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53">
        <v>121</v>
      </c>
      <c r="B209" s="53">
        <v>471.22</v>
      </c>
      <c r="C209" s="53">
        <v>7</v>
      </c>
      <c r="D209" s="53">
        <v>471.22</v>
      </c>
      <c r="E209" s="54">
        <v>0.8</v>
      </c>
      <c r="F209" s="54">
        <v>0.11</v>
      </c>
      <c r="G209" s="54">
        <v>0.09</v>
      </c>
      <c r="H209" s="54"/>
      <c r="I209" s="52">
        <f t="shared" si="7"/>
        <v>8.0750000000000082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49" t="s">
        <v>172</v>
      </c>
      <c r="B214" s="55" t="str">
        <f>IF(B16="","",B16)</f>
        <v>Chêne sessile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53">
        <v>60</v>
      </c>
      <c r="B218" s="63">
        <v>190.57</v>
      </c>
      <c r="C218" s="53">
        <v>1</v>
      </c>
      <c r="D218" s="63">
        <v>69.84</v>
      </c>
      <c r="E218" s="54">
        <v>0.2</v>
      </c>
      <c r="F218" s="54"/>
      <c r="G218" s="54"/>
      <c r="H218" s="54">
        <v>0.8</v>
      </c>
      <c r="I218" s="56">
        <f>IFERROR(B218/A218,"")</f>
        <v>3.1761666666666666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53">
        <v>63</v>
      </c>
      <c r="B219" s="63">
        <v>139.03</v>
      </c>
      <c r="C219" s="53"/>
      <c r="D219" s="63"/>
      <c r="E219" s="54"/>
      <c r="F219" s="54"/>
      <c r="G219" s="54"/>
      <c r="H219" s="54"/>
      <c r="I219" s="56">
        <f t="shared" ref="I219:I237" si="8">IF(A219&lt;&gt;0,(B219-(B218-D218))/(A219-A218),"")</f>
        <v>6.1000000000000041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53">
        <v>66</v>
      </c>
      <c r="B220" s="63">
        <v>158.09</v>
      </c>
      <c r="C220" s="53"/>
      <c r="D220" s="63"/>
      <c r="E220" s="54"/>
      <c r="F220" s="54"/>
      <c r="G220" s="54"/>
      <c r="H220" s="54"/>
      <c r="I220" s="56">
        <f t="shared" si="8"/>
        <v>6.3533333333333344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58">
        <v>69</v>
      </c>
      <c r="B221" s="58">
        <v>177.57</v>
      </c>
      <c r="C221" s="58">
        <v>2</v>
      </c>
      <c r="D221" s="58">
        <v>39.35</v>
      </c>
      <c r="E221" s="54">
        <v>0.3</v>
      </c>
      <c r="F221" s="54"/>
      <c r="G221" s="54"/>
      <c r="H221" s="54">
        <v>0.7</v>
      </c>
      <c r="I221" s="56">
        <f t="shared" si="8"/>
        <v>6.4933333333333296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58">
        <v>77</v>
      </c>
      <c r="B222" s="58">
        <v>187.27</v>
      </c>
      <c r="C222" s="58">
        <v>3</v>
      </c>
      <c r="D222" s="58">
        <v>31.56</v>
      </c>
      <c r="E222" s="54">
        <v>0.3</v>
      </c>
      <c r="F222" s="54"/>
      <c r="G222" s="54"/>
      <c r="H222" s="54">
        <v>0.7</v>
      </c>
      <c r="I222" s="56">
        <f t="shared" si="8"/>
        <v>6.1312500000000014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58">
        <v>86</v>
      </c>
      <c r="B223" s="58">
        <v>210.57</v>
      </c>
      <c r="C223" s="58">
        <v>4</v>
      </c>
      <c r="D223" s="58">
        <v>34.46</v>
      </c>
      <c r="E223" s="93">
        <v>0.4</v>
      </c>
      <c r="F223" s="93"/>
      <c r="G223" s="93"/>
      <c r="H223" s="93">
        <v>0.6</v>
      </c>
      <c r="I223" s="56">
        <f t="shared" si="8"/>
        <v>6.0955555555555536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58">
        <v>95</v>
      </c>
      <c r="B224" s="58">
        <v>230.89</v>
      </c>
      <c r="C224" s="58">
        <v>5</v>
      </c>
      <c r="D224" s="58">
        <v>38.770000000000003</v>
      </c>
      <c r="E224" s="93">
        <v>0.4</v>
      </c>
      <c r="F224" s="93"/>
      <c r="G224" s="93"/>
      <c r="H224" s="93">
        <v>0.6</v>
      </c>
      <c r="I224" s="56">
        <f t="shared" si="8"/>
        <v>6.0866666666666669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58">
        <v>101</v>
      </c>
      <c r="B225" s="58">
        <v>228.13</v>
      </c>
      <c r="C225" s="58"/>
      <c r="D225" s="58"/>
      <c r="E225" s="93"/>
      <c r="F225" s="93"/>
      <c r="G225" s="93"/>
      <c r="H225" s="93"/>
      <c r="I225" s="56">
        <f t="shared" si="8"/>
        <v>6.0016666666666696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58">
        <v>104</v>
      </c>
      <c r="B226" s="58">
        <v>246.76</v>
      </c>
      <c r="C226" s="58">
        <v>6</v>
      </c>
      <c r="D226" s="58">
        <v>35.979999999999997</v>
      </c>
      <c r="E226" s="93">
        <v>0.5</v>
      </c>
      <c r="F226" s="93"/>
      <c r="G226" s="93"/>
      <c r="H226" s="93">
        <v>0.5</v>
      </c>
      <c r="I226" s="56">
        <f t="shared" si="8"/>
        <v>6.2099999999999982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58">
        <v>113</v>
      </c>
      <c r="B227" s="58">
        <v>266.06</v>
      </c>
      <c r="C227" s="58">
        <v>7</v>
      </c>
      <c r="D227" s="58">
        <v>37.82</v>
      </c>
      <c r="E227" s="68">
        <v>0.7</v>
      </c>
      <c r="F227" s="68"/>
      <c r="G227" s="68"/>
      <c r="H227" s="68">
        <v>0.3</v>
      </c>
      <c r="I227" s="56">
        <f t="shared" si="8"/>
        <v>6.1422222222222222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58">
        <v>122</v>
      </c>
      <c r="B228" s="58">
        <v>284.32</v>
      </c>
      <c r="C228" s="58">
        <v>8</v>
      </c>
      <c r="D228" s="58">
        <v>284.32</v>
      </c>
      <c r="E228" s="68">
        <v>0.7</v>
      </c>
      <c r="F228" s="68"/>
      <c r="G228" s="68"/>
      <c r="H228" s="68">
        <v>0.3</v>
      </c>
      <c r="I228" s="56">
        <f t="shared" si="8"/>
        <v>6.231111111111109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58"/>
      <c r="B229" s="58"/>
      <c r="C229" s="58"/>
      <c r="D229" s="58"/>
      <c r="E229" s="68"/>
      <c r="F229" s="68"/>
      <c r="G229" s="68"/>
      <c r="H229" s="68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58"/>
      <c r="B230" s="58"/>
      <c r="C230" s="58"/>
      <c r="D230" s="58"/>
      <c r="E230" s="57"/>
      <c r="F230" s="57"/>
      <c r="G230" s="57"/>
      <c r="H230" s="5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49" t="s">
        <v>173</v>
      </c>
      <c r="B240" s="55" t="str">
        <f>IF(B17="","",B17)</f>
        <v>Chêne vert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53">
        <v>60</v>
      </c>
      <c r="B244" s="63">
        <v>190.57</v>
      </c>
      <c r="C244" s="53">
        <v>1</v>
      </c>
      <c r="D244" s="63">
        <v>69.84</v>
      </c>
      <c r="E244" s="54">
        <v>0.2</v>
      </c>
      <c r="F244" s="54"/>
      <c r="G244" s="54"/>
      <c r="H244" s="54">
        <v>0.8</v>
      </c>
      <c r="I244" s="56">
        <f>IFERROR(B244/A244,"")</f>
        <v>3.1761666666666666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53">
        <v>63</v>
      </c>
      <c r="B245" s="63">
        <v>139.03</v>
      </c>
      <c r="C245" s="53"/>
      <c r="D245" s="63"/>
      <c r="E245" s="54"/>
      <c r="F245" s="54"/>
      <c r="G245" s="54"/>
      <c r="H245" s="54"/>
      <c r="I245" s="56">
        <f>IF(A245&lt;&gt;0,(B245-(B244-D244))/(A245-A244),"")</f>
        <v>6.1000000000000041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53">
        <v>66</v>
      </c>
      <c r="B246" s="63">
        <v>158.09</v>
      </c>
      <c r="C246" s="53"/>
      <c r="D246" s="63"/>
      <c r="E246" s="54"/>
      <c r="F246" s="54"/>
      <c r="G246" s="54"/>
      <c r="H246" s="54"/>
      <c r="I246" s="56">
        <f>IF(A246&lt;&gt;0,(B246-(B245-D245))/(A246-A245),"")</f>
        <v>6.3533333333333344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58">
        <v>69</v>
      </c>
      <c r="B247" s="58">
        <v>177.57</v>
      </c>
      <c r="C247" s="58">
        <v>2</v>
      </c>
      <c r="D247" s="58">
        <v>39.35</v>
      </c>
      <c r="E247" s="54">
        <v>0.3</v>
      </c>
      <c r="F247" s="54"/>
      <c r="G247" s="54"/>
      <c r="H247" s="54">
        <v>0.7</v>
      </c>
      <c r="I247" s="56">
        <f t="shared" ref="I247:I263" si="9">IF(A247&lt;&gt;0,(B247-(B246-D246))/(A247-A246),"")</f>
        <v>6.4933333333333296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58">
        <v>77</v>
      </c>
      <c r="B248" s="58">
        <v>187.27</v>
      </c>
      <c r="C248" s="58">
        <v>3</v>
      </c>
      <c r="D248" s="58">
        <v>31.56</v>
      </c>
      <c r="E248" s="54">
        <v>0.3</v>
      </c>
      <c r="F248" s="54"/>
      <c r="G248" s="54"/>
      <c r="H248" s="54">
        <v>0.7</v>
      </c>
      <c r="I248" s="56">
        <f t="shared" si="9"/>
        <v>6.1312500000000014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58">
        <v>86</v>
      </c>
      <c r="B249" s="58">
        <v>210.57</v>
      </c>
      <c r="C249" s="58">
        <v>4</v>
      </c>
      <c r="D249" s="58">
        <v>34.46</v>
      </c>
      <c r="E249" s="93">
        <v>0.4</v>
      </c>
      <c r="F249" s="93"/>
      <c r="G249" s="93"/>
      <c r="H249" s="93">
        <v>0.6</v>
      </c>
      <c r="I249" s="56">
        <f t="shared" si="9"/>
        <v>6.0955555555555536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58">
        <v>95</v>
      </c>
      <c r="B250" s="58">
        <v>230.89</v>
      </c>
      <c r="C250" s="58">
        <v>5</v>
      </c>
      <c r="D250" s="58">
        <v>38.770000000000003</v>
      </c>
      <c r="E250" s="93">
        <v>0.4</v>
      </c>
      <c r="F250" s="93"/>
      <c r="G250" s="93"/>
      <c r="H250" s="93">
        <v>0.6</v>
      </c>
      <c r="I250" s="56">
        <f t="shared" si="9"/>
        <v>6.0866666666666669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58">
        <v>101</v>
      </c>
      <c r="B251" s="58">
        <v>228.13</v>
      </c>
      <c r="C251" s="58"/>
      <c r="D251" s="58"/>
      <c r="E251" s="93"/>
      <c r="F251" s="93"/>
      <c r="G251" s="93"/>
      <c r="H251" s="93"/>
      <c r="I251" s="56">
        <f t="shared" si="9"/>
        <v>6.0016666666666696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58">
        <v>104</v>
      </c>
      <c r="B252" s="58">
        <v>246.76</v>
      </c>
      <c r="C252" s="58">
        <v>6</v>
      </c>
      <c r="D252" s="58">
        <v>35.979999999999997</v>
      </c>
      <c r="E252" s="93">
        <v>0.5</v>
      </c>
      <c r="F252" s="93"/>
      <c r="G252" s="93"/>
      <c r="H252" s="93">
        <v>0.5</v>
      </c>
      <c r="I252" s="56">
        <f t="shared" si="9"/>
        <v>6.2099999999999982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58">
        <v>113</v>
      </c>
      <c r="B253" s="58">
        <v>266.06</v>
      </c>
      <c r="C253" s="58">
        <v>7</v>
      </c>
      <c r="D253" s="58">
        <v>37.82</v>
      </c>
      <c r="E253" s="68">
        <v>0.7</v>
      </c>
      <c r="F253" s="68"/>
      <c r="G253" s="68"/>
      <c r="H253" s="68">
        <v>0.3</v>
      </c>
      <c r="I253" s="56">
        <f t="shared" si="9"/>
        <v>6.1422222222222222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58">
        <v>122</v>
      </c>
      <c r="B254" s="58">
        <v>284.32</v>
      </c>
      <c r="C254" s="58">
        <v>8</v>
      </c>
      <c r="D254" s="58">
        <v>284.32</v>
      </c>
      <c r="E254" s="68">
        <v>0.7</v>
      </c>
      <c r="F254" s="68"/>
      <c r="G254" s="68"/>
      <c r="H254" s="68">
        <v>0.3</v>
      </c>
      <c r="I254" s="56">
        <f t="shared" si="9"/>
        <v>6.231111111111109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>
      <c r="A270" s="53">
        <v>60</v>
      </c>
      <c r="B270" s="63">
        <v>190.57</v>
      </c>
      <c r="C270" s="53">
        <v>1</v>
      </c>
      <c r="D270" s="63">
        <v>69.84</v>
      </c>
      <c r="E270" s="54">
        <v>0.2</v>
      </c>
      <c r="F270" s="54"/>
      <c r="G270" s="54"/>
      <c r="H270" s="54">
        <v>0.8</v>
      </c>
      <c r="I270" s="56">
        <f>IFERROR(B270/A270,"")</f>
        <v>3.1761666666666666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>
      <c r="A271" s="53">
        <v>63</v>
      </c>
      <c r="B271" s="63">
        <v>139.03</v>
      </c>
      <c r="C271" s="53"/>
      <c r="D271" s="63"/>
      <c r="E271" s="54"/>
      <c r="F271" s="54"/>
      <c r="G271" s="54"/>
      <c r="H271" s="54"/>
      <c r="I271" s="56">
        <f>IF(A271&lt;&gt;0,(B271-(B270-D270))/(A271-A270),"")</f>
        <v>6.1000000000000041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>
      <c r="A272" s="53">
        <v>66</v>
      </c>
      <c r="B272" s="63">
        <v>158.09</v>
      </c>
      <c r="C272" s="53"/>
      <c r="D272" s="63"/>
      <c r="E272" s="54"/>
      <c r="F272" s="54"/>
      <c r="G272" s="54"/>
      <c r="H272" s="54"/>
      <c r="I272" s="56">
        <f t="shared" ref="I272:I289" si="10">IF(A272&lt;&gt;0,(B272-(B271-D271))/(A272-A271),"")</f>
        <v>6.3533333333333344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>
      <c r="A273" s="58">
        <v>69</v>
      </c>
      <c r="B273" s="58">
        <v>177.57</v>
      </c>
      <c r="C273" s="58">
        <v>2</v>
      </c>
      <c r="D273" s="58">
        <v>39.35</v>
      </c>
      <c r="E273" s="54">
        <v>0.3</v>
      </c>
      <c r="F273" s="54"/>
      <c r="G273" s="54"/>
      <c r="H273" s="54">
        <v>0.7</v>
      </c>
      <c r="I273" s="56">
        <f t="shared" si="10"/>
        <v>6.4933333333333296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>
      <c r="A274" s="58">
        <v>77</v>
      </c>
      <c r="B274" s="58">
        <v>187.27</v>
      </c>
      <c r="C274" s="58">
        <v>3</v>
      </c>
      <c r="D274" s="58">
        <v>31.56</v>
      </c>
      <c r="E274" s="54">
        <v>0.3</v>
      </c>
      <c r="F274" s="54"/>
      <c r="G274" s="54"/>
      <c r="H274" s="54">
        <v>0.7</v>
      </c>
      <c r="I274" s="56">
        <f t="shared" si="10"/>
        <v>6.1312500000000014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>
      <c r="A275" s="58">
        <v>86</v>
      </c>
      <c r="B275" s="58">
        <v>210.57</v>
      </c>
      <c r="C275" s="58">
        <v>4</v>
      </c>
      <c r="D275" s="58">
        <v>34.46</v>
      </c>
      <c r="E275" s="93">
        <v>0.4</v>
      </c>
      <c r="F275" s="93"/>
      <c r="G275" s="93"/>
      <c r="H275" s="93">
        <v>0.6</v>
      </c>
      <c r="I275" s="56">
        <f t="shared" si="10"/>
        <v>6.0955555555555536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>
      <c r="A276" s="58">
        <v>95</v>
      </c>
      <c r="B276" s="58">
        <v>230.89</v>
      </c>
      <c r="C276" s="58">
        <v>5</v>
      </c>
      <c r="D276" s="58">
        <v>38.770000000000003</v>
      </c>
      <c r="E276" s="93">
        <v>0.4</v>
      </c>
      <c r="F276" s="93"/>
      <c r="G276" s="93"/>
      <c r="H276" s="93">
        <v>0.6</v>
      </c>
      <c r="I276" s="56">
        <f t="shared" si="10"/>
        <v>6.0866666666666669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>
      <c r="A277" s="58">
        <v>101</v>
      </c>
      <c r="B277" s="58">
        <v>228.13</v>
      </c>
      <c r="C277" s="58"/>
      <c r="D277" s="58"/>
      <c r="E277" s="93"/>
      <c r="F277" s="93"/>
      <c r="G277" s="93"/>
      <c r="H277" s="93"/>
      <c r="I277" s="56">
        <f t="shared" si="10"/>
        <v>6.0016666666666696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>
      <c r="A278" s="58">
        <v>104</v>
      </c>
      <c r="B278" s="58">
        <v>246.76</v>
      </c>
      <c r="C278" s="58">
        <v>6</v>
      </c>
      <c r="D278" s="58">
        <v>35.979999999999997</v>
      </c>
      <c r="E278" s="93">
        <v>0.5</v>
      </c>
      <c r="F278" s="93"/>
      <c r="G278" s="93"/>
      <c r="H278" s="93">
        <v>0.5</v>
      </c>
      <c r="I278" s="56">
        <f t="shared" si="10"/>
        <v>6.2099999999999982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>
      <c r="A279" s="58">
        <v>113</v>
      </c>
      <c r="B279" s="58">
        <v>266.06</v>
      </c>
      <c r="C279" s="58">
        <v>7</v>
      </c>
      <c r="D279" s="58">
        <v>37.82</v>
      </c>
      <c r="E279" s="68">
        <v>0.7</v>
      </c>
      <c r="F279" s="68"/>
      <c r="G279" s="68"/>
      <c r="H279" s="68">
        <v>0.3</v>
      </c>
      <c r="I279" s="56">
        <f t="shared" si="10"/>
        <v>6.1422222222222222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>
      <c r="A280" s="58">
        <v>122</v>
      </c>
      <c r="B280" s="58">
        <v>284.32</v>
      </c>
      <c r="C280" s="58">
        <v>8</v>
      </c>
      <c r="D280" s="58">
        <v>284.32</v>
      </c>
      <c r="E280" s="68">
        <v>0.7</v>
      </c>
      <c r="F280" s="68"/>
      <c r="G280" s="68"/>
      <c r="H280" s="68">
        <v>0.3</v>
      </c>
      <c r="I280" s="56">
        <f t="shared" si="10"/>
        <v>6.231111111111109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G21" sqref="G21"/>
    </sheetView>
  </sheetViews>
  <sheetFormatPr baseColWidth="10" defaultColWidth="11.5" defaultRowHeight="15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>
      <c r="C104" s="5"/>
      <c r="F104" s="5"/>
    </row>
    <row r="105" spans="3:35">
      <c r="C105" s="5"/>
      <c r="F105" s="5"/>
    </row>
    <row r="106" spans="3:35">
      <c r="C106" s="5"/>
      <c r="F106" s="5"/>
    </row>
    <row r="107" spans="3:35">
      <c r="C107" s="5"/>
      <c r="F107" s="5"/>
    </row>
    <row r="108" spans="3:35">
      <c r="C108" s="5"/>
      <c r="F108" s="5"/>
    </row>
    <row r="109" spans="3:35">
      <c r="C109" s="5"/>
      <c r="F109" s="5"/>
    </row>
    <row r="110" spans="3:35">
      <c r="C110" s="5"/>
      <c r="F110" s="5"/>
    </row>
    <row r="111" spans="3:35">
      <c r="C111" s="5"/>
      <c r="F111" s="5"/>
    </row>
    <row r="112" spans="3:35">
      <c r="C112" s="5"/>
      <c r="F112" s="5"/>
    </row>
    <row r="113" spans="3:6">
      <c r="C113" s="5"/>
      <c r="F113" s="5"/>
    </row>
    <row r="114" spans="3:6">
      <c r="C114" s="5"/>
      <c r="F114" s="5"/>
    </row>
    <row r="115" spans="3:6">
      <c r="C115" s="5"/>
      <c r="F115" s="5"/>
    </row>
    <row r="116" spans="3:6">
      <c r="C116" s="5"/>
      <c r="F116" s="5"/>
    </row>
    <row r="117" spans="3:6">
      <c r="C117" s="5"/>
      <c r="F117" s="5"/>
    </row>
    <row r="118" spans="3:6">
      <c r="C118" s="5"/>
      <c r="F118" s="5"/>
    </row>
    <row r="119" spans="3:6">
      <c r="C119" s="5"/>
      <c r="F119" s="5"/>
    </row>
    <row r="120" spans="3:6">
      <c r="C120" s="5"/>
      <c r="F120" s="5"/>
    </row>
    <row r="121" spans="3:6">
      <c r="C121" s="5"/>
      <c r="F121" s="5"/>
    </row>
    <row r="122" spans="3:6">
      <c r="C122" s="5"/>
      <c r="F122" s="5"/>
    </row>
    <row r="123" spans="3:6">
      <c r="C123" s="5"/>
      <c r="F123" s="5"/>
    </row>
    <row r="124" spans="3:6">
      <c r="C124" s="5"/>
      <c r="F124" s="5"/>
    </row>
    <row r="125" spans="3:6">
      <c r="C125" s="5"/>
      <c r="F125" s="5"/>
    </row>
    <row r="126" spans="3:6">
      <c r="C126" s="5"/>
      <c r="F126" s="5"/>
    </row>
    <row r="127" spans="3:6">
      <c r="C127" s="5"/>
      <c r="F127" s="5"/>
    </row>
    <row r="128" spans="3:6">
      <c r="C128" s="5"/>
      <c r="F128" s="5"/>
    </row>
    <row r="129" spans="3:6">
      <c r="C129" s="5"/>
      <c r="F129" s="5"/>
    </row>
    <row r="130" spans="3:6">
      <c r="C130" s="5"/>
      <c r="F130" s="5"/>
    </row>
    <row r="131" spans="3:6">
      <c r="C131" s="5"/>
      <c r="F131" s="5"/>
    </row>
    <row r="132" spans="3:6">
      <c r="F132" s="5"/>
    </row>
    <row r="133" spans="3:6">
      <c r="F133" s="5"/>
    </row>
    <row r="134" spans="3:6">
      <c r="F134" s="5"/>
    </row>
    <row r="135" spans="3:6">
      <c r="F135" s="5"/>
    </row>
    <row r="136" spans="3:6">
      <c r="F136" s="5"/>
    </row>
    <row r="137" spans="3:6">
      <c r="F137" s="5"/>
    </row>
    <row r="138" spans="3:6">
      <c r="F138" s="5"/>
    </row>
    <row r="139" spans="3:6">
      <c r="F139" s="5"/>
    </row>
    <row r="140" spans="3:6">
      <c r="F140" s="5"/>
    </row>
    <row r="141" spans="3:6">
      <c r="F141" s="5"/>
    </row>
    <row r="142" spans="3:6">
      <c r="F142" s="5"/>
    </row>
    <row r="143" spans="3:6">
      <c r="F143" s="5"/>
    </row>
    <row r="144" spans="3:6">
      <c r="F144" s="5"/>
    </row>
    <row r="145" spans="6:6">
      <c r="F145" s="5"/>
    </row>
    <row r="146" spans="6:6">
      <c r="F146" s="5"/>
    </row>
    <row r="147" spans="6:6">
      <c r="F147" s="5"/>
    </row>
    <row r="148" spans="6:6">
      <c r="F148" s="5"/>
    </row>
    <row r="149" spans="6:6">
      <c r="F149" s="5"/>
    </row>
    <row r="150" spans="6:6">
      <c r="F150" s="5"/>
    </row>
    <row r="151" spans="6:6">
      <c r="F151" s="5"/>
    </row>
    <row r="152" spans="6:6">
      <c r="F152" s="5"/>
    </row>
    <row r="153" spans="6:6">
      <c r="F153" s="5"/>
    </row>
    <row r="154" spans="6:6">
      <c r="F154" s="5"/>
    </row>
    <row r="155" spans="6:6">
      <c r="F155" s="5"/>
    </row>
    <row r="156" spans="6:6">
      <c r="F156" s="5"/>
    </row>
    <row r="157" spans="6:6">
      <c r="F157" s="5"/>
    </row>
    <row r="158" spans="6:6">
      <c r="F158" s="5"/>
    </row>
    <row r="159" spans="6:6">
      <c r="F159" s="5"/>
    </row>
    <row r="160" spans="6:6">
      <c r="F160" s="5"/>
    </row>
    <row r="161" spans="6:6">
      <c r="F161" s="5"/>
    </row>
    <row r="162" spans="6:6">
      <c r="F162" s="5"/>
    </row>
    <row r="163" spans="6:6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pubescent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Robinier faux-acacia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Charme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>Cèdre de l'Atlas</v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>Chêne sessile</v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>Chêne vert</v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65" thickBot="1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452.54136967045082</v>
      </c>
      <c r="T3" s="62">
        <f>IF('Données projet'!E9&gt;30,$R$33-$H$33,LOOKUP('Données projet'!$E$9,$A$3:$A$203,R3:R203)-LOOKUP('Données projet'!$E$9,$A$3:$A$203,$H$3:$H$203))</f>
        <v>269.67340993773422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502.06005292569733</v>
      </c>
      <c r="BJ3" s="62">
        <f>IF('Données projet'!E11&gt;30,$BH$33-$H$33,LOOKUP('Données projet'!$E$11,$A$3:$A$203,BH3:BH203)-LOOKUP('Données projet'!$E$11,$A$3:$A$203,$H$3:$H$203))</f>
        <v>297.06786598620607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204.787338911576</v>
      </c>
      <c r="CZ3" s="62">
        <f>IF('Données projet'!E13&gt;30,$CX$33-$H$33,LOOKUP('Données projet'!$E$13,$A$3:$A$203,CX3:CX203)-LOOKUP('Données projet'!$E$13,$A$3:$A$203,$H$3:$H$203))</f>
        <v>287.24932051638558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309.55876703480277</v>
      </c>
      <c r="DU3" s="62">
        <f>IF('Données projet'!E14&gt;30,$DS$33-$H$33,LOOKUP('Données projet'!$E$14,$A$3:$A$203,DS3:DS203)-LOOKUP('Données projet'!$E$14,$A$3:$A$203,$H$3:$H$203))</f>
        <v>122.43799205838684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301.04834785168049</v>
      </c>
      <c r="EP3" s="62">
        <f>IF('Données projet'!E15&gt;30,$EN$33-$H$33,LOOKUP('Données projet'!$E$15,$A$3:$A$203,EN3:EN203)-LOOKUP('Données projet'!$E$15,$A$3:$A$203,$H$3:$H$203))</f>
        <v>164.1450425611464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330.53726676433649</v>
      </c>
      <c r="FK3" s="62">
        <f>IF('Données projet'!E16&gt;30,$FI$33-$H$33,LOOKUP('Données projet'!$E$16,$A$3:$A$203,FI3:FI203)-LOOKUP('Données projet'!$E$16,$A$3:$A$203,$H$3:$H$203))</f>
        <v>228.01260676706528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405.71017054131318</v>
      </c>
      <c r="GF3" s="62">
        <f>IF('Données projet'!E17&gt;30,$GD$33-$H$33,LOOKUP('Données projet'!$E$17,$A$3:$A$203,GD3:GD203)-LOOKUP('Données projet'!$E$17,$A$3:$A$203,$H$3:$H$203))</f>
        <v>276.12900965322166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3.887142857142857</v>
      </c>
      <c r="N4" s="14">
        <f>IF('Données projet'!$A$36&gt;35,N3+M4-V3,IF(A4&lt;'Données projet'!$A$36,$K$205^A4,IF(A4='Données projet'!$A$36,'Données projet'!$B$36,N3+M4-V3)))</f>
        <v>3.887142857142857</v>
      </c>
      <c r="O4" s="14">
        <f>N4*VLOOKUP('Données projet'!$B$9,Paramètres!$A$1:$I$89,3,0)*VLOOKUP('Données projet'!$B$9,Paramètres!$A$1:$I$89,5,0)</f>
        <v>3.5170868571428571</v>
      </c>
      <c r="P4" s="14">
        <f>EXP(-1.0587+0.8836*LN(O4)+0.284)</f>
        <v>1.400101260019349</v>
      </c>
      <c r="Q4" s="22">
        <f t="shared" ref="Q4:Q34" si="2">(O4+P4)*0.475*44/12</f>
        <v>8.5641026373908407</v>
      </c>
      <c r="R4" s="62">
        <f t="shared" si="0"/>
        <v>266.45299152627967</v>
      </c>
      <c r="S4" s="62">
        <f ca="1">AVERAGE(OFFSET($R$3,0,0,'Données projet'!$E$9+1,1))-AVERAGE(OFFSET($H$3,0,0,'Données projet'!$E$9+1,1))</f>
        <v>452.54136967045082</v>
      </c>
      <c r="T4" s="62">
        <f>$T$3</f>
        <v>269.67340993773422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1.4873333333333332</v>
      </c>
      <c r="AI4" s="14">
        <f>IF('Données projet'!$A$62&gt;35,AI3+AH4-AQ3,IF(A4&lt;'Données projet'!$A$62,$AF$205^A4,IF(A4='Données projet'!$A$62,'Données projet'!$B$62,AI3+AH4-AQ3)))</f>
        <v>1.2299854424358712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3.887142857142857</v>
      </c>
      <c r="BD4" s="13">
        <f>IF('Données projet'!$A$88&gt;35,BD3+BC4-BL3,IF(A4&lt;'Données projet'!$A$88,$BA$205^A4,IF(A4='Données projet'!$A$88,'Données projet'!$B$88,BD3+BC4-BL3)))</f>
        <v>3.887142857142857</v>
      </c>
      <c r="BE4" s="14">
        <f>BD4*VLOOKUP('Données projet'!$B$11,Paramètres!$A$1:$I$89,3,0)*VLOOKUP('Données projet'!$B$11,Paramètres!$A$1:$I$89,5,0)</f>
        <v>3.9415628571428569</v>
      </c>
      <c r="BF4" s="14">
        <f>EXP(-1.0587+0.8836*LN(BE4)+0.284)</f>
        <v>1.5484055284644385</v>
      </c>
      <c r="BG4" s="22">
        <f t="shared" ref="BG4:BG67" si="7">(BE4+BF4)*0.475*44/12</f>
        <v>9.5616949382660383</v>
      </c>
      <c r="BH4" s="62">
        <f t="shared" ref="BH4:BH67" si="8">BG4+(AY4+AZ4)*44/12</f>
        <v>267.4505838271549</v>
      </c>
      <c r="BI4" s="62">
        <f ca="1">AVERAGE(OFFSET($BH$3,0,0,'Données projet'!$E$11+1,1))-AVERAGE(OFFSET($H$3,0,0,'Données projet'!$E$11+1,1))</f>
        <v>502.06005292569733</v>
      </c>
      <c r="BJ4" s="62">
        <f>$BJ$3</f>
        <v>297.06786598620607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2.532</v>
      </c>
      <c r="BY4" s="13">
        <f>IF('Données projet'!$A$114&gt;35,BY3+BX4-CG3,IF(A4&lt;'Données projet'!$A$114,$BV$205^A4,IF(A4='Données projet'!$A$114,'Données projet'!$B$114,BY3+BX4-CG3)))</f>
        <v>1.2168153645440281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3.59</v>
      </c>
      <c r="CT4" s="13">
        <f>IF('Données projet'!$A$140&gt;35,CT3+CS4-DB3,IF(A4&lt;'Données projet'!$A$140,$CQ$205^A4,IF(A4='Données projet'!$A$140,'Données projet'!$B$140,CT3+CS4-DB3)))</f>
        <v>1.781611021057719</v>
      </c>
      <c r="CU4" s="18">
        <f>CT4*VLOOKUP('Données projet'!$B$13,Paramètres!$A$1:$I$89,3,0)*VLOOKUP('Données projet'!$B$13,Paramètres!$A$1:$I$89,5,0)</f>
        <v>1.6120016518530242</v>
      </c>
      <c r="CV4" s="14">
        <f>EXP(-1.0587+0.8836*LN(CU4)+0.284)</f>
        <v>0.70271658766926726</v>
      </c>
      <c r="CW4" s="22">
        <f t="shared" ref="CW4:CW67" si="13">(CU4+CV4)*0.475*44/12</f>
        <v>4.0314676005013244</v>
      </c>
      <c r="CX4" s="62">
        <f t="shared" ref="CX4:CX67" si="14">CW4+(CO4+CP4)*44/12</f>
        <v>261.9203564893902</v>
      </c>
      <c r="CY4" s="62">
        <f ca="1">AVERAGE(OFFSET($CX$3,0,0,'Données projet'!$E$13+1,1))-AVERAGE(OFFSET($H$3,0,0,'Données projet'!$E$13+1,1))</f>
        <v>204.787338911576</v>
      </c>
      <c r="CZ4" s="62">
        <f>$CZ$3</f>
        <v>287.24932051638558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1.325</v>
      </c>
      <c r="DO4" s="13">
        <f>IF('Données projet'!$A$166&gt;35,DO3+DN4-DW3,IF(A4&lt;'Données projet'!$A$166,$DL$205^A4,IF(A4='Données projet'!$A$166,'Données projet'!$B$166,DO3+DN4-DW3)))</f>
        <v>1.325</v>
      </c>
      <c r="DP4" s="18">
        <f>DO4*VLOOKUP('Données projet'!$B$14,Paramètres!$A$1:$I$89,3,0)*VLOOKUP('Données projet'!$B$14,Paramètres!$A$1:$I$89,5,0)</f>
        <v>1.2608699999999999</v>
      </c>
      <c r="DQ4" s="14">
        <f>EXP(-1.0587+0.8836*LN(DP4)+0.284)</f>
        <v>0.56559342509117017</v>
      </c>
      <c r="DR4" s="22">
        <f t="shared" ref="DR4:DR67" si="16">(DP4+DQ4)*0.475*44/12</f>
        <v>3.1810904653671215</v>
      </c>
      <c r="DS4" s="62">
        <f t="shared" ref="DS4:DS67" si="17">DR4+(DJ4+DK4)*44/12</f>
        <v>261.06997935425596</v>
      </c>
      <c r="DT4" s="62">
        <f ca="1">AVERAGE(OFFSET($DS$3,0,0,'Données projet'!$E$14+1,1))-AVERAGE(OFFSET($H$3,0,0,'Données projet'!$E$14+1,1))</f>
        <v>309.55876703480277</v>
      </c>
      <c r="DU4" s="62">
        <f>$DU$3</f>
        <v>122.43799205838684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4.0476666666666672</v>
      </c>
      <c r="EJ4" s="13">
        <f>IF('Données projet'!$A$192&gt;35,EJ3+EI4-ER3,IF(A4&lt;'Données projet'!$A$192,$EG$205^A4,IF(A4='Données projet'!$A$192,'Données projet'!$B$192,EJ3+EI4-ER3)))</f>
        <v>1.1734849744378069</v>
      </c>
      <c r="EK4" s="18">
        <f>EJ4*VLOOKUP('Données projet'!$B$15,Paramètres!$A$1:$I$89,3,0)*VLOOKUP('Données projet'!$B$15,Paramètres!$A$1:$I$89,5,0)</f>
        <v>0.5491909680368936</v>
      </c>
      <c r="EL4" s="14">
        <f>EXP(-1.0587+0.8836*LN(EK4)+0.284)</f>
        <v>0.27137613256212634</v>
      </c>
      <c r="EM4" s="22">
        <f t="shared" ref="EM4:EM67" si="19">(EK4+EL4)*0.475*44/12</f>
        <v>1.4291543668766262</v>
      </c>
      <c r="EN4" s="62">
        <f t="shared" ref="EN4:EN67" si="20">EM4+(EE4+EF4)*44/12</f>
        <v>259.31804325576547</v>
      </c>
      <c r="EO4" s="62">
        <f ca="1">AVERAGE(OFFSET($EN$3,0,0,'Données projet'!$E$15+1,1))-AVERAGE(OFFSET($H$3,0,0,'Données projet'!$E$15+1,1))</f>
        <v>301.04834785168049</v>
      </c>
      <c r="EP4" s="62">
        <f>$EP$3</f>
        <v>164.1450425611464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3.1761666666666666</v>
      </c>
      <c r="FE4" s="13">
        <f>IF('Données projet'!$A$218&gt;35,FE3+FD4-FM3,IF(A4&lt;'Données projet'!$A$218,$FB$205^A4,IF(A4='Données projet'!$A$218,'Données projet'!$B$218,FE3+FD4-FM3)))</f>
        <v>3.1761666666666666</v>
      </c>
      <c r="FF4" s="18">
        <f>FE4*VLOOKUP('Données projet'!$B$16,Paramètres!$A$1:$I$89,3,0)*VLOOKUP('Données projet'!$B$16,Paramètres!$A$1:$I$89,5,0)</f>
        <v>2.8737955999999998</v>
      </c>
      <c r="FG4" s="14">
        <f>EXP(-1.0587+0.8836*LN(FF4)+0.284)</f>
        <v>1.1712340144111775</v>
      </c>
      <c r="FH4" s="22">
        <f t="shared" ref="FH4:FH67" si="22">(FF4+FG4)*0.475*44/12</f>
        <v>7.0450932450994683</v>
      </c>
      <c r="FI4" s="62">
        <f t="shared" ref="FI4:FI67" si="23">FH4+(EZ4+FA4)*44/12</f>
        <v>264.93398213398831</v>
      </c>
      <c r="FJ4" s="62">
        <f ca="1">AVERAGE(OFFSET($FI$3,0,0,'Données projet'!$E$16+1,1))-AVERAGE(OFFSET($H$3,0,0,'Données projet'!$E$16+1,1))</f>
        <v>330.53726676433649</v>
      </c>
      <c r="FK4" s="62">
        <f>$FK$3</f>
        <v>228.01260676706528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3.1761666666666666</v>
      </c>
      <c r="FZ4" s="13">
        <f>IF('Données projet'!$A$244&gt;35,FZ3+FY4-GH3,IF(A4&lt;'Données projet'!$A$244,$FW$205^A4,IF(A4='Données projet'!$A$244,'Données projet'!$B$244,FZ3+FY4-GH3)))</f>
        <v>3.1761666666666666</v>
      </c>
      <c r="GA4" s="18">
        <f>FZ4*VLOOKUP('Données projet'!$B$17,Paramètres!$A$1:$I$89,3,0)*VLOOKUP('Données projet'!$B$17,Paramètres!$A$1:$I$89,5,0)</f>
        <v>3.6170185999999998</v>
      </c>
      <c r="GB4" s="14">
        <f>EXP(-1.0587+0.8836*LN(GA4)+0.284)</f>
        <v>1.4351945633578338</v>
      </c>
      <c r="GC4" s="22">
        <f t="shared" ref="GC4:GC67" si="25">(GA4+GB4)*0.475*44/12</f>
        <v>8.7992712595148941</v>
      </c>
      <c r="GD4" s="62">
        <f t="shared" ref="GD4:GD67" si="26">GC4+(FU4+FV4)*44/12</f>
        <v>266.68816014840377</v>
      </c>
      <c r="GE4" s="62">
        <f ca="1">AVERAGE(OFFSET($GD$3,0,0,'Données projet'!$E$17+1,1))-AVERAGE(OFFSET($H$3,0,0,'Données projet'!$E$17+1,1))</f>
        <v>405.71017054131318</v>
      </c>
      <c r="GF4" s="62">
        <f>$GF$3</f>
        <v>276.12900965322166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3.1761666666666666</v>
      </c>
      <c r="GU4" s="13">
        <f>IF('Données projet'!$A$270&gt;35,GU3+GT4-HC3,IF(A4&lt;'Données projet'!$A$270,$GR$205^A4,IF(A4='Données projet'!$A$270,'Données projet'!$B$270,GU3+GT4-HC3)))</f>
        <v>3.1761666666666666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3.887142857142857</v>
      </c>
      <c r="N5" s="14">
        <f>IF('Données projet'!$A$36&gt;35,N4+M5-V4,IF(A5&lt;'Données projet'!$A$36,$K$205^A5,IF(A5='Données projet'!$A$36,'Données projet'!$B$36,N4+M5-V4)))</f>
        <v>7.774285714285714</v>
      </c>
      <c r="O5" s="14">
        <f>N5*VLOOKUP('Données projet'!$B$9,Paramètres!$A$1:$I$89,3,0)*VLOOKUP('Données projet'!$B$9,Paramètres!$A$1:$I$89,5,0)</f>
        <v>7.0341737142857141</v>
      </c>
      <c r="P5" s="14">
        <f t="shared" ref="P5:P68" si="33">EXP(-1.0587+0.8836*LN(O5)+0.284)</f>
        <v>2.5831495528484112</v>
      </c>
      <c r="Q5" s="22">
        <f t="shared" si="2"/>
        <v>16.750171356925268</v>
      </c>
      <c r="R5" s="62">
        <f t="shared" si="0"/>
        <v>275.86128246803639</v>
      </c>
      <c r="S5" s="62">
        <f ca="1">AVERAGE(OFFSET($R$3,0,0,'Données projet'!$E$9+1,1))-AVERAGE(OFFSET($H$3,0,0,'Données projet'!$E$9+1,1))</f>
        <v>452.54136967045082</v>
      </c>
      <c r="T5" s="62">
        <f t="shared" ref="T5:T68" si="34">$T$3</f>
        <v>269.67340993773422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1.4873333333333332</v>
      </c>
      <c r="AI5" s="14">
        <f>IF('Données projet'!$A$62&gt;35,AI4+AH5-AQ4,IF(A5&lt;'Données projet'!$A$62,$AF$205^A5,IF(A5='Données projet'!$A$62,'Données projet'!$B$62,AI4+AH5-AQ4)))</f>
        <v>1.5128641886041658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3.887142857142857</v>
      </c>
      <c r="BD5" s="13">
        <f>IF('Données projet'!$A$88&gt;35,BD4+BC5-BL4,IF(A5&lt;'Données projet'!$A$88,$BA$205^A5,IF(A5='Données projet'!$A$88,'Données projet'!$B$88,BD4+BC5-BL4)))</f>
        <v>7.774285714285714</v>
      </c>
      <c r="BE5" s="14">
        <f>BD5*VLOOKUP('Données projet'!$B$11,Paramètres!$A$1:$I$89,3,0)*VLOOKUP('Données projet'!$B$11,Paramètres!$A$1:$I$89,5,0)</f>
        <v>7.8831257142857138</v>
      </c>
      <c r="BF5" s="14">
        <f t="shared" ref="BF5:BF68" si="37">EXP(-1.0587+0.8836*LN(BE5)+0.284)</f>
        <v>2.8567669801437421</v>
      </c>
      <c r="BG5" s="22">
        <f t="shared" si="7"/>
        <v>18.705313109464633</v>
      </c>
      <c r="BH5" s="62">
        <f t="shared" si="8"/>
        <v>277.81642422057575</v>
      </c>
      <c r="BI5" s="62">
        <f ca="1">AVERAGE(OFFSET($BH$3,0,0,'Données projet'!$E$11+1,1))-AVERAGE(OFFSET($H$3,0,0,'Données projet'!$E$11+1,1))</f>
        <v>502.06005292569733</v>
      </c>
      <c r="BJ5" s="62">
        <f t="shared" ref="BJ5:BJ68" si="38">$BJ$3</f>
        <v>297.06786598620607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2.532</v>
      </c>
      <c r="BY5" s="13">
        <f>IF('Données projet'!$A$114&gt;35,BY4+BX5-CG4,IF(A5&lt;'Données projet'!$A$114,$BV$205^A5,IF(A5='Données projet'!$A$114,'Données projet'!$B$114,BY4+BX5-CG4)))</f>
        <v>1.480639631390416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3.59</v>
      </c>
      <c r="CT5" s="13">
        <f>IF('Données projet'!$A$140&gt;35,CT4+CS5-DB4,IF(A5&lt;'Données projet'!$A$140,$CQ$205^A5,IF(A5='Données projet'!$A$140,'Données projet'!$B$140,CT4+CS5-DB4)))</f>
        <v>3.1741378303543279</v>
      </c>
      <c r="CU5" s="18">
        <f>CT5*VLOOKUP('Données projet'!$B$13,Paramètres!$A$1:$I$89,3,0)*VLOOKUP('Données projet'!$B$13,Paramètres!$A$1:$I$89,5,0)</f>
        <v>2.871959908904596</v>
      </c>
      <c r="CV5" s="14">
        <f t="shared" ref="CV5:CV68" si="41">EXP(-1.0587+0.8836*LN(CU5)+0.284)</f>
        <v>1.1705729264348386</v>
      </c>
      <c r="CW5" s="22">
        <f t="shared" si="13"/>
        <v>7.0407446882161819</v>
      </c>
      <c r="CX5" s="62">
        <f t="shared" si="14"/>
        <v>266.15185579932734</v>
      </c>
      <c r="CY5" s="62">
        <f ca="1">AVERAGE(OFFSET($CX$3,0,0,'Données projet'!$E$13+1,1))-AVERAGE(OFFSET($H$3,0,0,'Données projet'!$E$13+1,1))</f>
        <v>204.787338911576</v>
      </c>
      <c r="CZ5" s="62">
        <f t="shared" ref="CZ5:CZ68" si="42">$CZ$3</f>
        <v>287.24932051638558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1.325</v>
      </c>
      <c r="DO5" s="13">
        <f>IF('Données projet'!$A$166&gt;35,DO4+DN5-DW4,IF(A5&lt;'Données projet'!$A$166,$DL$205^A5,IF(A5='Données projet'!$A$166,'Données projet'!$B$166,DO4+DN5-DW4)))</f>
        <v>2.65</v>
      </c>
      <c r="DP5" s="18">
        <f>DO5*VLOOKUP('Données projet'!$B$14,Paramètres!$A$1:$I$89,3,0)*VLOOKUP('Données projet'!$B$14,Paramètres!$A$1:$I$89,5,0)</f>
        <v>2.5217399999999999</v>
      </c>
      <c r="DQ5" s="14">
        <f t="shared" ref="DQ5:DQ68" si="43">EXP(-1.0587+0.8836*LN(DP5)+0.284)</f>
        <v>1.0435048127148083</v>
      </c>
      <c r="DR5" s="22">
        <f t="shared" si="16"/>
        <v>6.2094680488116252</v>
      </c>
      <c r="DS5" s="62">
        <f t="shared" si="17"/>
        <v>265.32057915992277</v>
      </c>
      <c r="DT5" s="62">
        <f ca="1">AVERAGE(OFFSET($DS$3,0,0,'Données projet'!$E$14+1,1))-AVERAGE(OFFSET($H$3,0,0,'Données projet'!$E$14+1,1))</f>
        <v>309.55876703480277</v>
      </c>
      <c r="DU5" s="62">
        <f t="shared" ref="DU5:DU68" si="44">$DU$3</f>
        <v>122.43799205838684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4.0476666666666672</v>
      </c>
      <c r="EJ5" s="13">
        <f>IF('Données projet'!$A$192&gt;35,EJ4+EI5-ER4,IF(A5&lt;'Données projet'!$A$192,$EG$205^A5,IF(A5='Données projet'!$A$192,'Données projet'!$B$192,EJ4+EI5-ER4)))</f>
        <v>1.3770669852313002</v>
      </c>
      <c r="EK5" s="18">
        <f>EJ5*VLOOKUP('Données projet'!$B$15,Paramètres!$A$1:$I$89,3,0)*VLOOKUP('Données projet'!$B$15,Paramètres!$A$1:$I$89,5,0)</f>
        <v>0.64446734908824854</v>
      </c>
      <c r="EL5" s="14">
        <f t="shared" ref="EL5:EL68" si="45">EXP(-1.0587+0.8836*LN(EK5)+0.284)</f>
        <v>0.31258058329392635</v>
      </c>
      <c r="EM5" s="22">
        <f t="shared" si="19"/>
        <v>1.6668584822322881</v>
      </c>
      <c r="EN5" s="62">
        <f t="shared" si="20"/>
        <v>260.77796959334341</v>
      </c>
      <c r="EO5" s="62">
        <f ca="1">AVERAGE(OFFSET($EN$3,0,0,'Données projet'!$E$15+1,1))-AVERAGE(OFFSET($H$3,0,0,'Données projet'!$E$15+1,1))</f>
        <v>301.04834785168049</v>
      </c>
      <c r="EP5" s="62">
        <f t="shared" ref="EP5:EP68" si="46">$EP$3</f>
        <v>164.1450425611464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3.1761666666666666</v>
      </c>
      <c r="FE5" s="13">
        <f>IF('Données projet'!$A$218&gt;35,FE4+FD5-FM4,IF(A5&lt;'Données projet'!$A$218,$FB$205^A5,IF(A5='Données projet'!$A$218,'Données projet'!$B$218,FE4+FD5-FM4)))</f>
        <v>6.3523333333333332</v>
      </c>
      <c r="FF5" s="18">
        <f>FE5*VLOOKUP('Données projet'!$B$16,Paramètres!$A$1:$I$89,3,0)*VLOOKUP('Données projet'!$B$16,Paramètres!$A$1:$I$89,5,0)</f>
        <v>5.7475911999999996</v>
      </c>
      <c r="FG5" s="14">
        <f t="shared" ref="FG5:FG68" si="47">EXP(-1.0587+0.8836*LN(FF5)+0.284)</f>
        <v>2.160895577342222</v>
      </c>
      <c r="FH5" s="22">
        <f t="shared" si="22"/>
        <v>13.773947803871033</v>
      </c>
      <c r="FI5" s="62">
        <f t="shared" si="23"/>
        <v>272.88505891498215</v>
      </c>
      <c r="FJ5" s="62">
        <f ca="1">AVERAGE(OFFSET($FI$3,0,0,'Données projet'!$E$16+1,1))-AVERAGE(OFFSET($H$3,0,0,'Données projet'!$E$16+1,1))</f>
        <v>330.53726676433649</v>
      </c>
      <c r="FK5" s="62">
        <f t="shared" ref="FK5:FK68" si="48">$FK$3</f>
        <v>228.01260676706528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3.1761666666666666</v>
      </c>
      <c r="FZ5" s="13">
        <f>IF('Données projet'!$A$244&gt;35,FZ4+FY5-GH4,IF(A5&lt;'Données projet'!$A$244,$FW$205^A5,IF(A5='Données projet'!$A$244,'Données projet'!$B$244,FZ4+FY5-GH4)))</f>
        <v>6.3523333333333332</v>
      </c>
      <c r="GA5" s="18">
        <f>FZ5*VLOOKUP('Données projet'!$B$17,Paramètres!$A$1:$I$89,3,0)*VLOOKUP('Données projet'!$B$17,Paramètres!$A$1:$I$89,5,0)</f>
        <v>7.2340371999999995</v>
      </c>
      <c r="GB5" s="14">
        <f t="shared" ref="GB5:GB68" si="49">EXP(-1.0587+0.8836*LN(GA5)+0.284)</f>
        <v>2.6478957632943105</v>
      </c>
      <c r="GC5" s="22">
        <f t="shared" si="25"/>
        <v>17.211033244404259</v>
      </c>
      <c r="GD5" s="62">
        <f t="shared" si="26"/>
        <v>276.32214435551538</v>
      </c>
      <c r="GE5" s="62">
        <f ca="1">AVERAGE(OFFSET($GD$3,0,0,'Données projet'!$E$17+1,1))-AVERAGE(OFFSET($H$3,0,0,'Données projet'!$E$17+1,1))</f>
        <v>405.71017054131318</v>
      </c>
      <c r="GF5" s="62">
        <f t="shared" ref="GF5:GF68" si="50">$GF$3</f>
        <v>276.12900965322166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3.1761666666666666</v>
      </c>
      <c r="GU5" s="13">
        <f>IF('Données projet'!$A$270&gt;35,GU4+GT5-HC4,IF(A5&lt;'Données projet'!$A$270,$GR$205^A5,IF(A5='Données projet'!$A$270,'Données projet'!$B$270,GU4+GT5-HC4)))</f>
        <v>6.3523333333333332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3.887142857142857</v>
      </c>
      <c r="N6" s="14">
        <f>IF('Données projet'!$A$36&gt;35,N5+M6-V5,IF(A6&lt;'Données projet'!$A$36,$K$205^A6,IF(A6='Données projet'!$A$36,'Données projet'!$B$36,N5+M6-V5)))</f>
        <v>11.661428571428571</v>
      </c>
      <c r="O6" s="14">
        <f>N6*VLOOKUP('Données projet'!$B$9,Paramètres!$A$1:$I$89,3,0)*VLOOKUP('Données projet'!$B$9,Paramètres!$A$1:$I$89,5,0)</f>
        <v>10.551260571428571</v>
      </c>
      <c r="P6" s="14">
        <f t="shared" si="33"/>
        <v>3.6961006326523931</v>
      </c>
      <c r="Q6" s="22">
        <f t="shared" si="2"/>
        <v>24.814154097107675</v>
      </c>
      <c r="R6" s="62">
        <f t="shared" si="0"/>
        <v>285.147487430441</v>
      </c>
      <c r="S6" s="62">
        <f ca="1">AVERAGE(OFFSET($R$3,0,0,'Données projet'!$E$9+1,1))-AVERAGE(OFFSET($H$3,0,0,'Données projet'!$E$9+1,1))</f>
        <v>452.54136967045082</v>
      </c>
      <c r="T6" s="62">
        <f t="shared" si="34"/>
        <v>269.67340993773422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1.4873333333333332</v>
      </c>
      <c r="AI6" s="14">
        <f>IF('Données projet'!$A$62&gt;35,AI5+AH6-AQ5,IF(A6&lt;'Données projet'!$A$62,$AF$205^A6,IF(A6='Données projet'!$A$62,'Données projet'!$B$62,AI5+AH6-AQ5)))</f>
        <v>1.8608009283656801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3.887142857142857</v>
      </c>
      <c r="BD6" s="13">
        <f>IF('Données projet'!$A$88&gt;35,BD5+BC6-BL5,IF(A6&lt;'Données projet'!$A$88,$BA$205^A6,IF(A6='Données projet'!$A$88,'Données projet'!$B$88,BD5+BC6-BL5)))</f>
        <v>11.661428571428571</v>
      </c>
      <c r="BE6" s="14">
        <f>BD6*VLOOKUP('Données projet'!$B$11,Paramètres!$A$1:$I$89,3,0)*VLOOKUP('Données projet'!$B$11,Paramètres!$A$1:$I$89,5,0)</f>
        <v>11.824688571428572</v>
      </c>
      <c r="BF6" s="14">
        <f t="shared" si="37"/>
        <v>4.0876062444803347</v>
      </c>
      <c r="BG6" s="22">
        <f t="shared" si="7"/>
        <v>27.713913471041348</v>
      </c>
      <c r="BH6" s="62">
        <f t="shared" si="8"/>
        <v>288.04724680437465</v>
      </c>
      <c r="BI6" s="62">
        <f ca="1">AVERAGE(OFFSET($BH$3,0,0,'Données projet'!$E$11+1,1))-AVERAGE(OFFSET($H$3,0,0,'Données projet'!$E$11+1,1))</f>
        <v>502.06005292569733</v>
      </c>
      <c r="BJ6" s="62">
        <f t="shared" si="38"/>
        <v>297.06786598620607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2.532</v>
      </c>
      <c r="BY6" s="13">
        <f>IF('Données projet'!$A$114&gt;35,BY5+BX6-CG5,IF(A6&lt;'Données projet'!$A$114,$BV$205^A6,IF(A6='Données projet'!$A$114,'Données projet'!$B$114,BY5+BX6-CG5)))</f>
        <v>1.8016650528286644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3.59</v>
      </c>
      <c r="CT6" s="13">
        <f>IF('Données projet'!$A$140&gt;35,CT5+CS6-DB5,IF(A6&lt;'Données projet'!$A$140,$CQ$205^A6,IF(A6='Données projet'!$A$140,'Données projet'!$B$140,CT5+CS6-DB5)))</f>
        <v>5.6550789409155069</v>
      </c>
      <c r="CU6" s="18">
        <f>CT6*VLOOKUP('Données projet'!$B$13,Paramètres!$A$1:$I$89,3,0)*VLOOKUP('Données projet'!$B$13,Paramètres!$A$1:$I$89,5,0)</f>
        <v>5.1167154257403507</v>
      </c>
      <c r="CV6" s="14">
        <f t="shared" si="41"/>
        <v>1.9499197829482919</v>
      </c>
      <c r="CW6" s="22">
        <f t="shared" si="13"/>
        <v>12.307722988466052</v>
      </c>
      <c r="CX6" s="62">
        <f t="shared" si="14"/>
        <v>272.64105632179934</v>
      </c>
      <c r="CY6" s="62">
        <f ca="1">AVERAGE(OFFSET($CX$3,0,0,'Données projet'!$E$13+1,1))-AVERAGE(OFFSET($H$3,0,0,'Données projet'!$E$13+1,1))</f>
        <v>204.787338911576</v>
      </c>
      <c r="CZ6" s="62">
        <f t="shared" si="42"/>
        <v>287.24932051638558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1.325</v>
      </c>
      <c r="DO6" s="13">
        <f>IF('Données projet'!$A$166&gt;35,DO5+DN6-DW5,IF(A6&lt;'Données projet'!$A$166,$DL$205^A6,IF(A6='Données projet'!$A$166,'Données projet'!$B$166,DO5+DN6-DW5)))</f>
        <v>3.9749999999999996</v>
      </c>
      <c r="DP6" s="18">
        <f>DO6*VLOOKUP('Données projet'!$B$14,Paramètres!$A$1:$I$89,3,0)*VLOOKUP('Données projet'!$B$14,Paramètres!$A$1:$I$89,5,0)</f>
        <v>3.7826099999999996</v>
      </c>
      <c r="DQ6" s="14">
        <f t="shared" si="43"/>
        <v>1.4930993035993825</v>
      </c>
      <c r="DR6" s="22">
        <f t="shared" si="16"/>
        <v>9.188527037102256</v>
      </c>
      <c r="DS6" s="62">
        <f t="shared" si="17"/>
        <v>269.52186037043555</v>
      </c>
      <c r="DT6" s="62">
        <f ca="1">AVERAGE(OFFSET($DS$3,0,0,'Données projet'!$E$14+1,1))-AVERAGE(OFFSET($H$3,0,0,'Données projet'!$E$14+1,1))</f>
        <v>309.55876703480277</v>
      </c>
      <c r="DU6" s="62">
        <f t="shared" si="44"/>
        <v>122.43799205838684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4.0476666666666672</v>
      </c>
      <c r="EJ6" s="13">
        <f>IF('Données projet'!$A$192&gt;35,EJ5+EI6-ER5,IF(A6&lt;'Données projet'!$A$192,$EG$205^A6,IF(A6='Données projet'!$A$192,'Données projet'!$B$192,EJ5+EI6-ER5)))</f>
        <v>1.6159674159633002</v>
      </c>
      <c r="EK6" s="18">
        <f>EJ6*VLOOKUP('Données projet'!$B$15,Paramètres!$A$1:$I$89,3,0)*VLOOKUP('Données projet'!$B$15,Paramètres!$A$1:$I$89,5,0)</f>
        <v>0.75627275067082456</v>
      </c>
      <c r="EL6" s="14">
        <f t="shared" si="45"/>
        <v>0.36004132025134233</v>
      </c>
      <c r="EM6" s="22">
        <f t="shared" si="19"/>
        <v>1.9442470068561069</v>
      </c>
      <c r="EN6" s="62">
        <f t="shared" si="20"/>
        <v>262.27758034018944</v>
      </c>
      <c r="EO6" s="62">
        <f ca="1">AVERAGE(OFFSET($EN$3,0,0,'Données projet'!$E$15+1,1))-AVERAGE(OFFSET($H$3,0,0,'Données projet'!$E$15+1,1))</f>
        <v>301.04834785168049</v>
      </c>
      <c r="EP6" s="62">
        <f t="shared" si="46"/>
        <v>164.1450425611464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3.1761666666666666</v>
      </c>
      <c r="FE6" s="13">
        <f>IF('Données projet'!$A$218&gt;35,FE5+FD6-FM5,IF(A6&lt;'Données projet'!$A$218,$FB$205^A6,IF(A6='Données projet'!$A$218,'Données projet'!$B$218,FE5+FD6-FM5)))</f>
        <v>9.5284999999999993</v>
      </c>
      <c r="FF6" s="18">
        <f>FE6*VLOOKUP('Données projet'!$B$16,Paramètres!$A$1:$I$89,3,0)*VLOOKUP('Données projet'!$B$16,Paramètres!$A$1:$I$89,5,0)</f>
        <v>8.6213867999999998</v>
      </c>
      <c r="FG6" s="14">
        <f t="shared" si="47"/>
        <v>3.091918352812089</v>
      </c>
      <c r="FH6" s="22">
        <f t="shared" si="22"/>
        <v>20.40067314114772</v>
      </c>
      <c r="FI6" s="62">
        <f t="shared" si="23"/>
        <v>280.73400647448102</v>
      </c>
      <c r="FJ6" s="62">
        <f ca="1">AVERAGE(OFFSET($FI$3,0,0,'Données projet'!$E$16+1,1))-AVERAGE(OFFSET($H$3,0,0,'Données projet'!$E$16+1,1))</f>
        <v>330.53726676433649</v>
      </c>
      <c r="FK6" s="62">
        <f t="shared" si="48"/>
        <v>228.01260676706528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3.1761666666666666</v>
      </c>
      <c r="FZ6" s="13">
        <f>IF('Données projet'!$A$244&gt;35,FZ5+FY6-GH5,IF(A6&lt;'Données projet'!$A$244,$FW$205^A6,IF(A6='Données projet'!$A$244,'Données projet'!$B$244,FZ5+FY6-GH5)))</f>
        <v>9.5284999999999993</v>
      </c>
      <c r="GA6" s="18">
        <f>FZ6*VLOOKUP('Données projet'!$B$17,Paramètres!$A$1:$I$89,3,0)*VLOOKUP('Données projet'!$B$17,Paramètres!$A$1:$I$89,5,0)</f>
        <v>10.851055799999999</v>
      </c>
      <c r="GB6" s="14">
        <f t="shared" si="49"/>
        <v>3.7887427753138758</v>
      </c>
      <c r="GC6" s="22">
        <f t="shared" si="25"/>
        <v>25.497649185338332</v>
      </c>
      <c r="GD6" s="62">
        <f t="shared" si="26"/>
        <v>285.83098251867165</v>
      </c>
      <c r="GE6" s="62">
        <f ca="1">AVERAGE(OFFSET($GD$3,0,0,'Données projet'!$E$17+1,1))-AVERAGE(OFFSET($H$3,0,0,'Données projet'!$E$17+1,1))</f>
        <v>405.71017054131318</v>
      </c>
      <c r="GF6" s="62">
        <f t="shared" si="50"/>
        <v>276.12900965322166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3.1761666666666666</v>
      </c>
      <c r="GU6" s="13">
        <f>IF('Données projet'!$A$270&gt;35,GU5+GT6-HC5,IF(A6&lt;'Données projet'!$A$270,$GR$205^A6,IF(A6='Données projet'!$A$270,'Données projet'!$B$270,GU5+GT6-HC5)))</f>
        <v>9.5284999999999993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3.887142857142857</v>
      </c>
      <c r="N7" s="14">
        <f>IF('Données projet'!$A$36&gt;35,N6+M7-V6,IF(A7&lt;'Données projet'!$A$36,$K$205^A7,IF(A7='Données projet'!$A$36,'Données projet'!$B$36,N6+M7-V6)))</f>
        <v>15.548571428571428</v>
      </c>
      <c r="O7" s="14">
        <f>N7*VLOOKUP('Données projet'!$B$9,Paramètres!$A$1:$I$89,3,0)*VLOOKUP('Données projet'!$B$9,Paramètres!$A$1:$I$89,5,0)</f>
        <v>14.068347428571428</v>
      </c>
      <c r="P7" s="14">
        <f t="shared" si="33"/>
        <v>4.7658421593654818</v>
      </c>
      <c r="Q7" s="22">
        <f t="shared" si="2"/>
        <v>32.802880198990124</v>
      </c>
      <c r="R7" s="62">
        <f t="shared" si="0"/>
        <v>294.35843575454567</v>
      </c>
      <c r="S7" s="62">
        <f ca="1">AVERAGE(OFFSET($R$3,0,0,'Données projet'!$E$9+1,1))-AVERAGE(OFFSET($H$3,0,0,'Données projet'!$E$9+1,1))</f>
        <v>452.54136967045082</v>
      </c>
      <c r="T7" s="62">
        <f t="shared" si="34"/>
        <v>269.67340993773422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1.4873333333333332</v>
      </c>
      <c r="AI7" s="14">
        <f>IF('Données projet'!$A$62&gt;35,AI6+AH7-AQ6,IF(A7&lt;'Données projet'!$A$62,$AF$205^A7,IF(A7='Données projet'!$A$62,'Données projet'!$B$62,AI6+AH7-AQ6)))</f>
        <v>2.2887580531609411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3.887142857142857</v>
      </c>
      <c r="BD7" s="13">
        <f>IF('Données projet'!$A$88&gt;35,BD6+BC7-BL6,IF(A7&lt;'Données projet'!$A$88,$BA$205^A7,IF(A7='Données projet'!$A$88,'Données projet'!$B$88,BD6+BC7-BL6)))</f>
        <v>15.548571428571428</v>
      </c>
      <c r="BE7" s="14">
        <f>BD7*VLOOKUP('Données projet'!$B$11,Paramètres!$A$1:$I$89,3,0)*VLOOKUP('Données projet'!$B$11,Paramètres!$A$1:$I$89,5,0)</f>
        <v>15.766251428571428</v>
      </c>
      <c r="BF7" s="14">
        <f t="shared" si="37"/>
        <v>5.2706590287965538</v>
      </c>
      <c r="BG7" s="22">
        <f t="shared" si="7"/>
        <v>36.63928571324923</v>
      </c>
      <c r="BH7" s="62">
        <f t="shared" si="8"/>
        <v>298.19484126880479</v>
      </c>
      <c r="BI7" s="62">
        <f ca="1">AVERAGE(OFFSET($BH$3,0,0,'Données projet'!$E$11+1,1))-AVERAGE(OFFSET($H$3,0,0,'Données projet'!$E$11+1,1))</f>
        <v>502.06005292569733</v>
      </c>
      <c r="BJ7" s="62">
        <f t="shared" si="38"/>
        <v>297.06786598620607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2.532</v>
      </c>
      <c r="BY7" s="13">
        <f>IF('Données projet'!$A$114&gt;35,BY6+BX7-CG6,IF(A7&lt;'Données projet'!$A$114,$BV$205^A7,IF(A7='Données projet'!$A$114,'Données projet'!$B$114,BY6+BX7-CG6)))</f>
        <v>2.1922937180439468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3.59</v>
      </c>
      <c r="CT7" s="13">
        <f>IF('Données projet'!$A$140&gt;35,CT6+CS7-DB6,IF(A7&lt;'Données projet'!$A$140,$CQ$205^A7,IF(A7='Données projet'!$A$140,'Données projet'!$B$140,CT6+CS7-DB6)))</f>
        <v>10.075150966086481</v>
      </c>
      <c r="CU7" s="18">
        <f>CT7*VLOOKUP('Données projet'!$B$13,Paramètres!$A$1:$I$89,3,0)*VLOOKUP('Données projet'!$B$13,Paramètres!$A$1:$I$89,5,0)</f>
        <v>9.1159965941150478</v>
      </c>
      <c r="CV7" s="14">
        <f t="shared" si="41"/>
        <v>3.2481420628044639</v>
      </c>
      <c r="CW7" s="22">
        <f t="shared" si="13"/>
        <v>21.534208160801484</v>
      </c>
      <c r="CX7" s="62">
        <f t="shared" si="14"/>
        <v>283.08976371635703</v>
      </c>
      <c r="CY7" s="62">
        <f ca="1">AVERAGE(OFFSET($CX$3,0,0,'Données projet'!$E$13+1,1))-AVERAGE(OFFSET($H$3,0,0,'Données projet'!$E$13+1,1))</f>
        <v>204.787338911576</v>
      </c>
      <c r="CZ7" s="62">
        <f t="shared" si="42"/>
        <v>287.24932051638558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1.325</v>
      </c>
      <c r="DO7" s="13">
        <f>IF('Données projet'!$A$166&gt;35,DO6+DN7-DW6,IF(A7&lt;'Données projet'!$A$166,$DL$205^A7,IF(A7='Données projet'!$A$166,'Données projet'!$B$166,DO6+DN7-DW6)))</f>
        <v>5.3</v>
      </c>
      <c r="DP7" s="18">
        <f>DO7*VLOOKUP('Données projet'!$B$14,Paramètres!$A$1:$I$89,3,0)*VLOOKUP('Données projet'!$B$14,Paramètres!$A$1:$I$89,5,0)</f>
        <v>5.0434799999999997</v>
      </c>
      <c r="DQ7" s="14">
        <f t="shared" si="43"/>
        <v>1.9252386004724908</v>
      </c>
      <c r="DR7" s="22">
        <f t="shared" si="16"/>
        <v>12.137184895822921</v>
      </c>
      <c r="DS7" s="62">
        <f t="shared" si="17"/>
        <v>273.69274045137848</v>
      </c>
      <c r="DT7" s="62">
        <f ca="1">AVERAGE(OFFSET($DS$3,0,0,'Données projet'!$E$14+1,1))-AVERAGE(OFFSET($H$3,0,0,'Données projet'!$E$14+1,1))</f>
        <v>309.55876703480277</v>
      </c>
      <c r="DU7" s="62">
        <f t="shared" si="44"/>
        <v>122.43799205838684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4.0476666666666672</v>
      </c>
      <c r="EJ7" s="13">
        <f>IF('Données projet'!$A$192&gt;35,EJ6+EI7-ER6,IF(A7&lt;'Données projet'!$A$192,$EG$205^A7,IF(A7='Données projet'!$A$192,'Données projet'!$B$192,EJ6+EI7-ER6)))</f>
        <v>1.8963134818140219</v>
      </c>
      <c r="EK7" s="18">
        <f>EJ7*VLOOKUP('Données projet'!$B$15,Paramètres!$A$1:$I$89,3,0)*VLOOKUP('Données projet'!$B$15,Paramètres!$A$1:$I$89,5,0)</f>
        <v>0.88747470948896223</v>
      </c>
      <c r="EL7" s="14">
        <f t="shared" si="45"/>
        <v>0.41470826793625865</v>
      </c>
      <c r="EM7" s="22">
        <f t="shared" si="19"/>
        <v>2.2679686856822596</v>
      </c>
      <c r="EN7" s="62">
        <f t="shared" si="20"/>
        <v>263.82352424123781</v>
      </c>
      <c r="EO7" s="62">
        <f ca="1">AVERAGE(OFFSET($EN$3,0,0,'Données projet'!$E$15+1,1))-AVERAGE(OFFSET($H$3,0,0,'Données projet'!$E$15+1,1))</f>
        <v>301.04834785168049</v>
      </c>
      <c r="EP7" s="62">
        <f t="shared" si="46"/>
        <v>164.1450425611464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3.1761666666666666</v>
      </c>
      <c r="FE7" s="13">
        <f>IF('Données projet'!$A$218&gt;35,FE6+FD7-FM6,IF(A7&lt;'Données projet'!$A$218,$FB$205^A7,IF(A7='Données projet'!$A$218,'Données projet'!$B$218,FE6+FD7-FM6)))</f>
        <v>12.704666666666666</v>
      </c>
      <c r="FF7" s="18">
        <f>FE7*VLOOKUP('Données projet'!$B$16,Paramètres!$A$1:$I$89,3,0)*VLOOKUP('Données projet'!$B$16,Paramètres!$A$1:$I$89,5,0)</f>
        <v>11.495182399999999</v>
      </c>
      <c r="FG7" s="14">
        <f t="shared" si="47"/>
        <v>3.986794815316808</v>
      </c>
      <c r="FH7" s="22">
        <f t="shared" si="22"/>
        <v>26.9644436500101</v>
      </c>
      <c r="FI7" s="62">
        <f t="shared" si="23"/>
        <v>288.51999920556563</v>
      </c>
      <c r="FJ7" s="62">
        <f ca="1">AVERAGE(OFFSET($FI$3,0,0,'Données projet'!$E$16+1,1))-AVERAGE(OFFSET($H$3,0,0,'Données projet'!$E$16+1,1))</f>
        <v>330.53726676433649</v>
      </c>
      <c r="FK7" s="62">
        <f t="shared" si="48"/>
        <v>228.01260676706528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3.1761666666666666</v>
      </c>
      <c r="FZ7" s="13">
        <f>IF('Données projet'!$A$244&gt;35,FZ6+FY7-GH6,IF(A7&lt;'Données projet'!$A$244,$FW$205^A7,IF(A7='Données projet'!$A$244,'Données projet'!$B$244,FZ6+FY7-GH6)))</f>
        <v>12.704666666666666</v>
      </c>
      <c r="GA7" s="18">
        <f>FZ7*VLOOKUP('Données projet'!$B$17,Paramètres!$A$1:$I$89,3,0)*VLOOKUP('Données projet'!$B$17,Paramètres!$A$1:$I$89,5,0)</f>
        <v>14.468074399999999</v>
      </c>
      <c r="GB7" s="14">
        <f t="shared" si="49"/>
        <v>4.8852971940389356</v>
      </c>
      <c r="GC7" s="22">
        <f t="shared" si="25"/>
        <v>33.70712219295114</v>
      </c>
      <c r="GD7" s="62">
        <f t="shared" si="26"/>
        <v>295.26267774850669</v>
      </c>
      <c r="GE7" s="62">
        <f ca="1">AVERAGE(OFFSET($GD$3,0,0,'Données projet'!$E$17+1,1))-AVERAGE(OFFSET($H$3,0,0,'Données projet'!$E$17+1,1))</f>
        <v>405.71017054131318</v>
      </c>
      <c r="GF7" s="62">
        <f t="shared" si="50"/>
        <v>276.12900965322166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3.1761666666666666</v>
      </c>
      <c r="GU7" s="13">
        <f>IF('Données projet'!$A$270&gt;35,GU6+GT7-HC6,IF(A7&lt;'Données projet'!$A$270,$GR$205^A7,IF(A7='Données projet'!$A$270,'Données projet'!$B$270,GU6+GT7-HC6)))</f>
        <v>12.704666666666666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3.887142857142857</v>
      </c>
      <c r="N8" s="14">
        <f>IF('Données projet'!$A$36&gt;35,N7+M8-V7,IF(A8&lt;'Données projet'!$A$36,$K$205^A8,IF(A8='Données projet'!$A$36,'Données projet'!$B$36,N7+M8-V7)))</f>
        <v>19.435714285714283</v>
      </c>
      <c r="O8" s="14">
        <f>N8*VLOOKUP('Données projet'!$B$9,Paramètres!$A$1:$I$89,3,0)*VLOOKUP('Données projet'!$B$9,Paramètres!$A$1:$I$89,5,0)</f>
        <v>17.585434285714282</v>
      </c>
      <c r="P8" s="14">
        <f t="shared" si="33"/>
        <v>5.804560501905633</v>
      </c>
      <c r="Q8" s="22">
        <f t="shared" si="2"/>
        <v>40.737574255104683</v>
      </c>
      <c r="R8" s="62">
        <f t="shared" si="0"/>
        <v>303.51535203288245</v>
      </c>
      <c r="S8" s="62">
        <f ca="1">AVERAGE(OFFSET($R$3,0,0,'Données projet'!$E$9+1,1))-AVERAGE(OFFSET($H$3,0,0,'Données projet'!$E$9+1,1))</f>
        <v>452.54136967045082</v>
      </c>
      <c r="T8" s="62">
        <f t="shared" si="34"/>
        <v>269.67340993773422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1.4873333333333332</v>
      </c>
      <c r="AI8" s="14">
        <f>IF('Données projet'!$A$62&gt;35,AI7+AH8-AQ7,IF(A8&lt;'Données projet'!$A$62,$AF$205^A8,IF(A8='Données projet'!$A$62,'Données projet'!$B$62,AI7+AH8-AQ7)))</f>
        <v>2.8151390866458232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3.887142857142857</v>
      </c>
      <c r="BD8" s="13">
        <f>IF('Données projet'!$A$88&gt;35,BD7+BC8-BL7,IF(A8&lt;'Données projet'!$A$88,$BA$205^A8,IF(A8='Données projet'!$A$88,'Données projet'!$B$88,BD7+BC8-BL7)))</f>
        <v>19.435714285714283</v>
      </c>
      <c r="BE8" s="14">
        <f>BD8*VLOOKUP('Données projet'!$B$11,Paramètres!$A$1:$I$89,3,0)*VLOOKUP('Données projet'!$B$11,Paramètres!$A$1:$I$89,5,0)</f>
        <v>19.707814285714285</v>
      </c>
      <c r="BF8" s="14">
        <f t="shared" si="37"/>
        <v>6.4194025304518281</v>
      </c>
      <c r="BG8" s="22">
        <f t="shared" si="7"/>
        <v>45.504902621489315</v>
      </c>
      <c r="BH8" s="62">
        <f t="shared" si="8"/>
        <v>308.28268039926706</v>
      </c>
      <c r="BI8" s="62">
        <f ca="1">AVERAGE(OFFSET($BH$3,0,0,'Données projet'!$E$11+1,1))-AVERAGE(OFFSET($H$3,0,0,'Données projet'!$E$11+1,1))</f>
        <v>502.06005292569733</v>
      </c>
      <c r="BJ8" s="62">
        <f t="shared" si="38"/>
        <v>297.06786598620607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2.532</v>
      </c>
      <c r="BY8" s="13">
        <f>IF('Données projet'!$A$114&gt;35,BY7+BX8-CG7,IF(A8&lt;'Données projet'!$A$114,$BV$205^A8,IF(A8='Données projet'!$A$114,'Données projet'!$B$114,BY7+BX8-CG7)))</f>
        <v>2.6676166797092278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>
        <f>VLOOKUP(A8,'Données projet'!$A$139:$I$159,2,0)</f>
        <v>17.95</v>
      </c>
      <c r="CR8" s="13">
        <f>VLOOKUP(A8,'Données projet'!$A$139:$I$159,9,0)</f>
        <v>3.59</v>
      </c>
      <c r="CS8" s="13">
        <f t="array" ref="CS8">INDEX(CR:CR,MIN(IF(ISNUMBER(CR8:CR204),ROW(CR8:CR204),"")))</f>
        <v>3.59</v>
      </c>
      <c r="CT8" s="13">
        <f>IF('Données projet'!$A$140&gt;35,CT7+CS8-DB7,IF(A8&lt;'Données projet'!$A$140,$CQ$205^A8,IF(A8='Données projet'!$A$140,'Données projet'!$B$140,CT7+CS8-DB7)))</f>
        <v>17.95</v>
      </c>
      <c r="CU8" s="18">
        <f>CT8*VLOOKUP('Données projet'!$B$13,Paramètres!$A$1:$I$89,3,0)*VLOOKUP('Données projet'!$B$13,Paramètres!$A$1:$I$89,5,0)</f>
        <v>16.241160000000001</v>
      </c>
      <c r="CV8" s="14">
        <f t="shared" si="41"/>
        <v>5.4106978925088516</v>
      </c>
      <c r="CW8" s="22">
        <f t="shared" si="13"/>
        <v>37.710319162786249</v>
      </c>
      <c r="CX8" s="62">
        <f t="shared" si="14"/>
        <v>300.48809694056399</v>
      </c>
      <c r="CY8" s="62">
        <f ca="1">AVERAGE(OFFSET($CX$3,0,0,'Données projet'!$E$13+1,1))-AVERAGE(OFFSET($H$3,0,0,'Données projet'!$E$13+1,1))</f>
        <v>204.787338911576</v>
      </c>
      <c r="CZ8" s="62">
        <f t="shared" si="42"/>
        <v>287.24932051638558</v>
      </c>
      <c r="DA8" s="16">
        <f>IF(ISNA(VLOOKUP(A8,'Données projet'!$A$139:$I$159,3,0)),0,VLOOKUP(A8,'Données projet'!$A$139:$I$159,3,0))</f>
        <v>1</v>
      </c>
      <c r="DB8" s="16">
        <f>IF(ISNA(VLOOKUP(A8,'Données projet'!$A$139:$I$159,4,0)),0,VLOOKUP(A8,'Données projet'!$A$139:$I$159,4,0))</f>
        <v>2.56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1.325</v>
      </c>
      <c r="DO8" s="13">
        <f>IF('Données projet'!$A$166&gt;35,DO7+DN8-DW7,IF(A8&lt;'Données projet'!$A$166,$DL$205^A8,IF(A8='Données projet'!$A$166,'Données projet'!$B$166,DO7+DN8-DW7)))</f>
        <v>6.625</v>
      </c>
      <c r="DP8" s="18">
        <f>DO8*VLOOKUP('Données projet'!$B$14,Paramètres!$A$1:$I$89,3,0)*VLOOKUP('Données projet'!$B$14,Paramètres!$A$1:$I$89,5,0)</f>
        <v>6.3043499999999995</v>
      </c>
      <c r="DQ8" s="14">
        <f t="shared" si="43"/>
        <v>2.3448455830804402</v>
      </c>
      <c r="DR8" s="22">
        <f t="shared" si="16"/>
        <v>15.064015640531764</v>
      </c>
      <c r="DS8" s="62">
        <f t="shared" si="17"/>
        <v>277.84179341830952</v>
      </c>
      <c r="DT8" s="62">
        <f ca="1">AVERAGE(OFFSET($DS$3,0,0,'Données projet'!$E$14+1,1))-AVERAGE(OFFSET($H$3,0,0,'Données projet'!$E$14+1,1))</f>
        <v>309.55876703480277</v>
      </c>
      <c r="DU8" s="62">
        <f t="shared" si="44"/>
        <v>122.43799205838684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4.0476666666666672</v>
      </c>
      <c r="EJ8" s="13">
        <f>IF('Données projet'!$A$192&gt;35,EJ7+EI8-ER7,IF(A8&lt;'Données projet'!$A$192,$EG$205^A8,IF(A8='Données projet'!$A$192,'Données projet'!$B$192,EJ7+EI8-ER7)))</f>
        <v>2.2252953777325959</v>
      </c>
      <c r="EK8" s="18">
        <f>EJ8*VLOOKUP('Données projet'!$B$15,Paramètres!$A$1:$I$89,3,0)*VLOOKUP('Données projet'!$B$15,Paramètres!$A$1:$I$89,5,0)</f>
        <v>1.0414382367788548</v>
      </c>
      <c r="EL8" s="14">
        <f t="shared" si="45"/>
        <v>0.47767558283208045</v>
      </c>
      <c r="EM8" s="22">
        <f t="shared" si="19"/>
        <v>2.6457899024890454</v>
      </c>
      <c r="EN8" s="62">
        <f t="shared" si="20"/>
        <v>265.42356768026684</v>
      </c>
      <c r="EO8" s="62">
        <f ca="1">AVERAGE(OFFSET($EN$3,0,0,'Données projet'!$E$15+1,1))-AVERAGE(OFFSET($H$3,0,0,'Données projet'!$E$15+1,1))</f>
        <v>301.04834785168049</v>
      </c>
      <c r="EP8" s="62">
        <f t="shared" si="46"/>
        <v>164.1450425611464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3.1761666666666666</v>
      </c>
      <c r="FE8" s="13">
        <f>IF('Données projet'!$A$218&gt;35,FE7+FD8-FM7,IF(A8&lt;'Données projet'!$A$218,$FB$205^A8,IF(A8='Données projet'!$A$218,'Données projet'!$B$218,FE7+FD8-FM7)))</f>
        <v>15.880833333333333</v>
      </c>
      <c r="FF8" s="18">
        <f>FE8*VLOOKUP('Données projet'!$B$16,Paramètres!$A$1:$I$89,3,0)*VLOOKUP('Données projet'!$B$16,Paramètres!$A$1:$I$89,5,0)</f>
        <v>14.368978</v>
      </c>
      <c r="FG8" s="14">
        <f t="shared" si="47"/>
        <v>4.8557192916500513</v>
      </c>
      <c r="FH8" s="22">
        <f t="shared" si="22"/>
        <v>33.483014449623838</v>
      </c>
      <c r="FI8" s="62">
        <f t="shared" si="23"/>
        <v>296.26079222740162</v>
      </c>
      <c r="FJ8" s="62">
        <f ca="1">AVERAGE(OFFSET($FI$3,0,0,'Données projet'!$E$16+1,1))-AVERAGE(OFFSET($H$3,0,0,'Données projet'!$E$16+1,1))</f>
        <v>330.53726676433649</v>
      </c>
      <c r="FK8" s="62">
        <f t="shared" si="48"/>
        <v>228.01260676706528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3.1761666666666666</v>
      </c>
      <c r="FZ8" s="13">
        <f>IF('Données projet'!$A$244&gt;35,FZ7+FY8-GH7,IF(A8&lt;'Données projet'!$A$244,$FW$205^A8,IF(A8='Données projet'!$A$244,'Données projet'!$B$244,FZ7+FY8-GH7)))</f>
        <v>15.880833333333333</v>
      </c>
      <c r="GA8" s="18">
        <f>FZ8*VLOOKUP('Données projet'!$B$17,Paramètres!$A$1:$I$89,3,0)*VLOOKUP('Données projet'!$B$17,Paramètres!$A$1:$I$89,5,0)</f>
        <v>18.085093000000001</v>
      </c>
      <c r="GB8" s="14">
        <f t="shared" si="49"/>
        <v>5.950050837681168</v>
      </c>
      <c r="GC8" s="22">
        <f t="shared" si="25"/>
        <v>41.861208850628032</v>
      </c>
      <c r="GD8" s="62">
        <f t="shared" si="26"/>
        <v>304.6389866284058</v>
      </c>
      <c r="GE8" s="62">
        <f ca="1">AVERAGE(OFFSET($GD$3,0,0,'Données projet'!$E$17+1,1))-AVERAGE(OFFSET($H$3,0,0,'Données projet'!$E$17+1,1))</f>
        <v>405.71017054131318</v>
      </c>
      <c r="GF8" s="62">
        <f t="shared" si="50"/>
        <v>276.12900965322166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3.1761666666666666</v>
      </c>
      <c r="GU8" s="13">
        <f>IF('Données projet'!$A$270&gt;35,GU7+GT8-HC7,IF(A8&lt;'Données projet'!$A$270,$GR$205^A8,IF(A8='Données projet'!$A$270,'Données projet'!$B$270,GU7+GT8-HC7)))</f>
        <v>15.880833333333333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3.887142857142857</v>
      </c>
      <c r="N9" s="14">
        <f>IF('Données projet'!$A$36&gt;35,N8+M9-V8,IF(A9&lt;'Données projet'!$A$36,$K$205^A9,IF(A9='Données projet'!$A$36,'Données projet'!$B$36,N8+M9-V8)))</f>
        <v>23.322857142857139</v>
      </c>
      <c r="O9" s="14">
        <f>N9*VLOOKUP('Données projet'!$B$9,Paramètres!$A$1:$I$89,3,0)*VLOOKUP('Données projet'!$B$9,Paramètres!$A$1:$I$89,5,0)</f>
        <v>21.102521142857139</v>
      </c>
      <c r="P9" s="14">
        <f t="shared" si="33"/>
        <v>6.8192072738987575</v>
      </c>
      <c r="Q9" s="22">
        <f t="shared" si="2"/>
        <v>48.630343659183183</v>
      </c>
      <c r="R9" s="62">
        <f t="shared" si="0"/>
        <v>312.63034365918315</v>
      </c>
      <c r="S9" s="62">
        <f ca="1">AVERAGE(OFFSET($R$3,0,0,'Données projet'!$E$9+1,1))-AVERAGE(OFFSET($H$3,0,0,'Données projet'!$E$9+1,1))</f>
        <v>452.54136967045082</v>
      </c>
      <c r="T9" s="62">
        <f t="shared" si="34"/>
        <v>269.67340993773422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1.4873333333333332</v>
      </c>
      <c r="AI9" s="14">
        <f>IF('Données projet'!$A$62&gt;35,AI8+AH9-AQ8,IF(A9&lt;'Données projet'!$A$62,$AF$205^A9,IF(A9='Données projet'!$A$62,'Données projet'!$B$62,AI8+AH9-AQ8)))</f>
        <v>3.4625800950065773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3.887142857142857</v>
      </c>
      <c r="BD9" s="13">
        <f>IF('Données projet'!$A$88&gt;35,BD8+BC9-BL8,IF(A9&lt;'Données projet'!$A$88,$BA$205^A9,IF(A9='Données projet'!$A$88,'Données projet'!$B$88,BD8+BC9-BL8)))</f>
        <v>23.322857142857139</v>
      </c>
      <c r="BE9" s="14">
        <f>BD9*VLOOKUP('Données projet'!$B$11,Paramètres!$A$1:$I$89,3,0)*VLOOKUP('Données projet'!$B$11,Paramètres!$A$1:$I$89,5,0)</f>
        <v>23.649377142857141</v>
      </c>
      <c r="BF9" s="14">
        <f t="shared" si="37"/>
        <v>7.5415247055086745</v>
      </c>
      <c r="BG9" s="22">
        <f t="shared" si="7"/>
        <v>54.324154052570456</v>
      </c>
      <c r="BH9" s="62">
        <f t="shared" si="8"/>
        <v>318.32415405257046</v>
      </c>
      <c r="BI9" s="62">
        <f ca="1">AVERAGE(OFFSET($BH$3,0,0,'Données projet'!$E$11+1,1))-AVERAGE(OFFSET($H$3,0,0,'Données projet'!$E$11+1,1))</f>
        <v>502.06005292569733</v>
      </c>
      <c r="BJ9" s="62">
        <f t="shared" si="38"/>
        <v>297.06786598620607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2.532</v>
      </c>
      <c r="BY9" s="13">
        <f>IF('Données projet'!$A$114&gt;35,BY8+BX9-CG8,IF(A9&lt;'Données projet'!$A$114,$BV$205^A9,IF(A9='Données projet'!$A$114,'Données projet'!$B$114,BY8+BX9-CG8)))</f>
        <v>3.2459969625841141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7.05</v>
      </c>
      <c r="CT9" s="13">
        <f>IF('Données projet'!$A$140&gt;35,CT8+CS9-DB8,IF(A9&lt;'Données projet'!$A$140,$CQ$205^A9,IF(A9='Données projet'!$A$140,'Données projet'!$B$140,CT8+CS9-DB8)))</f>
        <v>22.44</v>
      </c>
      <c r="CU9" s="18">
        <f>CT9*VLOOKUP('Données projet'!$B$13,Paramètres!$A$1:$I$89,3,0)*VLOOKUP('Données projet'!$B$13,Paramètres!$A$1:$I$89,5,0)</f>
        <v>20.303712000000001</v>
      </c>
      <c r="CV9" s="14">
        <f t="shared" si="41"/>
        <v>6.5906117398581516</v>
      </c>
      <c r="CW9" s="22">
        <f t="shared" si="13"/>
        <v>46.840947180252947</v>
      </c>
      <c r="CX9" s="62">
        <f t="shared" si="14"/>
        <v>310.84094718025295</v>
      </c>
      <c r="CY9" s="62">
        <f ca="1">AVERAGE(OFFSET($CX$3,0,0,'Données projet'!$E$13+1,1))-AVERAGE(OFFSET($H$3,0,0,'Données projet'!$E$13+1,1))</f>
        <v>204.787338911576</v>
      </c>
      <c r="CZ9" s="62">
        <f t="shared" si="42"/>
        <v>287.24932051638558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1.325</v>
      </c>
      <c r="DO9" s="13">
        <f>IF('Données projet'!$A$166&gt;35,DO8+DN9-DW8,IF(A9&lt;'Données projet'!$A$166,$DL$205^A9,IF(A9='Données projet'!$A$166,'Données projet'!$B$166,DO8+DN9-DW8)))</f>
        <v>7.95</v>
      </c>
      <c r="DP9" s="18">
        <f>DO9*VLOOKUP('Données projet'!$B$14,Paramètres!$A$1:$I$89,3,0)*VLOOKUP('Données projet'!$B$14,Paramètres!$A$1:$I$89,5,0)</f>
        <v>7.5652200000000001</v>
      </c>
      <c r="DQ9" s="14">
        <f t="shared" si="43"/>
        <v>2.7547284675664949</v>
      </c>
      <c r="DR9" s="22">
        <f t="shared" si="16"/>
        <v>17.973910247678308</v>
      </c>
      <c r="DS9" s="62">
        <f t="shared" si="17"/>
        <v>281.9739102476783</v>
      </c>
      <c r="DT9" s="62">
        <f ca="1">AVERAGE(OFFSET($DS$3,0,0,'Données projet'!$E$14+1,1))-AVERAGE(OFFSET($H$3,0,0,'Données projet'!$E$14+1,1))</f>
        <v>309.55876703480277</v>
      </c>
      <c r="DU9" s="62">
        <f t="shared" si="44"/>
        <v>122.43799205838684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4.0476666666666672</v>
      </c>
      <c r="EJ9" s="13">
        <f>IF('Données projet'!$A$192&gt;35,EJ8+EI9-ER8,IF(A9&lt;'Données projet'!$A$192,$EG$205^A9,IF(A9='Données projet'!$A$192,'Données projet'!$B$192,EJ8+EI9-ER8)))</f>
        <v>2.6113506894551053</v>
      </c>
      <c r="EK9" s="18">
        <f>EJ9*VLOOKUP('Données projet'!$B$15,Paramètres!$A$1:$I$89,3,0)*VLOOKUP('Données projet'!$B$15,Paramètres!$A$1:$I$89,5,0)</f>
        <v>1.2221121226649894</v>
      </c>
      <c r="EL9" s="14">
        <f t="shared" si="45"/>
        <v>0.55020355289622191</v>
      </c>
      <c r="EM9" s="22">
        <f t="shared" si="19"/>
        <v>3.0867831349357764</v>
      </c>
      <c r="EN9" s="62">
        <f t="shared" si="20"/>
        <v>267.08678313493579</v>
      </c>
      <c r="EO9" s="62">
        <f ca="1">AVERAGE(OFFSET($EN$3,0,0,'Données projet'!$E$15+1,1))-AVERAGE(OFFSET($H$3,0,0,'Données projet'!$E$15+1,1))</f>
        <v>301.04834785168049</v>
      </c>
      <c r="EP9" s="62">
        <f t="shared" si="46"/>
        <v>164.1450425611464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3.1761666666666666</v>
      </c>
      <c r="FE9" s="13">
        <f>IF('Données projet'!$A$218&gt;35,FE8+FD9-FM8,IF(A9&lt;'Données projet'!$A$218,$FB$205^A9,IF(A9='Données projet'!$A$218,'Données projet'!$B$218,FE8+FD9-FM8)))</f>
        <v>19.056999999999999</v>
      </c>
      <c r="FF9" s="18">
        <f>FE9*VLOOKUP('Données projet'!$B$16,Paramètres!$A$1:$I$89,3,0)*VLOOKUP('Données projet'!$B$16,Paramètres!$A$1:$I$89,5,0)</f>
        <v>17.2427736</v>
      </c>
      <c r="FG9" s="14">
        <f t="shared" si="47"/>
        <v>5.7045070514399558</v>
      </c>
      <c r="FH9" s="22">
        <f t="shared" si="22"/>
        <v>39.966513801257918</v>
      </c>
      <c r="FI9" s="62">
        <f t="shared" si="23"/>
        <v>303.96651380125792</v>
      </c>
      <c r="FJ9" s="62">
        <f ca="1">AVERAGE(OFFSET($FI$3,0,0,'Données projet'!$E$16+1,1))-AVERAGE(OFFSET($H$3,0,0,'Données projet'!$E$16+1,1))</f>
        <v>330.53726676433649</v>
      </c>
      <c r="FK9" s="62">
        <f t="shared" si="48"/>
        <v>228.01260676706528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3.1761666666666666</v>
      </c>
      <c r="FZ9" s="13">
        <f>IF('Données projet'!$A$244&gt;35,FZ8+FY9-GH8,IF(A9&lt;'Données projet'!$A$244,$FW$205^A9,IF(A9='Données projet'!$A$244,'Données projet'!$B$244,FZ8+FY9-GH8)))</f>
        <v>19.056999999999999</v>
      </c>
      <c r="GA9" s="18">
        <f>FZ9*VLOOKUP('Données projet'!$B$17,Paramètres!$A$1:$I$89,3,0)*VLOOKUP('Données projet'!$B$17,Paramètres!$A$1:$I$89,5,0)</f>
        <v>21.702111599999999</v>
      </c>
      <c r="GB9" s="14">
        <f t="shared" si="49"/>
        <v>6.9901295608965031</v>
      </c>
      <c r="GC9" s="22">
        <f t="shared" si="25"/>
        <v>49.972320021894738</v>
      </c>
      <c r="GD9" s="62">
        <f t="shared" si="26"/>
        <v>313.97232002189475</v>
      </c>
      <c r="GE9" s="62">
        <f ca="1">AVERAGE(OFFSET($GD$3,0,0,'Données projet'!$E$17+1,1))-AVERAGE(OFFSET($H$3,0,0,'Données projet'!$E$17+1,1))</f>
        <v>405.71017054131318</v>
      </c>
      <c r="GF9" s="62">
        <f t="shared" si="50"/>
        <v>276.12900965322166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3.1761666666666666</v>
      </c>
      <c r="GU9" s="13">
        <f>IF('Données projet'!$A$270&gt;35,GU8+GT9-HC8,IF(A9&lt;'Données projet'!$A$270,$GR$205^A9,IF(A9='Données projet'!$A$270,'Données projet'!$B$270,GU8+GT9-HC8)))</f>
        <v>19.056999999999999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3.887142857142857</v>
      </c>
      <c r="N10" s="14">
        <f>IF('Données projet'!$A$36&gt;35,N9+M10-V9,IF(A10&lt;'Données projet'!$A$36,$K$205^A10,IF(A10='Données projet'!$A$36,'Données projet'!$B$36,N9+M10-V9)))</f>
        <v>27.209999999999994</v>
      </c>
      <c r="O10" s="14">
        <f>N10*VLOOKUP('Données projet'!$B$9,Paramètres!$A$1:$I$89,3,0)*VLOOKUP('Données projet'!$B$9,Paramètres!$A$1:$I$89,5,0)</f>
        <v>24.619607999999992</v>
      </c>
      <c r="P10" s="14">
        <f t="shared" si="33"/>
        <v>7.8142639118614152</v>
      </c>
      <c r="Q10" s="22">
        <f t="shared" si="2"/>
        <v>56.488993579825284</v>
      </c>
      <c r="R10" s="62">
        <f t="shared" si="0"/>
        <v>321.71121580204749</v>
      </c>
      <c r="S10" s="62">
        <f ca="1">AVERAGE(OFFSET($R$3,0,0,'Données projet'!$E$9+1,1))-AVERAGE(OFFSET($H$3,0,0,'Données projet'!$E$9+1,1))</f>
        <v>452.54136967045082</v>
      </c>
      <c r="T10" s="62">
        <f t="shared" si="34"/>
        <v>269.67340993773422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1.4873333333333332</v>
      </c>
      <c r="AI10" s="14">
        <f>IF('Données projet'!$A$62&gt;35,AI9+AH10-AQ9,IF(A10&lt;'Données projet'!$A$62,$AF$205^A10,IF(A10='Données projet'!$A$62,'Données projet'!$B$62,AI9+AH10-AQ9)))</f>
        <v>4.2589231101263056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3.887142857142857</v>
      </c>
      <c r="BD10" s="13">
        <f>IF('Données projet'!$A$88&gt;35,BD9+BC10-BL9,IF(A10&lt;'Données projet'!$A$88,$BA$205^A10,IF(A10='Données projet'!$A$88,'Données projet'!$B$88,BD9+BC10-BL9)))</f>
        <v>27.209999999999994</v>
      </c>
      <c r="BE10" s="14">
        <f>BD10*VLOOKUP('Données projet'!$B$11,Paramètres!$A$1:$I$89,3,0)*VLOOKUP('Données projet'!$B$11,Paramètres!$A$1:$I$89,5,0)</f>
        <v>27.590939999999993</v>
      </c>
      <c r="BF10" s="14">
        <f t="shared" si="37"/>
        <v>8.6419816819814557</v>
      </c>
      <c r="BG10" s="22">
        <f t="shared" si="7"/>
        <v>63.105671929451027</v>
      </c>
      <c r="BH10" s="62">
        <f t="shared" si="8"/>
        <v>328.32789415167326</v>
      </c>
      <c r="BI10" s="62">
        <f ca="1">AVERAGE(OFFSET($BH$3,0,0,'Données projet'!$E$11+1,1))-AVERAGE(OFFSET($H$3,0,0,'Données projet'!$E$11+1,1))</f>
        <v>502.06005292569733</v>
      </c>
      <c r="BJ10" s="62">
        <f t="shared" si="38"/>
        <v>297.06786598620607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2.532</v>
      </c>
      <c r="BY10" s="13">
        <f>IF('Données projet'!$A$114&gt;35,BY9+BX10-CG9,IF(A10&lt;'Données projet'!$A$114,$BV$205^A10,IF(A10='Données projet'!$A$114,'Données projet'!$B$114,BY9+BX10-CG9)))</f>
        <v>3.9497789773355967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7.05</v>
      </c>
      <c r="CT10" s="13">
        <f>IF('Données projet'!$A$140&gt;35,CT9+CS10-DB9,IF(A10&lt;'Données projet'!$A$140,$CQ$205^A10,IF(A10='Données projet'!$A$140,'Données projet'!$B$140,CT9+CS10-DB9)))</f>
        <v>29.490000000000002</v>
      </c>
      <c r="CU10" s="18">
        <f>CT10*VLOOKUP('Données projet'!$B$13,Paramètres!$A$1:$I$89,3,0)*VLOOKUP('Données projet'!$B$13,Paramètres!$A$1:$I$89,5,0)</f>
        <v>26.682551999999998</v>
      </c>
      <c r="CV10" s="14">
        <f t="shared" si="41"/>
        <v>8.3900889299183667</v>
      </c>
      <c r="CW10" s="22">
        <f t="shared" si="13"/>
        <v>61.084849619607809</v>
      </c>
      <c r="CX10" s="62">
        <f t="shared" si="14"/>
        <v>326.30707184183007</v>
      </c>
      <c r="CY10" s="62">
        <f ca="1">AVERAGE(OFFSET($CX$3,0,0,'Données projet'!$E$13+1,1))-AVERAGE(OFFSET($H$3,0,0,'Données projet'!$E$13+1,1))</f>
        <v>204.787338911576</v>
      </c>
      <c r="CZ10" s="62">
        <f t="shared" si="42"/>
        <v>287.24932051638558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1.325</v>
      </c>
      <c r="DO10" s="13">
        <f>IF('Données projet'!$A$166&gt;35,DO9+DN10-DW9,IF(A10&lt;'Données projet'!$A$166,$DL$205^A10,IF(A10='Données projet'!$A$166,'Données projet'!$B$166,DO9+DN10-DW9)))</f>
        <v>9.2750000000000004</v>
      </c>
      <c r="DP10" s="18">
        <f>DO10*VLOOKUP('Données projet'!$B$14,Paramètres!$A$1:$I$89,3,0)*VLOOKUP('Données projet'!$B$14,Paramètres!$A$1:$I$89,5,0)</f>
        <v>8.8260900000000007</v>
      </c>
      <c r="DQ10" s="14">
        <f t="shared" si="43"/>
        <v>3.1566976022969571</v>
      </c>
      <c r="DR10" s="22">
        <f t="shared" si="16"/>
        <v>20.870021740667198</v>
      </c>
      <c r="DS10" s="62">
        <f t="shared" si="17"/>
        <v>286.09224396288943</v>
      </c>
      <c r="DT10" s="62">
        <f ca="1">AVERAGE(OFFSET($DS$3,0,0,'Données projet'!$E$14+1,1))-AVERAGE(OFFSET($H$3,0,0,'Données projet'!$E$14+1,1))</f>
        <v>309.55876703480277</v>
      </c>
      <c r="DU10" s="62">
        <f t="shared" si="44"/>
        <v>122.43799205838684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4.0476666666666672</v>
      </c>
      <c r="EJ10" s="13">
        <f>IF('Données projet'!$A$192&gt;35,EJ9+EI10-ER9,IF(A10&lt;'Données projet'!$A$192,$EG$205^A10,IF(A10='Données projet'!$A$192,'Données projet'!$B$192,EJ9+EI10-ER9)))</f>
        <v>3.0643807970633739</v>
      </c>
      <c r="EK10" s="18">
        <f>EJ10*VLOOKUP('Données projet'!$B$15,Paramètres!$A$1:$I$89,3,0)*VLOOKUP('Données projet'!$B$15,Paramètres!$A$1:$I$89,5,0)</f>
        <v>1.434130213025659</v>
      </c>
      <c r="EL10" s="14">
        <f t="shared" si="45"/>
        <v>0.63374382216652581</v>
      </c>
      <c r="EM10" s="22">
        <f t="shared" si="19"/>
        <v>3.6015472779597215</v>
      </c>
      <c r="EN10" s="62">
        <f t="shared" si="20"/>
        <v>268.82376950018192</v>
      </c>
      <c r="EO10" s="62">
        <f ca="1">AVERAGE(OFFSET($EN$3,0,0,'Données projet'!$E$15+1,1))-AVERAGE(OFFSET($H$3,0,0,'Données projet'!$E$15+1,1))</f>
        <v>301.04834785168049</v>
      </c>
      <c r="EP10" s="62">
        <f t="shared" si="46"/>
        <v>164.1450425611464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3.1761666666666666</v>
      </c>
      <c r="FE10" s="13">
        <f>IF('Données projet'!$A$218&gt;35,FE9+FD10-FM9,IF(A10&lt;'Données projet'!$A$218,$FB$205^A10,IF(A10='Données projet'!$A$218,'Données projet'!$B$218,FE9+FD10-FM9)))</f>
        <v>22.233166666666666</v>
      </c>
      <c r="FF10" s="18">
        <f>FE10*VLOOKUP('Données projet'!$B$16,Paramètres!$A$1:$I$89,3,0)*VLOOKUP('Données projet'!$B$16,Paramètres!$A$1:$I$89,5,0)</f>
        <v>20.116569200000001</v>
      </c>
      <c r="FG10" s="14">
        <f t="shared" si="47"/>
        <v>6.5369069741651122</v>
      </c>
      <c r="FH10" s="22">
        <f t="shared" si="22"/>
        <v>46.421471003337565</v>
      </c>
      <c r="FI10" s="62">
        <f t="shared" si="23"/>
        <v>311.64369322555979</v>
      </c>
      <c r="FJ10" s="62">
        <f ca="1">AVERAGE(OFFSET($FI$3,0,0,'Données projet'!$E$16+1,1))-AVERAGE(OFFSET($H$3,0,0,'Données projet'!$E$16+1,1))</f>
        <v>330.53726676433649</v>
      </c>
      <c r="FK10" s="62">
        <f t="shared" si="48"/>
        <v>228.01260676706528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3.1761666666666666</v>
      </c>
      <c r="FZ10" s="13">
        <f>IF('Données projet'!$A$244&gt;35,FZ9+FY10-GH9,IF(A10&lt;'Données projet'!$A$244,$FW$205^A10,IF(A10='Données projet'!$A$244,'Données projet'!$B$244,FZ9+FY10-GH9)))</f>
        <v>22.233166666666666</v>
      </c>
      <c r="GA10" s="18">
        <f>FZ10*VLOOKUP('Données projet'!$B$17,Paramètres!$A$1:$I$89,3,0)*VLOOKUP('Données projet'!$B$17,Paramètres!$A$1:$I$89,5,0)</f>
        <v>25.3191302</v>
      </c>
      <c r="GB10" s="14">
        <f t="shared" si="49"/>
        <v>8.0101271266564265</v>
      </c>
      <c r="GC10" s="22">
        <f t="shared" si="25"/>
        <v>58.048456510593269</v>
      </c>
      <c r="GD10" s="62">
        <f t="shared" si="26"/>
        <v>323.2706787328155</v>
      </c>
      <c r="GE10" s="62">
        <f ca="1">AVERAGE(OFFSET($GD$3,0,0,'Données projet'!$E$17+1,1))-AVERAGE(OFFSET($H$3,0,0,'Données projet'!$E$17+1,1))</f>
        <v>405.71017054131318</v>
      </c>
      <c r="GF10" s="62">
        <f t="shared" si="50"/>
        <v>276.12900965322166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3.1761666666666666</v>
      </c>
      <c r="GU10" s="13">
        <f>IF('Données projet'!$A$270&gt;35,GU9+GT10-HC9,IF(A10&lt;'Données projet'!$A$270,$GR$205^A10,IF(A10='Données projet'!$A$270,'Données projet'!$B$270,GU9+GT10-HC9)))</f>
        <v>22.233166666666666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3.887142857142857</v>
      </c>
      <c r="N11" s="14">
        <f>IF('Données projet'!$A$36&gt;35,N10+M11-V10,IF(A11&lt;'Données projet'!$A$36,$K$205^A11,IF(A11='Données projet'!$A$36,'Données projet'!$B$36,N10+M11-V10)))</f>
        <v>31.097142857142849</v>
      </c>
      <c r="O11" s="14">
        <f>N11*VLOOKUP('Données projet'!$B$9,Paramètres!$A$1:$I$89,3,0)*VLOOKUP('Données projet'!$B$9,Paramètres!$A$1:$I$89,5,0)</f>
        <v>28.136694857142849</v>
      </c>
      <c r="P11" s="14">
        <f t="shared" si="33"/>
        <v>8.792851913254415</v>
      </c>
      <c r="Q11" s="22">
        <f t="shared" si="2"/>
        <v>64.318960625108559</v>
      </c>
      <c r="R11" s="62">
        <f t="shared" si="0"/>
        <v>330.76340506955302</v>
      </c>
      <c r="S11" s="62">
        <f ca="1">AVERAGE(OFFSET($R$3,0,0,'Données projet'!$E$9+1,1))-AVERAGE(OFFSET($H$3,0,0,'Données projet'!$E$9+1,1))</f>
        <v>452.54136967045082</v>
      </c>
      <c r="T11" s="62">
        <f t="shared" si="34"/>
        <v>269.67340993773422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1.4873333333333332</v>
      </c>
      <c r="AI11" s="14">
        <f>IF('Données projet'!$A$62&gt;35,AI10+AH11-AQ10,IF(A11&lt;'Données projet'!$A$62,$AF$205^A11,IF(A11='Données projet'!$A$62,'Données projet'!$B$62,AI10+AH11-AQ10)))</f>
        <v>5.2384134259090613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3.887142857142857</v>
      </c>
      <c r="BD11" s="13">
        <f>IF('Données projet'!$A$88&gt;35,BD10+BC11-BL10,IF(A11&lt;'Données projet'!$A$88,$BA$205^A11,IF(A11='Données projet'!$A$88,'Données projet'!$B$88,BD10+BC11-BL10)))</f>
        <v>31.097142857142849</v>
      </c>
      <c r="BE11" s="14">
        <f>BD11*VLOOKUP('Données projet'!$B$11,Paramètres!$A$1:$I$89,3,0)*VLOOKUP('Données projet'!$B$11,Paramètres!$A$1:$I$89,5,0)</f>
        <v>31.532502857142852</v>
      </c>
      <c r="BF11" s="14">
        <f t="shared" si="37"/>
        <v>9.7242255986999844</v>
      </c>
      <c r="BG11" s="22">
        <f t="shared" si="7"/>
        <v>71.855468727259591</v>
      </c>
      <c r="BH11" s="62">
        <f t="shared" si="8"/>
        <v>338.29991317170402</v>
      </c>
      <c r="BI11" s="62">
        <f ca="1">AVERAGE(OFFSET($BH$3,0,0,'Données projet'!$E$11+1,1))-AVERAGE(OFFSET($H$3,0,0,'Données projet'!$E$11+1,1))</f>
        <v>502.06005292569733</v>
      </c>
      <c r="BJ11" s="62">
        <f t="shared" si="38"/>
        <v>297.06786598620607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2.532</v>
      </c>
      <c r="BY11" s="13">
        <f>IF('Données projet'!$A$114&gt;35,BY10+BX11-CG10,IF(A11&lt;'Données projet'!$A$114,$BV$205^A11,IF(A11='Données projet'!$A$114,'Données projet'!$B$114,BY10+BX11-CG10)))</f>
        <v>4.8061517461749519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7.05</v>
      </c>
      <c r="CT11" s="13">
        <f>IF('Données projet'!$A$140&gt;35,CT10+CS11-DB10,IF(A11&lt;'Données projet'!$A$140,$CQ$205^A11,IF(A11='Données projet'!$A$140,'Données projet'!$B$140,CT10+CS11-DB10)))</f>
        <v>36.54</v>
      </c>
      <c r="CU11" s="18">
        <f>CT11*VLOOKUP('Données projet'!$B$13,Paramètres!$A$1:$I$89,3,0)*VLOOKUP('Données projet'!$B$13,Paramètres!$A$1:$I$89,5,0)</f>
        <v>33.061391999999998</v>
      </c>
      <c r="CV11" s="14">
        <f t="shared" si="41"/>
        <v>10.139679310359687</v>
      </c>
      <c r="CW11" s="22">
        <f t="shared" si="13"/>
        <v>75.241865865543119</v>
      </c>
      <c r="CX11" s="62">
        <f t="shared" si="14"/>
        <v>341.68631030998756</v>
      </c>
      <c r="CY11" s="62">
        <f ca="1">AVERAGE(OFFSET($CX$3,0,0,'Données projet'!$E$13+1,1))-AVERAGE(OFFSET($H$3,0,0,'Données projet'!$E$13+1,1))</f>
        <v>204.787338911576</v>
      </c>
      <c r="CZ11" s="62">
        <f t="shared" si="42"/>
        <v>287.24932051638558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1.325</v>
      </c>
      <c r="DO11" s="13">
        <f>IF('Données projet'!$A$166&gt;35,DO10+DN11-DW10,IF(A11&lt;'Données projet'!$A$166,$DL$205^A11,IF(A11='Données projet'!$A$166,'Données projet'!$B$166,DO10+DN11-DW10)))</f>
        <v>10.6</v>
      </c>
      <c r="DP11" s="18">
        <f>DO11*VLOOKUP('Données projet'!$B$14,Paramètres!$A$1:$I$89,3,0)*VLOOKUP('Données projet'!$B$14,Paramètres!$A$1:$I$89,5,0)</f>
        <v>10.086959999999999</v>
      </c>
      <c r="DQ11" s="14">
        <f t="shared" si="43"/>
        <v>3.5520139663814656</v>
      </c>
      <c r="DR11" s="22">
        <f t="shared" si="16"/>
        <v>23.75454632478105</v>
      </c>
      <c r="DS11" s="62">
        <f t="shared" si="17"/>
        <v>290.19899076922553</v>
      </c>
      <c r="DT11" s="62">
        <f ca="1">AVERAGE(OFFSET($DS$3,0,0,'Données projet'!$E$14+1,1))-AVERAGE(OFFSET($H$3,0,0,'Données projet'!$E$14+1,1))</f>
        <v>309.55876703480277</v>
      </c>
      <c r="DU11" s="62">
        <f t="shared" si="44"/>
        <v>122.43799205838684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4.0476666666666672</v>
      </c>
      <c r="EJ11" s="13">
        <f>IF('Données projet'!$A$192&gt;35,EJ10+EI11-ER10,IF(A11&lt;'Données projet'!$A$192,$EG$205^A11,IF(A11='Données projet'!$A$192,'Données projet'!$B$192,EJ10+EI11-ER10)))</f>
        <v>3.5960048213096187</v>
      </c>
      <c r="EK11" s="18">
        <f>EJ11*VLOOKUP('Données projet'!$B$15,Paramètres!$A$1:$I$89,3,0)*VLOOKUP('Données projet'!$B$15,Paramètres!$A$1:$I$89,5,0)</f>
        <v>1.6829302563729016</v>
      </c>
      <c r="EL11" s="14">
        <f t="shared" si="45"/>
        <v>0.72996844535097327</v>
      </c>
      <c r="EM11" s="22">
        <f t="shared" si="19"/>
        <v>4.2024652388357486</v>
      </c>
      <c r="EN11" s="62">
        <f t="shared" si="20"/>
        <v>270.64690968328023</v>
      </c>
      <c r="EO11" s="62">
        <f ca="1">AVERAGE(OFFSET($EN$3,0,0,'Données projet'!$E$15+1,1))-AVERAGE(OFFSET($H$3,0,0,'Données projet'!$E$15+1,1))</f>
        <v>301.04834785168049</v>
      </c>
      <c r="EP11" s="62">
        <f t="shared" si="46"/>
        <v>164.1450425611464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3.1761666666666666</v>
      </c>
      <c r="FE11" s="13">
        <f>IF('Données projet'!$A$218&gt;35,FE10+FD11-FM10,IF(A11&lt;'Données projet'!$A$218,$FB$205^A11,IF(A11='Données projet'!$A$218,'Données projet'!$B$218,FE10+FD11-FM10)))</f>
        <v>25.409333333333333</v>
      </c>
      <c r="FF11" s="18">
        <f>FE11*VLOOKUP('Données projet'!$B$16,Paramètres!$A$1:$I$89,3,0)*VLOOKUP('Données projet'!$B$16,Paramètres!$A$1:$I$89,5,0)</f>
        <v>22.990364799999998</v>
      </c>
      <c r="FG11" s="14">
        <f t="shared" si="47"/>
        <v>7.3555303023880265</v>
      </c>
      <c r="FH11" s="22">
        <f t="shared" si="22"/>
        <v>52.852433969992468</v>
      </c>
      <c r="FI11" s="62">
        <f t="shared" si="23"/>
        <v>319.29687841443695</v>
      </c>
      <c r="FJ11" s="62">
        <f ca="1">AVERAGE(OFFSET($FI$3,0,0,'Données projet'!$E$16+1,1))-AVERAGE(OFFSET($H$3,0,0,'Données projet'!$E$16+1,1))</f>
        <v>330.53726676433649</v>
      </c>
      <c r="FK11" s="62">
        <f t="shared" si="48"/>
        <v>228.01260676706528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3.1761666666666666</v>
      </c>
      <c r="FZ11" s="13">
        <f>IF('Données projet'!$A$244&gt;35,FZ10+FY11-GH10,IF(A11&lt;'Données projet'!$A$244,$FW$205^A11,IF(A11='Données projet'!$A$244,'Données projet'!$B$244,FZ10+FY11-GH10)))</f>
        <v>25.409333333333333</v>
      </c>
      <c r="GA11" s="18">
        <f>FZ11*VLOOKUP('Données projet'!$B$17,Paramètres!$A$1:$I$89,3,0)*VLOOKUP('Données projet'!$B$17,Paramètres!$A$1:$I$89,5,0)</f>
        <v>28.936148799999998</v>
      </c>
      <c r="GB11" s="14">
        <f t="shared" si="49"/>
        <v>9.013243272232236</v>
      </c>
      <c r="GC11" s="22">
        <f t="shared" si="25"/>
        <v>66.095191192471148</v>
      </c>
      <c r="GD11" s="62">
        <f t="shared" si="26"/>
        <v>332.53963563691559</v>
      </c>
      <c r="GE11" s="62">
        <f ca="1">AVERAGE(OFFSET($GD$3,0,0,'Données projet'!$E$17+1,1))-AVERAGE(OFFSET($H$3,0,0,'Données projet'!$E$17+1,1))</f>
        <v>405.71017054131318</v>
      </c>
      <c r="GF11" s="62">
        <f t="shared" si="50"/>
        <v>276.12900965322166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3.1761666666666666</v>
      </c>
      <c r="GU11" s="13">
        <f>IF('Données projet'!$A$270&gt;35,GU10+GT11-HC10,IF(A11&lt;'Données projet'!$A$270,$GR$205^A11,IF(A11='Données projet'!$A$270,'Données projet'!$B$270,GU10+GT11-HC10)))</f>
        <v>25.409333333333333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3.887142857142857</v>
      </c>
      <c r="N12" s="14">
        <f>IF('Données projet'!$A$36&gt;35,N11+M12-V11,IF(A12&lt;'Données projet'!$A$36,$K$205^A12,IF(A12='Données projet'!$A$36,'Données projet'!$B$36,N11+M12-V11)))</f>
        <v>34.984285714285704</v>
      </c>
      <c r="O12" s="14">
        <f>N12*VLOOKUP('Données projet'!$B$9,Paramètres!$A$1:$I$89,3,0)*VLOOKUP('Données projet'!$B$9,Paramètres!$A$1:$I$89,5,0)</f>
        <v>31.653781714285703</v>
      </c>
      <c r="P12" s="14">
        <f t="shared" si="33"/>
        <v>9.757265618420071</v>
      </c>
      <c r="Q12" s="22">
        <f t="shared" si="2"/>
        <v>72.124240771129223</v>
      </c>
      <c r="R12" s="62">
        <f t="shared" si="0"/>
        <v>339.79090743779591</v>
      </c>
      <c r="S12" s="62">
        <f ca="1">AVERAGE(OFFSET($R$3,0,0,'Données projet'!$E$9+1,1))-AVERAGE(OFFSET($H$3,0,0,'Données projet'!$E$9+1,1))</f>
        <v>452.54136967045082</v>
      </c>
      <c r="T12" s="62">
        <f t="shared" si="34"/>
        <v>269.67340993773422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1.4873333333333332</v>
      </c>
      <c r="AI12" s="14">
        <f>IF('Données projet'!$A$62&gt;35,AI11+AH12-AQ11,IF(A12&lt;'Données projet'!$A$62,$AF$205^A12,IF(A12='Données projet'!$A$62,'Données projet'!$B$62,AI11+AH12-AQ11)))</f>
        <v>6.443172255328764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3.887142857142857</v>
      </c>
      <c r="BD12" s="13">
        <f>IF('Données projet'!$A$88&gt;35,BD11+BC12-BL11,IF(A12&lt;'Données projet'!$A$88,$BA$205^A12,IF(A12='Données projet'!$A$88,'Données projet'!$B$88,BD11+BC12-BL11)))</f>
        <v>34.984285714285704</v>
      </c>
      <c r="BE12" s="14">
        <f>BD12*VLOOKUP('Données projet'!$B$11,Paramètres!$A$1:$I$89,3,0)*VLOOKUP('Données projet'!$B$11,Paramètres!$A$1:$I$89,5,0)</f>
        <v>35.474065714285707</v>
      </c>
      <c r="BF12" s="14">
        <f t="shared" si="37"/>
        <v>10.790793821618898</v>
      </c>
      <c r="BG12" s="22">
        <f t="shared" si="7"/>
        <v>80.577963691700518</v>
      </c>
      <c r="BH12" s="62">
        <f t="shared" si="8"/>
        <v>348.2446303583672</v>
      </c>
      <c r="BI12" s="62">
        <f ca="1">AVERAGE(OFFSET($BH$3,0,0,'Données projet'!$E$11+1,1))-AVERAGE(OFFSET($H$3,0,0,'Données projet'!$E$11+1,1))</f>
        <v>502.06005292569733</v>
      </c>
      <c r="BJ12" s="62">
        <f t="shared" si="38"/>
        <v>297.06786598620607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2.532</v>
      </c>
      <c r="BY12" s="13">
        <f>IF('Données projet'!$A$114&gt;35,BY11+BX12-CG11,IF(A12&lt;'Données projet'!$A$114,$BV$205^A12,IF(A12='Données projet'!$A$114,'Données projet'!$B$114,BY11+BX12-CG11)))</f>
        <v>5.848199289075791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7.05</v>
      </c>
      <c r="CT12" s="13">
        <f>IF('Données projet'!$A$140&gt;35,CT11+CS12-DB11,IF(A12&lt;'Données projet'!$A$140,$CQ$205^A12,IF(A12='Données projet'!$A$140,'Données projet'!$B$140,CT11+CS12-DB11)))</f>
        <v>43.589999999999996</v>
      </c>
      <c r="CU12" s="18">
        <f>CT12*VLOOKUP('Données projet'!$B$13,Paramètres!$A$1:$I$89,3,0)*VLOOKUP('Données projet'!$B$13,Paramètres!$A$1:$I$89,5,0)</f>
        <v>39.440231999999995</v>
      </c>
      <c r="CV12" s="14">
        <f t="shared" si="41"/>
        <v>11.850158863634006</v>
      </c>
      <c r="CW12" s="22">
        <f t="shared" si="13"/>
        <v>89.330764087495879</v>
      </c>
      <c r="CX12" s="62">
        <f t="shared" si="14"/>
        <v>356.99743075416256</v>
      </c>
      <c r="CY12" s="62">
        <f ca="1">AVERAGE(OFFSET($CX$3,0,0,'Données projet'!$E$13+1,1))-AVERAGE(OFFSET($H$3,0,0,'Données projet'!$E$13+1,1))</f>
        <v>204.787338911576</v>
      </c>
      <c r="CZ12" s="62">
        <f t="shared" si="42"/>
        <v>287.24932051638558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1.325</v>
      </c>
      <c r="DO12" s="13">
        <f>IF('Données projet'!$A$166&gt;35,DO11+DN12-DW11,IF(A12&lt;'Données projet'!$A$166,$DL$205^A12,IF(A12='Données projet'!$A$166,'Données projet'!$B$166,DO11+DN12-DW11)))</f>
        <v>11.924999999999999</v>
      </c>
      <c r="DP12" s="18">
        <f>DO12*VLOOKUP('Données projet'!$B$14,Paramètres!$A$1:$I$89,3,0)*VLOOKUP('Données projet'!$B$14,Paramètres!$A$1:$I$89,5,0)</f>
        <v>11.34783</v>
      </c>
      <c r="DQ12" s="14">
        <f t="shared" si="43"/>
        <v>3.9416043955065514</v>
      </c>
      <c r="DR12" s="22">
        <f t="shared" si="16"/>
        <v>26.62909823884058</v>
      </c>
      <c r="DS12" s="62">
        <f t="shared" si="17"/>
        <v>294.29576490550727</v>
      </c>
      <c r="DT12" s="62">
        <f ca="1">AVERAGE(OFFSET($DS$3,0,0,'Données projet'!$E$14+1,1))-AVERAGE(OFFSET($H$3,0,0,'Données projet'!$E$14+1,1))</f>
        <v>309.55876703480277</v>
      </c>
      <c r="DU12" s="62">
        <f t="shared" si="44"/>
        <v>122.43799205838684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4.0476666666666672</v>
      </c>
      <c r="EJ12" s="13">
        <f>IF('Données projet'!$A$192&gt;35,EJ11+EI12-ER11,IF(A12&lt;'Données projet'!$A$192,$EG$205^A12,IF(A12='Données projet'!$A$192,'Données projet'!$B$192,EJ11+EI12-ER11)))</f>
        <v>4.2198576258127485</v>
      </c>
      <c r="EK12" s="18">
        <f>EJ12*VLOOKUP('Données projet'!$B$15,Paramètres!$A$1:$I$89,3,0)*VLOOKUP('Données projet'!$B$15,Paramètres!$A$1:$I$89,5,0)</f>
        <v>1.9748933688803663</v>
      </c>
      <c r="EL12" s="14">
        <f t="shared" si="45"/>
        <v>0.84080335392697747</v>
      </c>
      <c r="EM12" s="22">
        <f t="shared" si="19"/>
        <v>4.9040051255561234</v>
      </c>
      <c r="EN12" s="62">
        <f t="shared" si="20"/>
        <v>272.57067179222281</v>
      </c>
      <c r="EO12" s="62">
        <f ca="1">AVERAGE(OFFSET($EN$3,0,0,'Données projet'!$E$15+1,1))-AVERAGE(OFFSET($H$3,0,0,'Données projet'!$E$15+1,1))</f>
        <v>301.04834785168049</v>
      </c>
      <c r="EP12" s="62">
        <f t="shared" si="46"/>
        <v>164.1450425611464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3.1761666666666666</v>
      </c>
      <c r="FE12" s="13">
        <f>IF('Données projet'!$A$218&gt;35,FE11+FD12-FM11,IF(A12&lt;'Données projet'!$A$218,$FB$205^A12,IF(A12='Données projet'!$A$218,'Données projet'!$B$218,FE11+FD12-FM11)))</f>
        <v>28.5855</v>
      </c>
      <c r="FF12" s="18">
        <f>FE12*VLOOKUP('Données projet'!$B$16,Paramètres!$A$1:$I$89,3,0)*VLOOKUP('Données projet'!$B$16,Paramètres!$A$1:$I$89,5,0)</f>
        <v>25.864160399999999</v>
      </c>
      <c r="FG12" s="14">
        <f t="shared" si="47"/>
        <v>8.1622963326098095</v>
      </c>
      <c r="FH12" s="22">
        <f t="shared" si="22"/>
        <v>59.262745475962085</v>
      </c>
      <c r="FI12" s="62">
        <f t="shared" si="23"/>
        <v>326.92941214262879</v>
      </c>
      <c r="FJ12" s="62">
        <f ca="1">AVERAGE(OFFSET($FI$3,0,0,'Données projet'!$E$16+1,1))-AVERAGE(OFFSET($H$3,0,0,'Données projet'!$E$16+1,1))</f>
        <v>330.53726676433649</v>
      </c>
      <c r="FK12" s="62">
        <f t="shared" si="48"/>
        <v>228.01260676706528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3.1761666666666666</v>
      </c>
      <c r="FZ12" s="13">
        <f>IF('Données projet'!$A$244&gt;35,FZ11+FY12-GH11,IF(A12&lt;'Données projet'!$A$244,$FW$205^A12,IF(A12='Données projet'!$A$244,'Données projet'!$B$244,FZ11+FY12-GH11)))</f>
        <v>28.5855</v>
      </c>
      <c r="GA12" s="18">
        <f>FZ12*VLOOKUP('Données projet'!$B$17,Paramètres!$A$1:$I$89,3,0)*VLOOKUP('Données projet'!$B$17,Paramètres!$A$1:$I$89,5,0)</f>
        <v>32.5531674</v>
      </c>
      <c r="GB12" s="14">
        <f t="shared" si="49"/>
        <v>10.00182984522225</v>
      </c>
      <c r="GC12" s="22">
        <f t="shared" si="25"/>
        <v>74.116620202095433</v>
      </c>
      <c r="GD12" s="62">
        <f t="shared" si="26"/>
        <v>341.7832868687621</v>
      </c>
      <c r="GE12" s="62">
        <f ca="1">AVERAGE(OFFSET($GD$3,0,0,'Données projet'!$E$17+1,1))-AVERAGE(OFFSET($H$3,0,0,'Données projet'!$E$17+1,1))</f>
        <v>405.71017054131318</v>
      </c>
      <c r="GF12" s="62">
        <f t="shared" si="50"/>
        <v>276.12900965322166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3.1761666666666666</v>
      </c>
      <c r="GU12" s="13">
        <f>IF('Données projet'!$A$270&gt;35,GU11+GT12-HC11,IF(A12&lt;'Données projet'!$A$270,$GR$205^A12,IF(A12='Données projet'!$A$270,'Données projet'!$B$270,GU11+GT12-HC11)))</f>
        <v>28.5855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3.887142857142857</v>
      </c>
      <c r="N13" s="14">
        <f>IF('Données projet'!$A$36&gt;35,N12+M13-V12,IF(A13&lt;'Données projet'!$A$36,$K$205^A13,IF(A13='Données projet'!$A$36,'Données projet'!$B$36,N12+M13-V12)))</f>
        <v>38.871428571428559</v>
      </c>
      <c r="O13" s="14">
        <f>N13*VLOOKUP('Données projet'!$B$9,Paramètres!$A$1:$I$89,3,0)*VLOOKUP('Données projet'!$B$9,Paramètres!$A$1:$I$89,5,0)</f>
        <v>35.170868571428556</v>
      </c>
      <c r="P13" s="14">
        <f t="shared" si="33"/>
        <v>10.709259603674569</v>
      </c>
      <c r="Q13" s="22">
        <f t="shared" si="2"/>
        <v>79.90788990497127</v>
      </c>
      <c r="R13" s="62">
        <f t="shared" si="0"/>
        <v>348.79677879386014</v>
      </c>
      <c r="S13" s="62">
        <f ca="1">AVERAGE(OFFSET($R$3,0,0,'Données projet'!$E$9+1,1))-AVERAGE(OFFSET($H$3,0,0,'Données projet'!$E$9+1,1))</f>
        <v>452.54136967045082</v>
      </c>
      <c r="T13" s="62">
        <f t="shared" si="34"/>
        <v>269.67340993773422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1.4873333333333332</v>
      </c>
      <c r="AI13" s="14">
        <f>IF('Données projet'!$A$62&gt;35,AI12+AH13-AQ12,IF(A13&lt;'Données projet'!$A$62,$AF$205^A13,IF(A13='Données projet'!$A$62,'Données projet'!$B$62,AI12+AH13-AQ12)))</f>
        <v>7.9250080771610802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3.887142857142857</v>
      </c>
      <c r="BD13" s="13">
        <f>IF('Données projet'!$A$88&gt;35,BD12+BC13-BL12,IF(A13&lt;'Données projet'!$A$88,$BA$205^A13,IF(A13='Données projet'!$A$88,'Données projet'!$B$88,BD12+BC13-BL12)))</f>
        <v>38.871428571428559</v>
      </c>
      <c r="BE13" s="14">
        <f>BD13*VLOOKUP('Données projet'!$B$11,Paramètres!$A$1:$I$89,3,0)*VLOOKUP('Données projet'!$B$11,Paramètres!$A$1:$I$89,5,0)</f>
        <v>39.415628571428563</v>
      </c>
      <c r="BF13" s="14">
        <f t="shared" si="37"/>
        <v>11.843626778724154</v>
      </c>
      <c r="BG13" s="22">
        <f t="shared" si="7"/>
        <v>89.276536401515969</v>
      </c>
      <c r="BH13" s="62">
        <f t="shared" si="8"/>
        <v>358.16542529040481</v>
      </c>
      <c r="BI13" s="62">
        <f ca="1">AVERAGE(OFFSET($BH$3,0,0,'Données projet'!$E$11+1,1))-AVERAGE(OFFSET($H$3,0,0,'Données projet'!$E$11+1,1))</f>
        <v>502.06005292569733</v>
      </c>
      <c r="BJ13" s="62">
        <f t="shared" si="38"/>
        <v>297.06786598620607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2.532</v>
      </c>
      <c r="BY13" s="13">
        <f>IF('Données projet'!$A$114&gt;35,BY12+BX13-CG12,IF(A13&lt;'Données projet'!$A$114,$BV$205^A13,IF(A13='Données projet'!$A$114,'Données projet'!$B$114,BY12+BX13-CG12)))</f>
        <v>7.1161787498628852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50.64</v>
      </c>
      <c r="CR13" s="13">
        <f>VLOOKUP(A13,'Données projet'!$A$139:$I$159,9,0)</f>
        <v>7.05</v>
      </c>
      <c r="CS13" s="13">
        <f t="array" ref="CS13">INDEX(CR:CR,MIN(IF(ISNUMBER(CR13:CR209),ROW(CR13:CR209),"")))</f>
        <v>7.05</v>
      </c>
      <c r="CT13" s="13">
        <f>IF('Données projet'!$A$140&gt;35,CT12+CS13-DB12,IF(A13&lt;'Données projet'!$A$140,$CQ$205^A13,IF(A13='Données projet'!$A$140,'Données projet'!$B$140,CT12+CS13-DB12)))</f>
        <v>50.639999999999993</v>
      </c>
      <c r="CU13" s="18">
        <f>CT13*VLOOKUP('Données projet'!$B$13,Paramètres!$A$1:$I$89,3,0)*VLOOKUP('Données projet'!$B$13,Paramètres!$A$1:$I$89,5,0)</f>
        <v>45.819071999999991</v>
      </c>
      <c r="CV13" s="14">
        <f t="shared" si="41"/>
        <v>13.528590953093563</v>
      </c>
      <c r="CW13" s="22">
        <f t="shared" si="13"/>
        <v>103.36384630997127</v>
      </c>
      <c r="CX13" s="62">
        <f t="shared" si="14"/>
        <v>372.25273519886014</v>
      </c>
      <c r="CY13" s="62">
        <f ca="1">AVERAGE(OFFSET($CX$3,0,0,'Données projet'!$E$13+1,1))-AVERAGE(OFFSET($H$3,0,0,'Données projet'!$E$13+1,1))</f>
        <v>204.787338911576</v>
      </c>
      <c r="CZ13" s="62">
        <f t="shared" si="42"/>
        <v>287.24932051638558</v>
      </c>
      <c r="DA13" s="16">
        <f>IF(ISNA(VLOOKUP(A13,'Données projet'!$A$139:$I$159,3,0)),0,VLOOKUP(A13,'Données projet'!$A$139:$I$159,3,0))</f>
        <v>2</v>
      </c>
      <c r="DB13" s="16">
        <f>IF(ISNA(VLOOKUP(A13,'Données projet'!$A$139:$I$159,4,0)),0,VLOOKUP(A13,'Données projet'!$A$139:$I$159,4,0))</f>
        <v>13.46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1.325</v>
      </c>
      <c r="DO13" s="13">
        <f>IF('Données projet'!$A$166&gt;35,DO12+DN13-DW12,IF(A13&lt;'Données projet'!$A$166,$DL$205^A13,IF(A13='Données projet'!$A$166,'Données projet'!$B$166,DO12+DN13-DW12)))</f>
        <v>13.249999999999998</v>
      </c>
      <c r="DP13" s="18">
        <f>DO13*VLOOKUP('Données projet'!$B$14,Paramètres!$A$1:$I$89,3,0)*VLOOKUP('Données projet'!$B$14,Paramètres!$A$1:$I$89,5,0)</f>
        <v>12.608699999999999</v>
      </c>
      <c r="DQ13" s="14">
        <f t="shared" si="43"/>
        <v>4.3261776789980946</v>
      </c>
      <c r="DR13" s="22">
        <f t="shared" si="16"/>
        <v>29.494911957588343</v>
      </c>
      <c r="DS13" s="62">
        <f t="shared" si="17"/>
        <v>298.38380084647719</v>
      </c>
      <c r="DT13" s="62">
        <f ca="1">AVERAGE(OFFSET($DS$3,0,0,'Données projet'!$E$14+1,1))-AVERAGE(OFFSET($H$3,0,0,'Données projet'!$E$14+1,1))</f>
        <v>309.55876703480277</v>
      </c>
      <c r="DU13" s="62">
        <f t="shared" si="44"/>
        <v>122.43799205838684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4.0476666666666672</v>
      </c>
      <c r="EJ13" s="13">
        <f>IF('Données projet'!$A$192&gt;35,EJ12+EI13-ER12,IF(A13&lt;'Données projet'!$A$192,$EG$205^A13,IF(A13='Données projet'!$A$192,'Données projet'!$B$192,EJ12+EI13-ER12)))</f>
        <v>4.9519395181580572</v>
      </c>
      <c r="EK13" s="18">
        <f>EJ13*VLOOKUP('Données projet'!$B$15,Paramètres!$A$1:$I$89,3,0)*VLOOKUP('Données projet'!$B$15,Paramètres!$A$1:$I$89,5,0)</f>
        <v>2.3175076944979707</v>
      </c>
      <c r="EL13" s="14">
        <f t="shared" si="45"/>
        <v>0.96846690357272658</v>
      </c>
      <c r="EM13" s="22">
        <f t="shared" si="19"/>
        <v>5.7230724249731315</v>
      </c>
      <c r="EN13" s="62">
        <f t="shared" si="20"/>
        <v>274.61196131386197</v>
      </c>
      <c r="EO13" s="62">
        <f ca="1">AVERAGE(OFFSET($EN$3,0,0,'Données projet'!$E$15+1,1))-AVERAGE(OFFSET($H$3,0,0,'Données projet'!$E$15+1,1))</f>
        <v>301.04834785168049</v>
      </c>
      <c r="EP13" s="62">
        <f t="shared" si="46"/>
        <v>164.1450425611464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3.1761666666666666</v>
      </c>
      <c r="FE13" s="13">
        <f>IF('Données projet'!$A$218&gt;35,FE12+FD13-FM12,IF(A13&lt;'Données projet'!$A$218,$FB$205^A13,IF(A13='Données projet'!$A$218,'Données projet'!$B$218,FE12+FD13-FM12)))</f>
        <v>31.761666666666667</v>
      </c>
      <c r="FF13" s="18">
        <f>FE13*VLOOKUP('Données projet'!$B$16,Paramètres!$A$1:$I$89,3,0)*VLOOKUP('Données projet'!$B$16,Paramètres!$A$1:$I$89,5,0)</f>
        <v>28.737956000000001</v>
      </c>
      <c r="FG13" s="14">
        <f t="shared" si="47"/>
        <v>8.9586728297136826</v>
      </c>
      <c r="FH13" s="22">
        <f t="shared" si="22"/>
        <v>65.654961878417993</v>
      </c>
      <c r="FI13" s="62">
        <f t="shared" si="23"/>
        <v>334.54385076730682</v>
      </c>
      <c r="FJ13" s="62">
        <f ca="1">AVERAGE(OFFSET($FI$3,0,0,'Données projet'!$E$16+1,1))-AVERAGE(OFFSET($H$3,0,0,'Données projet'!$E$16+1,1))</f>
        <v>330.53726676433649</v>
      </c>
      <c r="FK13" s="62">
        <f t="shared" si="48"/>
        <v>228.01260676706528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3.1761666666666666</v>
      </c>
      <c r="FZ13" s="13">
        <f>IF('Données projet'!$A$244&gt;35,FZ12+FY13-GH12,IF(A13&lt;'Données projet'!$A$244,$FW$205^A13,IF(A13='Données projet'!$A$244,'Données projet'!$B$244,FZ12+FY13-GH12)))</f>
        <v>31.761666666666667</v>
      </c>
      <c r="GA13" s="18">
        <f>FZ13*VLOOKUP('Données projet'!$B$17,Paramètres!$A$1:$I$89,3,0)*VLOOKUP('Données projet'!$B$17,Paramètres!$A$1:$I$89,5,0)</f>
        <v>36.170186000000001</v>
      </c>
      <c r="GB13" s="14">
        <f t="shared" si="49"/>
        <v>10.977685400103857</v>
      </c>
      <c r="GC13" s="22">
        <f t="shared" si="25"/>
        <v>82.115876021847555</v>
      </c>
      <c r="GD13" s="62">
        <f t="shared" si="26"/>
        <v>351.00476491073641</v>
      </c>
      <c r="GE13" s="62">
        <f ca="1">AVERAGE(OFFSET($GD$3,0,0,'Données projet'!$E$17+1,1))-AVERAGE(OFFSET($H$3,0,0,'Données projet'!$E$17+1,1))</f>
        <v>405.71017054131318</v>
      </c>
      <c r="GF13" s="62">
        <f t="shared" si="50"/>
        <v>276.12900965322166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3.1761666666666666</v>
      </c>
      <c r="GU13" s="13">
        <f>IF('Données projet'!$A$270&gt;35,GU12+GT13-HC12,IF(A13&lt;'Données projet'!$A$270,$GR$205^A13,IF(A13='Données projet'!$A$270,'Données projet'!$B$270,GU12+GT13-HC12)))</f>
        <v>31.761666666666667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3.887142857142857</v>
      </c>
      <c r="N14" s="14">
        <f>IF('Données projet'!$A$36&gt;35,N13+M14-V13,IF(A14&lt;'Données projet'!$A$36,$K$205^A14,IF(A14='Données projet'!$A$36,'Données projet'!$B$36,N13+M14-V13)))</f>
        <v>42.758571428571415</v>
      </c>
      <c r="O14" s="14">
        <f>N14*VLOOKUP('Données projet'!$B$9,Paramètres!$A$1:$I$89,3,0)*VLOOKUP('Données projet'!$B$9,Paramètres!$A$1:$I$89,5,0)</f>
        <v>38.687955428571414</v>
      </c>
      <c r="P14" s="14">
        <f t="shared" si="33"/>
        <v>11.650217223542473</v>
      </c>
      <c r="Q14" s="22">
        <f t="shared" si="2"/>
        <v>87.672317369098337</v>
      </c>
      <c r="R14" s="62">
        <f t="shared" si="0"/>
        <v>357.78342848020947</v>
      </c>
      <c r="S14" s="62">
        <f ca="1">AVERAGE(OFFSET($R$3,0,0,'Données projet'!$E$9+1,1))-AVERAGE(OFFSET($H$3,0,0,'Données projet'!$E$9+1,1))</f>
        <v>452.54136967045082</v>
      </c>
      <c r="T14" s="62">
        <f t="shared" si="34"/>
        <v>269.67340993773422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1.4873333333333332</v>
      </c>
      <c r="AI14" s="14">
        <f>IF('Données projet'!$A$62&gt;35,AI13+AH14-AQ13,IF(A14&lt;'Données projet'!$A$62,$AF$205^A14,IF(A14='Données projet'!$A$62,'Données projet'!$B$62,AI13+AH14-AQ13)))</f>
        <v>9.7476445660948237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3.887142857142857</v>
      </c>
      <c r="BD14" s="13">
        <f>IF('Données projet'!$A$88&gt;35,BD13+BC14-BL13,IF(A14&lt;'Données projet'!$A$88,$BA$205^A14,IF(A14='Données projet'!$A$88,'Données projet'!$B$88,BD13+BC14-BL13)))</f>
        <v>42.758571428571415</v>
      </c>
      <c r="BE14" s="14">
        <f>BD14*VLOOKUP('Données projet'!$B$11,Paramètres!$A$1:$I$89,3,0)*VLOOKUP('Données projet'!$B$11,Paramètres!$A$1:$I$89,5,0)</f>
        <v>43.357191428571419</v>
      </c>
      <c r="BF14" s="14">
        <f t="shared" si="37"/>
        <v>12.884254354928219</v>
      </c>
      <c r="BG14" s="22">
        <f t="shared" si="7"/>
        <v>97.953851406261848</v>
      </c>
      <c r="BH14" s="62">
        <f t="shared" si="8"/>
        <v>368.06496251737298</v>
      </c>
      <c r="BI14" s="62">
        <f ca="1">AVERAGE(OFFSET($BH$3,0,0,'Données projet'!$E$11+1,1))-AVERAGE(OFFSET($H$3,0,0,'Données projet'!$E$11+1,1))</f>
        <v>502.06005292569733</v>
      </c>
      <c r="BJ14" s="62">
        <f t="shared" si="38"/>
        <v>297.06786598620607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2.532</v>
      </c>
      <c r="BY14" s="13">
        <f>IF('Données projet'!$A$114&gt;35,BY13+BX14-CG13,IF(A14&lt;'Données projet'!$A$114,$BV$205^A14,IF(A14='Données projet'!$A$114,'Données projet'!$B$114,BY13+BX14-CG13)))</f>
        <v>8.6590756396748727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7.0519999999999996</v>
      </c>
      <c r="CT14" s="13">
        <f>IF('Données projet'!$A$140&gt;35,CT13+CS14-DB13,IF(A14&lt;'Données projet'!$A$140,$CQ$205^A14,IF(A14='Données projet'!$A$140,'Données projet'!$B$140,CT13+CS14-DB13)))</f>
        <v>44.231999999999992</v>
      </c>
      <c r="CU14" s="18">
        <f>CT14*VLOOKUP('Données projet'!$B$13,Paramètres!$A$1:$I$89,3,0)*VLOOKUP('Données projet'!$B$13,Paramètres!$A$1:$I$89,5,0)</f>
        <v>40.021113599999993</v>
      </c>
      <c r="CV14" s="14">
        <f t="shared" si="41"/>
        <v>12.004242896820628</v>
      </c>
      <c r="CW14" s="22">
        <f t="shared" si="13"/>
        <v>90.610829231962569</v>
      </c>
      <c r="CX14" s="62">
        <f t="shared" si="14"/>
        <v>360.7219403430737</v>
      </c>
      <c r="CY14" s="62">
        <f ca="1">AVERAGE(OFFSET($CX$3,0,0,'Données projet'!$E$13+1,1))-AVERAGE(OFFSET($H$3,0,0,'Données projet'!$E$13+1,1))</f>
        <v>204.787338911576</v>
      </c>
      <c r="CZ14" s="62">
        <f t="shared" si="42"/>
        <v>287.24932051638558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1.325</v>
      </c>
      <c r="DO14" s="13">
        <f>IF('Données projet'!$A$166&gt;35,DO13+DN14-DW13,IF(A14&lt;'Données projet'!$A$166,$DL$205^A14,IF(A14='Données projet'!$A$166,'Données projet'!$B$166,DO13+DN14-DW13)))</f>
        <v>14.574999999999998</v>
      </c>
      <c r="DP14" s="18">
        <f>DO14*VLOOKUP('Données projet'!$B$14,Paramètres!$A$1:$I$89,3,0)*VLOOKUP('Données projet'!$B$14,Paramètres!$A$1:$I$89,5,0)</f>
        <v>13.86957</v>
      </c>
      <c r="DQ14" s="14">
        <f t="shared" si="43"/>
        <v>4.7062926451680172</v>
      </c>
      <c r="DR14" s="22">
        <f t="shared" si="16"/>
        <v>32.352960773667625</v>
      </c>
      <c r="DS14" s="62">
        <f t="shared" si="17"/>
        <v>302.46407188477878</v>
      </c>
      <c r="DT14" s="62">
        <f ca="1">AVERAGE(OFFSET($DS$3,0,0,'Données projet'!$E$14+1,1))-AVERAGE(OFFSET($H$3,0,0,'Données projet'!$E$14+1,1))</f>
        <v>309.55876703480277</v>
      </c>
      <c r="DU14" s="62">
        <f t="shared" si="44"/>
        <v>122.43799205838684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4.0476666666666672</v>
      </c>
      <c r="EJ14" s="13">
        <f>IF('Données projet'!$A$192&gt;35,EJ13+EI14-ER13,IF(A14&lt;'Données projet'!$A$192,$EG$205^A14,IF(A14='Données projet'!$A$192,'Données projet'!$B$192,EJ13+EI14-ER13)))</f>
        <v>5.8110266188832735</v>
      </c>
      <c r="EK14" s="18">
        <f>EJ14*VLOOKUP('Données projet'!$B$15,Paramètres!$A$1:$I$89,3,0)*VLOOKUP('Données projet'!$B$15,Paramètres!$A$1:$I$89,5,0)</f>
        <v>2.719560457637372</v>
      </c>
      <c r="EL14" s="14">
        <f t="shared" si="45"/>
        <v>1.1155142744556685</v>
      </c>
      <c r="EM14" s="22">
        <f t="shared" si="19"/>
        <v>6.6794218250620458</v>
      </c>
      <c r="EN14" s="62">
        <f t="shared" si="20"/>
        <v>276.79053293617318</v>
      </c>
      <c r="EO14" s="62">
        <f ca="1">AVERAGE(OFFSET($EN$3,0,0,'Données projet'!$E$15+1,1))-AVERAGE(OFFSET($H$3,0,0,'Données projet'!$E$15+1,1))</f>
        <v>301.04834785168049</v>
      </c>
      <c r="EP14" s="62">
        <f t="shared" si="46"/>
        <v>164.1450425611464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3.1761666666666666</v>
      </c>
      <c r="FE14" s="13">
        <f>IF('Données projet'!$A$218&gt;35,FE13+FD14-FM13,IF(A14&lt;'Données projet'!$A$218,$FB$205^A14,IF(A14='Données projet'!$A$218,'Données projet'!$B$218,FE13+FD14-FM13)))</f>
        <v>34.93783333333333</v>
      </c>
      <c r="FF14" s="18">
        <f>FE14*VLOOKUP('Données projet'!$B$16,Paramètres!$A$1:$I$89,3,0)*VLOOKUP('Données projet'!$B$16,Paramètres!$A$1:$I$89,5,0)</f>
        <v>31.611751599999995</v>
      </c>
      <c r="FG14" s="14">
        <f t="shared" si="47"/>
        <v>9.7458170184800252</v>
      </c>
      <c r="FH14" s="22">
        <f t="shared" si="22"/>
        <v>72.031098677186023</v>
      </c>
      <c r="FI14" s="62">
        <f t="shared" si="23"/>
        <v>342.14220978829718</v>
      </c>
      <c r="FJ14" s="62">
        <f ca="1">AVERAGE(OFFSET($FI$3,0,0,'Données projet'!$E$16+1,1))-AVERAGE(OFFSET($H$3,0,0,'Données projet'!$E$16+1,1))</f>
        <v>330.53726676433649</v>
      </c>
      <c r="FK14" s="62">
        <f t="shared" si="48"/>
        <v>228.01260676706528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3.1761666666666666</v>
      </c>
      <c r="FZ14" s="13">
        <f>IF('Données projet'!$A$244&gt;35,FZ13+FY14-GH13,IF(A14&lt;'Données projet'!$A$244,$FW$205^A14,IF(A14='Données projet'!$A$244,'Données projet'!$B$244,FZ13+FY14-GH13)))</f>
        <v>34.93783333333333</v>
      </c>
      <c r="GA14" s="18">
        <f>FZ14*VLOOKUP('Données projet'!$B$17,Paramètres!$A$1:$I$89,3,0)*VLOOKUP('Données projet'!$B$17,Paramètres!$A$1:$I$89,5,0)</f>
        <v>39.787204599999995</v>
      </c>
      <c r="GB14" s="14">
        <f t="shared" si="49"/>
        <v>11.942227964950831</v>
      </c>
      <c r="GC14" s="22">
        <f t="shared" si="25"/>
        <v>90.095428383956019</v>
      </c>
      <c r="GD14" s="62">
        <f t="shared" si="26"/>
        <v>360.20653949506715</v>
      </c>
      <c r="GE14" s="62">
        <f ca="1">AVERAGE(OFFSET($GD$3,0,0,'Données projet'!$E$17+1,1))-AVERAGE(OFFSET($H$3,0,0,'Données projet'!$E$17+1,1))</f>
        <v>405.71017054131318</v>
      </c>
      <c r="GF14" s="62">
        <f t="shared" si="50"/>
        <v>276.12900965322166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3.1761666666666666</v>
      </c>
      <c r="GU14" s="13">
        <f>IF('Données projet'!$A$270&gt;35,GU13+GT14-HC13,IF(A14&lt;'Données projet'!$A$270,$GR$205^A14,IF(A14='Données projet'!$A$270,'Données projet'!$B$270,GU13+GT14-HC13)))</f>
        <v>34.93783333333333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3.887142857142857</v>
      </c>
      <c r="N15" s="14">
        <f>IF('Données projet'!$A$36&gt;35,N14+M15-V14,IF(A15&lt;'Données projet'!$A$36,$K$205^A15,IF(A15='Données projet'!$A$36,'Données projet'!$B$36,N14+M15-V14)))</f>
        <v>46.64571428571427</v>
      </c>
      <c r="O15" s="14">
        <f>N15*VLOOKUP('Données projet'!$B$9,Paramètres!$A$1:$I$89,3,0)*VLOOKUP('Données projet'!$B$9,Paramètres!$A$1:$I$89,5,0)</f>
        <v>42.205042285714271</v>
      </c>
      <c r="P15" s="14">
        <f t="shared" si="33"/>
        <v>12.581255887241159</v>
      </c>
      <c r="Q15" s="22">
        <f t="shared" si="2"/>
        <v>95.419469317897367</v>
      </c>
      <c r="R15" s="62">
        <f t="shared" si="0"/>
        <v>366.7528026512307</v>
      </c>
      <c r="S15" s="62">
        <f ca="1">AVERAGE(OFFSET($R$3,0,0,'Données projet'!$E$9+1,1))-AVERAGE(OFFSET($H$3,0,0,'Données projet'!$E$9+1,1))</f>
        <v>452.54136967045082</v>
      </c>
      <c r="T15" s="62">
        <f t="shared" si="34"/>
        <v>269.67340993773422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1.4873333333333332</v>
      </c>
      <c r="AI15" s="14">
        <f>IF('Données projet'!$A$62&gt;35,AI14+AH15-AQ14,IF(A15&lt;'Données projet'!$A$62,$AF$205^A15,IF(A15='Données projet'!$A$62,'Données projet'!$B$62,AI14+AH15-AQ14)))</f>
        <v>11.989460914335758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3.887142857142857</v>
      </c>
      <c r="BD15" s="13">
        <f>IF('Données projet'!$A$88&gt;35,BD14+BC15-BL14,IF(A15&lt;'Données projet'!$A$88,$BA$205^A15,IF(A15='Données projet'!$A$88,'Données projet'!$B$88,BD14+BC15-BL14)))</f>
        <v>46.64571428571427</v>
      </c>
      <c r="BE15" s="14">
        <f>BD15*VLOOKUP('Données projet'!$B$11,Paramètres!$A$1:$I$89,3,0)*VLOOKUP('Données projet'!$B$11,Paramètres!$A$1:$I$89,5,0)</f>
        <v>47.298754285714274</v>
      </c>
      <c r="BF15" s="14">
        <f t="shared" si="37"/>
        <v>13.913912319856609</v>
      </c>
      <c r="BG15" s="22">
        <f t="shared" si="7"/>
        <v>106.6120610047026</v>
      </c>
      <c r="BH15" s="62">
        <f t="shared" si="8"/>
        <v>377.9453943380359</v>
      </c>
      <c r="BI15" s="62">
        <f ca="1">AVERAGE(OFFSET($BH$3,0,0,'Données projet'!$E$11+1,1))-AVERAGE(OFFSET($H$3,0,0,'Données projet'!$E$11+1,1))</f>
        <v>502.06005292569733</v>
      </c>
      <c r="BJ15" s="62">
        <f t="shared" si="38"/>
        <v>297.06786598620607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2.532</v>
      </c>
      <c r="BY15" s="13">
        <f>IF('Données projet'!$A$114&gt;35,BY14+BX15-CG14,IF(A15&lt;'Données projet'!$A$114,$BV$205^A15,IF(A15='Données projet'!$A$114,'Données projet'!$B$114,BY14+BX15-CG14)))</f>
        <v>10.536496281105293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7.0519999999999996</v>
      </c>
      <c r="CT15" s="13">
        <f>IF('Données projet'!$A$140&gt;35,CT14+CS15-DB14,IF(A15&lt;'Données projet'!$A$140,$CQ$205^A15,IF(A15='Données projet'!$A$140,'Données projet'!$B$140,CT14+CS15-DB14)))</f>
        <v>51.283999999999992</v>
      </c>
      <c r="CU15" s="18">
        <f>CT15*VLOOKUP('Données projet'!$B$13,Paramètres!$A$1:$I$89,3,0)*VLOOKUP('Données projet'!$B$13,Paramètres!$A$1:$I$89,5,0)</f>
        <v>46.401763199999991</v>
      </c>
      <c r="CV15" s="14">
        <f t="shared" si="41"/>
        <v>13.680498865962592</v>
      </c>
      <c r="CW15" s="22">
        <f t="shared" si="13"/>
        <v>104.64327309821816</v>
      </c>
      <c r="CX15" s="62">
        <f t="shared" si="14"/>
        <v>375.97660643155149</v>
      </c>
      <c r="CY15" s="62">
        <f ca="1">AVERAGE(OFFSET($CX$3,0,0,'Données projet'!$E$13+1,1))-AVERAGE(OFFSET($H$3,0,0,'Données projet'!$E$13+1,1))</f>
        <v>204.787338911576</v>
      </c>
      <c r="CZ15" s="62">
        <f t="shared" si="42"/>
        <v>287.24932051638558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1.325</v>
      </c>
      <c r="DO15" s="13">
        <f>IF('Données projet'!$A$166&gt;35,DO14+DN15-DW14,IF(A15&lt;'Données projet'!$A$166,$DL$205^A15,IF(A15='Données projet'!$A$166,'Données projet'!$B$166,DO14+DN15-DW14)))</f>
        <v>15.899999999999997</v>
      </c>
      <c r="DP15" s="18">
        <f>DO15*VLOOKUP('Données projet'!$B$14,Paramètres!$A$1:$I$89,3,0)*VLOOKUP('Données projet'!$B$14,Paramètres!$A$1:$I$89,5,0)</f>
        <v>15.130439999999998</v>
      </c>
      <c r="DQ15" s="14">
        <f t="shared" si="43"/>
        <v>5.0824006894435927</v>
      </c>
      <c r="DR15" s="22">
        <f t="shared" si="16"/>
        <v>35.204030867447585</v>
      </c>
      <c r="DS15" s="62">
        <f t="shared" si="17"/>
        <v>306.53736420078087</v>
      </c>
      <c r="DT15" s="62">
        <f ca="1">AVERAGE(OFFSET($DS$3,0,0,'Données projet'!$E$14+1,1))-AVERAGE(OFFSET($H$3,0,0,'Données projet'!$E$14+1,1))</f>
        <v>309.55876703480277</v>
      </c>
      <c r="DU15" s="62">
        <f t="shared" si="44"/>
        <v>122.43799205838684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4.0476666666666672</v>
      </c>
      <c r="EJ15" s="13">
        <f>IF('Données projet'!$A$192&gt;35,EJ14+EI15-ER14,IF(A15&lt;'Données projet'!$A$192,$EG$205^A15,IF(A15='Données projet'!$A$192,'Données projet'!$B$192,EJ14+EI15-ER14)))</f>
        <v>6.8191524233176528</v>
      </c>
      <c r="EK15" s="18">
        <f>EJ15*VLOOKUP('Données projet'!$B$15,Paramètres!$A$1:$I$89,3,0)*VLOOKUP('Données projet'!$B$15,Paramètres!$A$1:$I$89,5,0)</f>
        <v>3.1913633341126615</v>
      </c>
      <c r="EL15" s="14">
        <f t="shared" si="45"/>
        <v>1.2848886130479014</v>
      </c>
      <c r="EM15" s="22">
        <f t="shared" si="19"/>
        <v>7.796138807971313</v>
      </c>
      <c r="EN15" s="62">
        <f t="shared" si="20"/>
        <v>279.12947214130463</v>
      </c>
      <c r="EO15" s="62">
        <f ca="1">AVERAGE(OFFSET($EN$3,0,0,'Données projet'!$E$15+1,1))-AVERAGE(OFFSET($H$3,0,0,'Données projet'!$E$15+1,1))</f>
        <v>301.04834785168049</v>
      </c>
      <c r="EP15" s="62">
        <f t="shared" si="46"/>
        <v>164.1450425611464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3.1761666666666666</v>
      </c>
      <c r="FE15" s="13">
        <f>IF('Données projet'!$A$218&gt;35,FE14+FD15-FM14,IF(A15&lt;'Données projet'!$A$218,$FB$205^A15,IF(A15='Données projet'!$A$218,'Données projet'!$B$218,FE14+FD15-FM14)))</f>
        <v>38.113999999999997</v>
      </c>
      <c r="FF15" s="18">
        <f>FE15*VLOOKUP('Données projet'!$B$16,Paramètres!$A$1:$I$89,3,0)*VLOOKUP('Données projet'!$B$16,Paramètres!$A$1:$I$89,5,0)</f>
        <v>34.485547199999999</v>
      </c>
      <c r="FG15" s="14">
        <f t="shared" si="47"/>
        <v>10.524663651073414</v>
      </c>
      <c r="FH15" s="22">
        <f t="shared" si="22"/>
        <v>78.392783898952857</v>
      </c>
      <c r="FI15" s="62">
        <f t="shared" si="23"/>
        <v>349.72611723228619</v>
      </c>
      <c r="FJ15" s="62">
        <f ca="1">AVERAGE(OFFSET($FI$3,0,0,'Données projet'!$E$16+1,1))-AVERAGE(OFFSET($H$3,0,0,'Données projet'!$E$16+1,1))</f>
        <v>330.53726676433649</v>
      </c>
      <c r="FK15" s="62">
        <f t="shared" si="48"/>
        <v>228.01260676706528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3.1761666666666666</v>
      </c>
      <c r="FZ15" s="13">
        <f>IF('Données projet'!$A$244&gt;35,FZ14+FY15-GH14,IF(A15&lt;'Données projet'!$A$244,$FW$205^A15,IF(A15='Données projet'!$A$244,'Données projet'!$B$244,FZ14+FY15-GH14)))</f>
        <v>38.113999999999997</v>
      </c>
      <c r="GA15" s="18">
        <f>FZ15*VLOOKUP('Données projet'!$B$17,Paramètres!$A$1:$I$89,3,0)*VLOOKUP('Données projet'!$B$17,Paramètres!$A$1:$I$89,5,0)</f>
        <v>43.404223199999997</v>
      </c>
      <c r="GB15" s="14">
        <f t="shared" si="49"/>
        <v>12.89660295665524</v>
      </c>
      <c r="GC15" s="22">
        <f t="shared" si="25"/>
        <v>98.057272222841206</v>
      </c>
      <c r="GD15" s="62">
        <f t="shared" si="26"/>
        <v>369.39060555617453</v>
      </c>
      <c r="GE15" s="62">
        <f ca="1">AVERAGE(OFFSET($GD$3,0,0,'Données projet'!$E$17+1,1))-AVERAGE(OFFSET($H$3,0,0,'Données projet'!$E$17+1,1))</f>
        <v>405.71017054131318</v>
      </c>
      <c r="GF15" s="62">
        <f t="shared" si="50"/>
        <v>276.12900965322166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3.1761666666666666</v>
      </c>
      <c r="GU15" s="13">
        <f>IF('Données projet'!$A$270&gt;35,GU14+GT15-HC14,IF(A15&lt;'Données projet'!$A$270,$GR$205^A15,IF(A15='Données projet'!$A$270,'Données projet'!$B$270,GU14+GT15-HC14)))</f>
        <v>38.113999999999997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3.887142857142857</v>
      </c>
      <c r="N16" s="14">
        <f>IF('Données projet'!$A$36&gt;35,N15+M16-V15,IF(A16&lt;'Données projet'!$A$36,$K$205^A16,IF(A16='Données projet'!$A$36,'Données projet'!$B$36,N15+M16-V15)))</f>
        <v>50.532857142857125</v>
      </c>
      <c r="O16" s="14">
        <f>N16*VLOOKUP('Données projet'!$B$9,Paramètres!$A$1:$I$89,3,0)*VLOOKUP('Données projet'!$B$9,Paramètres!$A$1:$I$89,5,0)</f>
        <v>45.722129142857128</v>
      </c>
      <c r="P16" s="14">
        <f t="shared" si="33"/>
        <v>13.50329614922042</v>
      </c>
      <c r="Q16" s="22">
        <f t="shared" si="2"/>
        <v>103.1509490503684</v>
      </c>
      <c r="R16" s="62">
        <f t="shared" si="0"/>
        <v>375.70650460592395</v>
      </c>
      <c r="S16" s="62">
        <f ca="1">AVERAGE(OFFSET($R$3,0,0,'Données projet'!$E$9+1,1))-AVERAGE(OFFSET($H$3,0,0,'Données projet'!$E$9+1,1))</f>
        <v>452.54136967045082</v>
      </c>
      <c r="T16" s="62">
        <f t="shared" si="34"/>
        <v>269.67340993773422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1.4873333333333332</v>
      </c>
      <c r="AI16" s="14">
        <f>IF('Données projet'!$A$62&gt;35,AI15+AH16-AQ15,IF(A16&lt;'Données projet'!$A$62,$AF$205^A16,IF(A16='Données projet'!$A$62,'Données projet'!$B$62,AI15+AH16-AQ15)))</f>
        <v>14.746862387286853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3.887142857142857</v>
      </c>
      <c r="BD16" s="13">
        <f>IF('Données projet'!$A$88&gt;35,BD15+BC16-BL15,IF(A16&lt;'Données projet'!$A$88,$BA$205^A16,IF(A16='Données projet'!$A$88,'Données projet'!$B$88,BD15+BC16-BL15)))</f>
        <v>50.532857142857125</v>
      </c>
      <c r="BE16" s="14">
        <f>BD16*VLOOKUP('Données projet'!$B$11,Paramètres!$A$1:$I$89,3,0)*VLOOKUP('Données projet'!$B$11,Paramètres!$A$1:$I$89,5,0)</f>
        <v>51.240317142857123</v>
      </c>
      <c r="BF16" s="14">
        <f t="shared" si="37"/>
        <v>14.933618736730883</v>
      </c>
      <c r="BG16" s="22">
        <f t="shared" si="7"/>
        <v>115.25293832361577</v>
      </c>
      <c r="BH16" s="62">
        <f t="shared" si="8"/>
        <v>387.80849387917129</v>
      </c>
      <c r="BI16" s="62">
        <f ca="1">AVERAGE(OFFSET($BH$3,0,0,'Données projet'!$E$11+1,1))-AVERAGE(OFFSET($H$3,0,0,'Données projet'!$E$11+1,1))</f>
        <v>502.06005292569733</v>
      </c>
      <c r="BJ16" s="62">
        <f t="shared" si="38"/>
        <v>297.06786598620607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2.532</v>
      </c>
      <c r="BY16" s="13">
        <f>IF('Données projet'!$A$114&gt;35,BY15+BX16-CG15,IF(A16&lt;'Données projet'!$A$114,$BV$205^A16,IF(A16='Données projet'!$A$114,'Données projet'!$B$114,BY15+BX16-CG15)))</f>
        <v>12.820970563309933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7.0519999999999996</v>
      </c>
      <c r="CT16" s="13">
        <f>IF('Données projet'!$A$140&gt;35,CT15+CS16-DB15,IF(A16&lt;'Données projet'!$A$140,$CQ$205^A16,IF(A16='Données projet'!$A$140,'Données projet'!$B$140,CT15+CS16-DB15)))</f>
        <v>58.335999999999991</v>
      </c>
      <c r="CU16" s="18">
        <f>CT16*VLOOKUP('Données projet'!$B$13,Paramètres!$A$1:$I$89,3,0)*VLOOKUP('Données projet'!$B$13,Paramètres!$A$1:$I$89,5,0)</f>
        <v>52.782412799999989</v>
      </c>
      <c r="CV16" s="14">
        <f t="shared" si="41"/>
        <v>15.330049471122988</v>
      </c>
      <c r="CW16" s="22">
        <f t="shared" si="13"/>
        <v>118.62920512220586</v>
      </c>
      <c r="CX16" s="62">
        <f t="shared" si="14"/>
        <v>391.1847606777614</v>
      </c>
      <c r="CY16" s="62">
        <f ca="1">AVERAGE(OFFSET($CX$3,0,0,'Données projet'!$E$13+1,1))-AVERAGE(OFFSET($H$3,0,0,'Données projet'!$E$13+1,1))</f>
        <v>204.787338911576</v>
      </c>
      <c r="CZ16" s="62">
        <f t="shared" si="42"/>
        <v>287.24932051638558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1.325</v>
      </c>
      <c r="DO16" s="13">
        <f>IF('Données projet'!$A$166&gt;35,DO15+DN16-DW15,IF(A16&lt;'Données projet'!$A$166,$DL$205^A16,IF(A16='Données projet'!$A$166,'Données projet'!$B$166,DO15+DN16-DW15)))</f>
        <v>17.224999999999998</v>
      </c>
      <c r="DP16" s="18">
        <f>DO16*VLOOKUP('Données projet'!$B$14,Paramètres!$A$1:$I$89,3,0)*VLOOKUP('Données projet'!$B$14,Paramètres!$A$1:$I$89,5,0)</f>
        <v>16.391310000000001</v>
      </c>
      <c r="DQ16" s="14">
        <f t="shared" si="43"/>
        <v>5.4548736846022452</v>
      </c>
      <c r="DR16" s="22">
        <f t="shared" si="16"/>
        <v>38.048769917348906</v>
      </c>
      <c r="DS16" s="62">
        <f t="shared" si="17"/>
        <v>310.60432547290446</v>
      </c>
      <c r="DT16" s="62">
        <f ca="1">AVERAGE(OFFSET($DS$3,0,0,'Données projet'!$E$14+1,1))-AVERAGE(OFFSET($H$3,0,0,'Données projet'!$E$14+1,1))</f>
        <v>309.55876703480277</v>
      </c>
      <c r="DU16" s="62">
        <f t="shared" si="44"/>
        <v>122.43799205838684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4.0476666666666672</v>
      </c>
      <c r="EJ16" s="13">
        <f>IF('Données projet'!$A$192&gt;35,EJ15+EI16-ER15,IF(A16&lt;'Données projet'!$A$192,$EG$205^A16,IF(A16='Données projet'!$A$192,'Données projet'!$B$192,EJ15+EI16-ER15)))</f>
        <v>8.0021729071644234</v>
      </c>
      <c r="EK16" s="18">
        <f>EJ16*VLOOKUP('Données projet'!$B$15,Paramètres!$A$1:$I$89,3,0)*VLOOKUP('Données projet'!$B$15,Paramètres!$A$1:$I$89,5,0)</f>
        <v>3.74501692055295</v>
      </c>
      <c r="EL16" s="14">
        <f t="shared" si="45"/>
        <v>1.4799799390695914</v>
      </c>
      <c r="EM16" s="22">
        <f t="shared" si="19"/>
        <v>9.1002028638425916</v>
      </c>
      <c r="EN16" s="62">
        <f t="shared" si="20"/>
        <v>281.65575841939813</v>
      </c>
      <c r="EO16" s="62">
        <f ca="1">AVERAGE(OFFSET($EN$3,0,0,'Données projet'!$E$15+1,1))-AVERAGE(OFFSET($H$3,0,0,'Données projet'!$E$15+1,1))</f>
        <v>301.04834785168049</v>
      </c>
      <c r="EP16" s="62">
        <f t="shared" si="46"/>
        <v>164.1450425611464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3.1761666666666666</v>
      </c>
      <c r="FE16" s="13">
        <f>IF('Données projet'!$A$218&gt;35,FE15+FD16-FM15,IF(A16&lt;'Données projet'!$A$218,$FB$205^A16,IF(A16='Données projet'!$A$218,'Données projet'!$B$218,FE15+FD16-FM15)))</f>
        <v>41.290166666666664</v>
      </c>
      <c r="FF16" s="18">
        <f>FE16*VLOOKUP('Données projet'!$B$16,Paramètres!$A$1:$I$89,3,0)*VLOOKUP('Données projet'!$B$16,Paramètres!$A$1:$I$89,5,0)</f>
        <v>37.3593428</v>
      </c>
      <c r="FG16" s="14">
        <f t="shared" si="47"/>
        <v>11.295982803712262</v>
      </c>
      <c r="FH16" s="22">
        <f t="shared" si="22"/>
        <v>84.741358759798842</v>
      </c>
      <c r="FI16" s="62">
        <f t="shared" si="23"/>
        <v>357.2969143153544</v>
      </c>
      <c r="FJ16" s="62">
        <f ca="1">AVERAGE(OFFSET($FI$3,0,0,'Données projet'!$E$16+1,1))-AVERAGE(OFFSET($H$3,0,0,'Données projet'!$E$16+1,1))</f>
        <v>330.53726676433649</v>
      </c>
      <c r="FK16" s="62">
        <f t="shared" si="48"/>
        <v>228.01260676706528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3.1761666666666666</v>
      </c>
      <c r="FZ16" s="13">
        <f>IF('Données projet'!$A$244&gt;35,FZ15+FY16-GH15,IF(A16&lt;'Données projet'!$A$244,$FW$205^A16,IF(A16='Données projet'!$A$244,'Données projet'!$B$244,FZ15+FY16-GH15)))</f>
        <v>41.290166666666664</v>
      </c>
      <c r="GA16" s="18">
        <f>FZ16*VLOOKUP('Données projet'!$B$17,Paramètres!$A$1:$I$89,3,0)*VLOOKUP('Données projet'!$B$17,Paramètres!$A$1:$I$89,5,0)</f>
        <v>47.021241799999999</v>
      </c>
      <c r="GB16" s="14">
        <f t="shared" si="49"/>
        <v>13.841754003209816</v>
      </c>
      <c r="GC16" s="22">
        <f t="shared" si="25"/>
        <v>106.00305102392376</v>
      </c>
      <c r="GD16" s="62">
        <f t="shared" si="26"/>
        <v>378.55860657947932</v>
      </c>
      <c r="GE16" s="62">
        <f ca="1">AVERAGE(OFFSET($GD$3,0,0,'Données projet'!$E$17+1,1))-AVERAGE(OFFSET($H$3,0,0,'Données projet'!$E$17+1,1))</f>
        <v>405.71017054131318</v>
      </c>
      <c r="GF16" s="62">
        <f t="shared" si="50"/>
        <v>276.12900965322166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3.1761666666666666</v>
      </c>
      <c r="GU16" s="13">
        <f>IF('Données projet'!$A$270&gt;35,GU15+GT16-HC15,IF(A16&lt;'Données projet'!$A$270,$GR$205^A16,IF(A16='Données projet'!$A$270,'Données projet'!$B$270,GU15+GT16-HC15)))</f>
        <v>41.290166666666664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3.887142857142857</v>
      </c>
      <c r="N17" s="14">
        <f>IF('Données projet'!$A$36&gt;35,N16+M17-V16,IF(A17&lt;'Données projet'!$A$36,$K$205^A17,IF(A17='Données projet'!$A$36,'Données projet'!$B$36,N16+M17-V16)))</f>
        <v>54.41999999999998</v>
      </c>
      <c r="O17" s="14">
        <f>N17*VLOOKUP('Données projet'!$B$9,Paramètres!$A$1:$I$89,3,0)*VLOOKUP('Données projet'!$B$9,Paramètres!$A$1:$I$89,5,0)</f>
        <v>49.239215999999978</v>
      </c>
      <c r="P17" s="14">
        <f t="shared" si="33"/>
        <v>14.417108895027585</v>
      </c>
      <c r="Q17" s="22">
        <f t="shared" si="2"/>
        <v>110.86809919217301</v>
      </c>
      <c r="R17" s="62">
        <f t="shared" si="0"/>
        <v>384.64587696995079</v>
      </c>
      <c r="S17" s="62">
        <f ca="1">AVERAGE(OFFSET($R$3,0,0,'Données projet'!$E$9+1,1))-AVERAGE(OFFSET($H$3,0,0,'Données projet'!$E$9+1,1))</f>
        <v>452.54136967045082</v>
      </c>
      <c r="T17" s="62">
        <f t="shared" si="34"/>
        <v>269.67340993773422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1.4873333333333332</v>
      </c>
      <c r="AI17" s="14">
        <f>IF('Données projet'!$A$62&gt;35,AI16+AH17-AQ16,IF(A17&lt;'Données projet'!$A$62,$AF$205^A17,IF(A17='Données projet'!$A$62,'Données projet'!$B$62,AI16+AH17-AQ16)))</f>
        <v>18.138426057967926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3.887142857142857</v>
      </c>
      <c r="BD17" s="13">
        <f>IF('Données projet'!$A$88&gt;35,BD16+BC17-BL16,IF(A17&lt;'Données projet'!$A$88,$BA$205^A17,IF(A17='Données projet'!$A$88,'Données projet'!$B$88,BD16+BC17-BL16)))</f>
        <v>54.41999999999998</v>
      </c>
      <c r="BE17" s="14">
        <f>BD17*VLOOKUP('Données projet'!$B$11,Paramètres!$A$1:$I$89,3,0)*VLOOKUP('Données projet'!$B$11,Paramètres!$A$1:$I$89,5,0)</f>
        <v>55.181879999999985</v>
      </c>
      <c r="BF17" s="14">
        <f t="shared" si="37"/>
        <v>15.944226146347479</v>
      </c>
      <c r="BG17" s="22">
        <f t="shared" si="7"/>
        <v>123.87796820488852</v>
      </c>
      <c r="BH17" s="62">
        <f t="shared" si="8"/>
        <v>397.6557459826663</v>
      </c>
      <c r="BI17" s="62">
        <f ca="1">AVERAGE(OFFSET($BH$3,0,0,'Données projet'!$E$11+1,1))-AVERAGE(OFFSET($H$3,0,0,'Données projet'!$E$11+1,1))</f>
        <v>502.06005292569733</v>
      </c>
      <c r="BJ17" s="62">
        <f t="shared" si="38"/>
        <v>297.06786598620607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2.532</v>
      </c>
      <c r="BY17" s="13">
        <f>IF('Données projet'!$A$114&gt;35,BY16+BX17-CG16,IF(A17&lt;'Données projet'!$A$114,$BV$205^A17,IF(A17='Données projet'!$A$114,'Données projet'!$B$114,BY16+BX17-CG16)))</f>
        <v>15.600753969802231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7.0519999999999996</v>
      </c>
      <c r="CT17" s="13">
        <f>IF('Données projet'!$A$140&gt;35,CT16+CS17-DB16,IF(A17&lt;'Données projet'!$A$140,$CQ$205^A17,IF(A17='Données projet'!$A$140,'Données projet'!$B$140,CT16+CS17-DB16)))</f>
        <v>65.387999999999991</v>
      </c>
      <c r="CU17" s="18">
        <f>CT17*VLOOKUP('Données projet'!$B$13,Paramètres!$A$1:$I$89,3,0)*VLOOKUP('Données projet'!$B$13,Paramètres!$A$1:$I$89,5,0)</f>
        <v>59.163062399999994</v>
      </c>
      <c r="CV17" s="14">
        <f t="shared" si="41"/>
        <v>16.956492243515374</v>
      </c>
      <c r="CW17" s="22">
        <f t="shared" si="13"/>
        <v>132.57489100412258</v>
      </c>
      <c r="CX17" s="62">
        <f t="shared" si="14"/>
        <v>406.35266878190032</v>
      </c>
      <c r="CY17" s="62">
        <f ca="1">AVERAGE(OFFSET($CX$3,0,0,'Données projet'!$E$13+1,1))-AVERAGE(OFFSET($H$3,0,0,'Données projet'!$E$13+1,1))</f>
        <v>204.787338911576</v>
      </c>
      <c r="CZ17" s="62">
        <f t="shared" si="42"/>
        <v>287.24932051638558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1.325</v>
      </c>
      <c r="DO17" s="13">
        <f>IF('Données projet'!$A$166&gt;35,DO16+DN17-DW16,IF(A17&lt;'Données projet'!$A$166,$DL$205^A17,IF(A17='Données projet'!$A$166,'Données projet'!$B$166,DO16+DN17-DW16)))</f>
        <v>18.549999999999997</v>
      </c>
      <c r="DP17" s="18">
        <f>DO17*VLOOKUP('Données projet'!$B$14,Paramètres!$A$1:$I$89,3,0)*VLOOKUP('Données projet'!$B$14,Paramètres!$A$1:$I$89,5,0)</f>
        <v>17.652179999999998</v>
      </c>
      <c r="DQ17" s="14">
        <f t="shared" si="43"/>
        <v>5.8240230422607757</v>
      </c>
      <c r="DR17" s="22">
        <f t="shared" si="16"/>
        <v>40.887720298604187</v>
      </c>
      <c r="DS17" s="62">
        <f t="shared" si="17"/>
        <v>314.66549807638194</v>
      </c>
      <c r="DT17" s="62">
        <f ca="1">AVERAGE(OFFSET($DS$3,0,0,'Données projet'!$E$14+1,1))-AVERAGE(OFFSET($H$3,0,0,'Données projet'!$E$14+1,1))</f>
        <v>309.55876703480277</v>
      </c>
      <c r="DU17" s="62">
        <f t="shared" si="44"/>
        <v>122.43799205838684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4.0476666666666672</v>
      </c>
      <c r="EJ17" s="13">
        <f>IF('Données projet'!$A$192&gt;35,EJ16+EI17-ER16,IF(A17&lt;'Données projet'!$A$192,$EG$205^A17,IF(A17='Données projet'!$A$192,'Données projet'!$B$192,EJ16+EI17-ER16)))</f>
        <v>9.3904296694107554</v>
      </c>
      <c r="EK17" s="18">
        <f>EJ17*VLOOKUP('Données projet'!$B$15,Paramètres!$A$1:$I$89,3,0)*VLOOKUP('Données projet'!$B$15,Paramètres!$A$1:$I$89,5,0)</f>
        <v>4.3947210852842336</v>
      </c>
      <c r="EL17" s="14">
        <f t="shared" si="45"/>
        <v>1.704692996580222</v>
      </c>
      <c r="EM17" s="22">
        <f t="shared" si="19"/>
        <v>10.623146192580593</v>
      </c>
      <c r="EN17" s="62">
        <f t="shared" si="20"/>
        <v>284.40092397035835</v>
      </c>
      <c r="EO17" s="62">
        <f ca="1">AVERAGE(OFFSET($EN$3,0,0,'Données projet'!$E$15+1,1))-AVERAGE(OFFSET($H$3,0,0,'Données projet'!$E$15+1,1))</f>
        <v>301.04834785168049</v>
      </c>
      <c r="EP17" s="62">
        <f t="shared" si="46"/>
        <v>164.1450425611464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3.1761666666666666</v>
      </c>
      <c r="FE17" s="13">
        <f>IF('Données projet'!$A$218&gt;35,FE16+FD17-FM16,IF(A17&lt;'Données projet'!$A$218,$FB$205^A17,IF(A17='Données projet'!$A$218,'Données projet'!$B$218,FE16+FD17-FM16)))</f>
        <v>44.466333333333331</v>
      </c>
      <c r="FF17" s="18">
        <f>FE17*VLOOKUP('Données projet'!$B$16,Paramètres!$A$1:$I$89,3,0)*VLOOKUP('Données projet'!$B$16,Paramètres!$A$1:$I$89,5,0)</f>
        <v>40.233138400000001</v>
      </c>
      <c r="FG17" s="14">
        <f t="shared" si="47"/>
        <v>12.060419349306859</v>
      </c>
      <c r="FH17" s="22">
        <f t="shared" si="22"/>
        <v>91.077946413376097</v>
      </c>
      <c r="FI17" s="62">
        <f t="shared" si="23"/>
        <v>364.85572419115385</v>
      </c>
      <c r="FJ17" s="62">
        <f ca="1">AVERAGE(OFFSET($FI$3,0,0,'Données projet'!$E$16+1,1))-AVERAGE(OFFSET($H$3,0,0,'Données projet'!$E$16+1,1))</f>
        <v>330.53726676433649</v>
      </c>
      <c r="FK17" s="62">
        <f t="shared" si="48"/>
        <v>228.01260676706528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3.1761666666666666</v>
      </c>
      <c r="FZ17" s="13">
        <f>IF('Données projet'!$A$244&gt;35,FZ16+FY17-GH16,IF(A17&lt;'Données projet'!$A$244,$FW$205^A17,IF(A17='Données projet'!$A$244,'Données projet'!$B$244,FZ16+FY17-GH16)))</f>
        <v>44.466333333333331</v>
      </c>
      <c r="GA17" s="18">
        <f>FZ17*VLOOKUP('Données projet'!$B$17,Paramètres!$A$1:$I$89,3,0)*VLOOKUP('Données projet'!$B$17,Paramètres!$A$1:$I$89,5,0)</f>
        <v>50.6382604</v>
      </c>
      <c r="GB17" s="14">
        <f t="shared" si="49"/>
        <v>14.778471312278892</v>
      </c>
      <c r="GC17" s="22">
        <f t="shared" si="25"/>
        <v>113.9341410655524</v>
      </c>
      <c r="GD17" s="62">
        <f t="shared" si="26"/>
        <v>387.71191884333018</v>
      </c>
      <c r="GE17" s="62">
        <f ca="1">AVERAGE(OFFSET($GD$3,0,0,'Données projet'!$E$17+1,1))-AVERAGE(OFFSET($H$3,0,0,'Données projet'!$E$17+1,1))</f>
        <v>405.71017054131318</v>
      </c>
      <c r="GF17" s="62">
        <f t="shared" si="50"/>
        <v>276.12900965322166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3.1761666666666666</v>
      </c>
      <c r="GU17" s="13">
        <f>IF('Données projet'!$A$270&gt;35,GU16+GT17-HC16,IF(A17&lt;'Données projet'!$A$270,$GR$205^A17,IF(A17='Données projet'!$A$270,'Données projet'!$B$270,GU16+GT17-HC16)))</f>
        <v>44.466333333333331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3.887142857142857</v>
      </c>
      <c r="N18" s="14">
        <f>IF('Données projet'!$A$36&gt;35,N17+M18-V17,IF(A18&lt;'Données projet'!$A$36,$K$205^A18,IF(A18='Données projet'!$A$36,'Données projet'!$B$36,N17+M18-V17)))</f>
        <v>58.307142857142836</v>
      </c>
      <c r="O18" s="14">
        <f>N18*VLOOKUP('Données projet'!$B$9,Paramètres!$A$1:$I$89,3,0)*VLOOKUP('Données projet'!$B$9,Paramètres!$A$1:$I$89,5,0)</f>
        <v>52.756302857142842</v>
      </c>
      <c r="P18" s="14">
        <f t="shared" si="33"/>
        <v>15.323348643415981</v>
      </c>
      <c r="Q18" s="22">
        <f t="shared" si="2"/>
        <v>118.57205969680662</v>
      </c>
      <c r="R18" s="62">
        <f t="shared" si="0"/>
        <v>393.5720596968066</v>
      </c>
      <c r="S18" s="62">
        <f ca="1">AVERAGE(OFFSET($R$3,0,0,'Données projet'!$E$9+1,1))-AVERAGE(OFFSET($H$3,0,0,'Données projet'!$E$9+1,1))</f>
        <v>452.54136967045082</v>
      </c>
      <c r="T18" s="62">
        <f t="shared" si="34"/>
        <v>269.67340993773422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22.31</v>
      </c>
      <c r="AG18" s="13">
        <f>VLOOKUP(A18,'Données projet'!$A$61:$I$81,9,0)</f>
        <v>1.4873333333333332</v>
      </c>
      <c r="AH18" s="13">
        <f t="array" ref="AH18">INDEX(AG:AG,MIN(IF(ISNUMBER(AG18:AG214),ROW(AG18:AG214),"")))</f>
        <v>1.4873333333333332</v>
      </c>
      <c r="AI18" s="14">
        <f>IF('Données projet'!$A$62&gt;35,AI17+AH18-AQ17,IF(A18&lt;'Données projet'!$A$62,$AF$205^A18,IF(A18='Données projet'!$A$62,'Données projet'!$B$62,AI17+AH18-AQ17)))</f>
        <v>22.31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 t="e">
        <f>IF(ISNA(VLOOKUP(A18,'Données projet'!$A$61:$I$81,5,0)),0%,VLOOKUP(A18,'Données projet'!$A$61:$I$81,5,0)*VLOOKUP('Données projet'!$B$10,Paramètres!$A$1:$I$89,7,0))</f>
        <v>#N/A</v>
      </c>
      <c r="AS18" s="17" t="e">
        <f>IF(ISNA(VLOOKUP(A18,'Données projet'!$A$61:$I$81,6,0)),0%,VLOOKUP(A18,'Données projet'!$A$61:$I$81,6,0)*VLOOKUP('Données projet'!$B$10,Paramètres!$A$1:$I$89,7,0))</f>
        <v>#N/A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3.887142857142857</v>
      </c>
      <c r="BD18" s="13">
        <f>IF('Données projet'!$A$88&gt;35,BD17+BC18-BL17,IF(A18&lt;'Données projet'!$A$88,$BA$205^A18,IF(A18='Données projet'!$A$88,'Données projet'!$B$88,BD17+BC18-BL17)))</f>
        <v>58.307142857142836</v>
      </c>
      <c r="BE18" s="14">
        <f>BD18*VLOOKUP('Données projet'!$B$11,Paramètres!$A$1:$I$89,3,0)*VLOOKUP('Données projet'!$B$11,Paramètres!$A$1:$I$89,5,0)</f>
        <v>59.123442857142841</v>
      </c>
      <c r="BF18" s="14">
        <f t="shared" si="37"/>
        <v>16.946458396677293</v>
      </c>
      <c r="BG18" s="22">
        <f t="shared" si="7"/>
        <v>132.4884113504034</v>
      </c>
      <c r="BH18" s="62">
        <f t="shared" si="8"/>
        <v>407.4884113504034</v>
      </c>
      <c r="BI18" s="62">
        <f ca="1">AVERAGE(OFFSET($BH$3,0,0,'Données projet'!$E$11+1,1))-AVERAGE(OFFSET($H$3,0,0,'Données projet'!$E$11+1,1))</f>
        <v>502.06005292569733</v>
      </c>
      <c r="BJ18" s="62">
        <f t="shared" si="38"/>
        <v>297.06786598620607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2.532</v>
      </c>
      <c r="BY18" s="13">
        <f>IF('Données projet'!$A$114&gt;35,BY17+BX18-CG17,IF(A18&lt;'Données projet'!$A$114,$BV$205^A18,IF(A18='Données projet'!$A$114,'Données projet'!$B$114,BY17+BX18-CG17)))</f>
        <v>18.983237128926593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72.44</v>
      </c>
      <c r="CR18" s="13">
        <f>VLOOKUP(A18,'Données projet'!$A$139:$I$159,9,0)</f>
        <v>7.0519999999999996</v>
      </c>
      <c r="CS18" s="13">
        <f t="array" ref="CS18">INDEX(CR:CR,MIN(IF(ISNUMBER(CR18:CR214),ROW(CR18:CR214),"")))</f>
        <v>7.0519999999999996</v>
      </c>
      <c r="CT18" s="13">
        <f>IF('Données projet'!$A$140&gt;35,CT17+CS18-DB17,IF(A18&lt;'Données projet'!$A$140,$CQ$205^A18,IF(A18='Données projet'!$A$140,'Données projet'!$B$140,CT17+CS18-DB17)))</f>
        <v>72.44</v>
      </c>
      <c r="CU18" s="18">
        <f>CT18*VLOOKUP('Données projet'!$B$13,Paramètres!$A$1:$I$89,3,0)*VLOOKUP('Données projet'!$B$13,Paramètres!$A$1:$I$89,5,0)</f>
        <v>65.543711999999985</v>
      </c>
      <c r="CV18" s="14">
        <f t="shared" si="41"/>
        <v>18.562603412266537</v>
      </c>
      <c r="CW18" s="22">
        <f t="shared" si="13"/>
        <v>146.48516600969754</v>
      </c>
      <c r="CX18" s="62">
        <f t="shared" si="14"/>
        <v>421.48516600969754</v>
      </c>
      <c r="CY18" s="62">
        <f ca="1">AVERAGE(OFFSET($CX$3,0,0,'Données projet'!$E$13+1,1))-AVERAGE(OFFSET($H$3,0,0,'Données projet'!$E$13+1,1))</f>
        <v>204.787338911576</v>
      </c>
      <c r="CZ18" s="62">
        <f t="shared" si="42"/>
        <v>287.24932051638558</v>
      </c>
      <c r="DA18" s="16">
        <f>IF(ISNA(VLOOKUP(A18,'Données projet'!$A$139:$I$159,3,0)),0,VLOOKUP(A18,'Données projet'!$A$139:$I$159,3,0))</f>
        <v>3</v>
      </c>
      <c r="DB18" s="16">
        <f>IF(ISNA(VLOOKUP(A18,'Données projet'!$A$139:$I$159,4,0)),0,VLOOKUP(A18,'Données projet'!$A$139:$I$159,4,0))</f>
        <v>10.9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1.325</v>
      </c>
      <c r="DO18" s="13">
        <f>IF('Données projet'!$A$166&gt;35,DO17+DN18-DW17,IF(A18&lt;'Données projet'!$A$166,$DL$205^A18,IF(A18='Données projet'!$A$166,'Données projet'!$B$166,DO17+DN18-DW17)))</f>
        <v>19.874999999999996</v>
      </c>
      <c r="DP18" s="18">
        <f>DO18*VLOOKUP('Données projet'!$B$14,Paramètres!$A$1:$I$89,3,0)*VLOOKUP('Données projet'!$B$14,Paramètres!$A$1:$I$89,5,0)</f>
        <v>18.913049999999998</v>
      </c>
      <c r="DQ18" s="14">
        <f t="shared" si="43"/>
        <v>6.1901131657977473</v>
      </c>
      <c r="DR18" s="22">
        <f t="shared" si="16"/>
        <v>43.721342513764405</v>
      </c>
      <c r="DS18" s="62">
        <f t="shared" si="17"/>
        <v>318.7213425137644</v>
      </c>
      <c r="DT18" s="62">
        <f ca="1">AVERAGE(OFFSET($DS$3,0,0,'Données projet'!$E$14+1,1))-AVERAGE(OFFSET($H$3,0,0,'Données projet'!$E$14+1,1))</f>
        <v>309.55876703480277</v>
      </c>
      <c r="DU18" s="62">
        <f t="shared" si="44"/>
        <v>122.43799205838684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4.0476666666666672</v>
      </c>
      <c r="EJ18" s="13">
        <f>IF('Données projet'!$A$192&gt;35,EJ17+EI18-ER17,IF(A18&lt;'Données projet'!$A$192,$EG$205^A18,IF(A18='Données projet'!$A$192,'Données projet'!$B$192,EJ17+EI18-ER17)))</f>
        <v>11.019528120568506</v>
      </c>
      <c r="EK18" s="18">
        <f>EJ18*VLOOKUP('Données projet'!$B$15,Paramètres!$A$1:$I$89,3,0)*VLOOKUP('Données projet'!$B$15,Paramètres!$A$1:$I$89,5,0)</f>
        <v>5.1571391604260608</v>
      </c>
      <c r="EL18" s="14">
        <f t="shared" si="45"/>
        <v>1.9635254072541937</v>
      </c>
      <c r="EM18" s="22">
        <f t="shared" si="19"/>
        <v>12.401824122043109</v>
      </c>
      <c r="EN18" s="62">
        <f t="shared" si="20"/>
        <v>287.40182412204308</v>
      </c>
      <c r="EO18" s="62">
        <f ca="1">AVERAGE(OFFSET($EN$3,0,0,'Données projet'!$E$15+1,1))-AVERAGE(OFFSET($H$3,0,0,'Données projet'!$E$15+1,1))</f>
        <v>301.04834785168049</v>
      </c>
      <c r="EP18" s="62">
        <f t="shared" si="46"/>
        <v>164.1450425611464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3.1761666666666666</v>
      </c>
      <c r="FE18" s="13">
        <f>IF('Données projet'!$A$218&gt;35,FE17+FD18-FM17,IF(A18&lt;'Données projet'!$A$218,$FB$205^A18,IF(A18='Données projet'!$A$218,'Données projet'!$B$218,FE17+FD18-FM17)))</f>
        <v>47.642499999999998</v>
      </c>
      <c r="FF18" s="18">
        <f>FE18*VLOOKUP('Données projet'!$B$16,Paramètres!$A$1:$I$89,3,0)*VLOOKUP('Données projet'!$B$16,Paramètres!$A$1:$I$89,5,0)</f>
        <v>43.106933999999995</v>
      </c>
      <c r="FG18" s="14">
        <f t="shared" si="47"/>
        <v>12.818520815845957</v>
      </c>
      <c r="FH18" s="22">
        <f t="shared" si="22"/>
        <v>97.403500470931704</v>
      </c>
      <c r="FI18" s="62">
        <f t="shared" si="23"/>
        <v>372.4035004709317</v>
      </c>
      <c r="FJ18" s="62">
        <f ca="1">AVERAGE(OFFSET($FI$3,0,0,'Données projet'!$E$16+1,1))-AVERAGE(OFFSET($H$3,0,0,'Données projet'!$E$16+1,1))</f>
        <v>330.53726676433649</v>
      </c>
      <c r="FK18" s="62">
        <f t="shared" si="48"/>
        <v>228.01260676706528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3.1761666666666666</v>
      </c>
      <c r="FZ18" s="13">
        <f>IF('Données projet'!$A$244&gt;35,FZ17+FY18-GH17,IF(A18&lt;'Données projet'!$A$244,$FW$205^A18,IF(A18='Données projet'!$A$244,'Données projet'!$B$244,FZ17+FY18-GH17)))</f>
        <v>47.642499999999998</v>
      </c>
      <c r="GA18" s="18">
        <f>FZ18*VLOOKUP('Données projet'!$B$17,Paramètres!$A$1:$I$89,3,0)*VLOOKUP('Données projet'!$B$17,Paramètres!$A$1:$I$89,5,0)</f>
        <v>54.255278999999994</v>
      </c>
      <c r="GB18" s="14">
        <f t="shared" si="49"/>
        <v>15.707425808018582</v>
      </c>
      <c r="GC18" s="22">
        <f t="shared" si="25"/>
        <v>121.85171087396567</v>
      </c>
      <c r="GD18" s="62">
        <f t="shared" si="26"/>
        <v>396.85171087396566</v>
      </c>
      <c r="GE18" s="62">
        <f ca="1">AVERAGE(OFFSET($GD$3,0,0,'Données projet'!$E$17+1,1))-AVERAGE(OFFSET($H$3,0,0,'Données projet'!$E$17+1,1))</f>
        <v>405.71017054131318</v>
      </c>
      <c r="GF18" s="62">
        <f t="shared" si="50"/>
        <v>276.12900965322166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3.1761666666666666</v>
      </c>
      <c r="GU18" s="13">
        <f>IF('Données projet'!$A$270&gt;35,GU17+GT18-HC17,IF(A18&lt;'Données projet'!$A$270,$GR$205^A18,IF(A18='Données projet'!$A$270,'Données projet'!$B$270,GU17+GT18-HC17)))</f>
        <v>47.642499999999998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3.887142857142857</v>
      </c>
      <c r="N19" s="14">
        <f>IF('Données projet'!$A$36&gt;35,N18+M19-V18,IF(A19&lt;'Données projet'!$A$36,$K$205^A19,IF(A19='Données projet'!$A$36,'Données projet'!$B$36,N18+M19-V18)))</f>
        <v>62.194285714285691</v>
      </c>
      <c r="O19" s="14">
        <f>N19*VLOOKUP('Données projet'!$B$9,Paramètres!$A$1:$I$89,3,0)*VLOOKUP('Données projet'!$B$9,Paramètres!$A$1:$I$89,5,0)</f>
        <v>56.273389714285692</v>
      </c>
      <c r="P19" s="14">
        <f t="shared" si="33"/>
        <v>16.222577706752112</v>
      </c>
      <c r="Q19" s="22">
        <f t="shared" si="2"/>
        <v>126.26380992497417</v>
      </c>
      <c r="R19" s="62">
        <f t="shared" si="0"/>
        <v>402.4860321471964</v>
      </c>
      <c r="S19" s="62">
        <f ca="1">AVERAGE(OFFSET($R$3,0,0,'Données projet'!$E$9+1,1))-AVERAGE(OFFSET($H$3,0,0,'Données projet'!$E$9+1,1))</f>
        <v>452.54136967045082</v>
      </c>
      <c r="T19" s="62">
        <f t="shared" si="34"/>
        <v>269.67340993773422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14.6</v>
      </c>
      <c r="AI19" s="14">
        <f>IF('Données projet'!$A$62&gt;35,AI18+AH19-AQ18,IF(A19&lt;'Données projet'!$A$62,$AF$205^A19,IF(A19='Données projet'!$A$62,'Données projet'!$B$62,AI18+AH19-AQ18)))</f>
        <v>36.909999999999997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3.887142857142857</v>
      </c>
      <c r="BD19" s="13">
        <f>IF('Données projet'!$A$88&gt;35,BD18+BC19-BL18,IF(A19&lt;'Données projet'!$A$88,$BA$205^A19,IF(A19='Données projet'!$A$88,'Données projet'!$B$88,BD18+BC19-BL18)))</f>
        <v>62.194285714285691</v>
      </c>
      <c r="BE19" s="14">
        <f>BD19*VLOOKUP('Données projet'!$B$11,Paramètres!$A$1:$I$89,3,0)*VLOOKUP('Données projet'!$B$11,Paramètres!$A$1:$I$89,5,0)</f>
        <v>63.065005714285689</v>
      </c>
      <c r="BF19" s="14">
        <f t="shared" si="37"/>
        <v>17.940937362438909</v>
      </c>
      <c r="BG19" s="22">
        <f t="shared" si="7"/>
        <v>141.08535085862869</v>
      </c>
      <c r="BH19" s="62">
        <f t="shared" si="8"/>
        <v>417.30757308085094</v>
      </c>
      <c r="BI19" s="62">
        <f ca="1">AVERAGE(OFFSET($BH$3,0,0,'Données projet'!$E$11+1,1))-AVERAGE(OFFSET($H$3,0,0,'Données projet'!$E$11+1,1))</f>
        <v>502.06005292569733</v>
      </c>
      <c r="BJ19" s="62">
        <f t="shared" si="38"/>
        <v>297.06786598620607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2.532</v>
      </c>
      <c r="BY19" s="13">
        <f>IF('Données projet'!$A$114&gt;35,BY18+BX19-CG18,IF(A19&lt;'Données projet'!$A$114,$BV$205^A19,IF(A19='Données projet'!$A$114,'Données projet'!$B$114,BY18+BX19-CG18)))</f>
        <v>23.09909460726054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6.2820000000000009</v>
      </c>
      <c r="CT19" s="13">
        <f>IF('Données projet'!$A$140&gt;35,CT18+CS19-DB18,IF(A19&lt;'Données projet'!$A$140,$CQ$205^A19,IF(A19='Données projet'!$A$140,'Données projet'!$B$140,CT18+CS19-DB18)))</f>
        <v>67.821999999999989</v>
      </c>
      <c r="CU19" s="18">
        <f>CT19*VLOOKUP('Données projet'!$B$13,Paramètres!$A$1:$I$89,3,0)*VLOOKUP('Données projet'!$B$13,Paramètres!$A$1:$I$89,5,0)</f>
        <v>61.365345599999991</v>
      </c>
      <c r="CV19" s="14">
        <f t="shared" si="41"/>
        <v>17.513017862704977</v>
      </c>
      <c r="CW19" s="22">
        <f t="shared" si="13"/>
        <v>137.37981636421117</v>
      </c>
      <c r="CX19" s="62">
        <f t="shared" si="14"/>
        <v>413.60203858643342</v>
      </c>
      <c r="CY19" s="62">
        <f ca="1">AVERAGE(OFFSET($CX$3,0,0,'Données projet'!$E$13+1,1))-AVERAGE(OFFSET($H$3,0,0,'Données projet'!$E$13+1,1))</f>
        <v>204.787338911576</v>
      </c>
      <c r="CZ19" s="62">
        <f t="shared" si="42"/>
        <v>287.24932051638558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1.325</v>
      </c>
      <c r="DO19" s="13">
        <f>IF('Données projet'!$A$166&gt;35,DO18+DN19-DW18,IF(A19&lt;'Données projet'!$A$166,$DL$205^A19,IF(A19='Données projet'!$A$166,'Données projet'!$B$166,DO18+DN19-DW18)))</f>
        <v>21.199999999999996</v>
      </c>
      <c r="DP19" s="18">
        <f>DO19*VLOOKUP('Données projet'!$B$14,Paramètres!$A$1:$I$89,3,0)*VLOOKUP('Données projet'!$B$14,Paramètres!$A$1:$I$89,5,0)</f>
        <v>20.173919999999995</v>
      </c>
      <c r="DQ19" s="14">
        <f t="shared" si="43"/>
        <v>6.5533712103385966</v>
      </c>
      <c r="DR19" s="22">
        <f t="shared" si="16"/>
        <v>46.55003219133971</v>
      </c>
      <c r="DS19" s="62">
        <f t="shared" si="17"/>
        <v>322.77225441356194</v>
      </c>
      <c r="DT19" s="62">
        <f ca="1">AVERAGE(OFFSET($DS$3,0,0,'Données projet'!$E$14+1,1))-AVERAGE(OFFSET($H$3,0,0,'Données projet'!$E$14+1,1))</f>
        <v>309.55876703480277</v>
      </c>
      <c r="DU19" s="62">
        <f t="shared" si="44"/>
        <v>122.43799205838684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4.0476666666666672</v>
      </c>
      <c r="EJ19" s="13">
        <f>IF('Données projet'!$A$192&gt;35,EJ18+EI19-ER18,IF(A19&lt;'Données projet'!$A$192,$EG$205^A19,IF(A19='Données projet'!$A$192,'Données projet'!$B$192,EJ18+EI19-ER18)))</f>
        <v>12.931250674882023</v>
      </c>
      <c r="EK19" s="18">
        <f>EJ19*VLOOKUP('Données projet'!$B$15,Paramètres!$A$1:$I$89,3,0)*VLOOKUP('Données projet'!$B$15,Paramètres!$A$1:$I$89,5,0)</f>
        <v>6.0518253158447859</v>
      </c>
      <c r="EL19" s="14">
        <f t="shared" si="45"/>
        <v>2.2616576900750531</v>
      </c>
      <c r="EM19" s="22">
        <f t="shared" si="19"/>
        <v>14.479316235310385</v>
      </c>
      <c r="EN19" s="62">
        <f t="shared" si="20"/>
        <v>290.70153845753259</v>
      </c>
      <c r="EO19" s="62">
        <f ca="1">AVERAGE(OFFSET($EN$3,0,0,'Données projet'!$E$15+1,1))-AVERAGE(OFFSET($H$3,0,0,'Données projet'!$E$15+1,1))</f>
        <v>301.04834785168049</v>
      </c>
      <c r="EP19" s="62">
        <f t="shared" si="46"/>
        <v>164.1450425611464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3.1761666666666666</v>
      </c>
      <c r="FE19" s="13">
        <f>IF('Données projet'!$A$218&gt;35,FE18+FD19-FM18,IF(A19&lt;'Données projet'!$A$218,$FB$205^A19,IF(A19='Données projet'!$A$218,'Données projet'!$B$218,FE18+FD19-FM18)))</f>
        <v>50.818666666666665</v>
      </c>
      <c r="FF19" s="18">
        <f>FE19*VLOOKUP('Données projet'!$B$16,Paramètres!$A$1:$I$89,3,0)*VLOOKUP('Données projet'!$B$16,Paramètres!$A$1:$I$89,5,0)</f>
        <v>45.980729599999997</v>
      </c>
      <c r="FG19" s="14">
        <f t="shared" si="47"/>
        <v>13.570757597428331</v>
      </c>
      <c r="FH19" s="22">
        <f t="shared" si="22"/>
        <v>103.71884020218766</v>
      </c>
      <c r="FI19" s="62">
        <f t="shared" si="23"/>
        <v>379.94106242440989</v>
      </c>
      <c r="FJ19" s="62">
        <f ca="1">AVERAGE(OFFSET($FI$3,0,0,'Données projet'!$E$16+1,1))-AVERAGE(OFFSET($H$3,0,0,'Données projet'!$E$16+1,1))</f>
        <v>330.53726676433649</v>
      </c>
      <c r="FK19" s="62">
        <f t="shared" si="48"/>
        <v>228.01260676706528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3.1761666666666666</v>
      </c>
      <c r="FZ19" s="13">
        <f>IF('Données projet'!$A$244&gt;35,FZ18+FY19-GH18,IF(A19&lt;'Données projet'!$A$244,$FW$205^A19,IF(A19='Données projet'!$A$244,'Données projet'!$B$244,FZ18+FY19-GH18)))</f>
        <v>50.818666666666665</v>
      </c>
      <c r="GA19" s="18">
        <f>FZ19*VLOOKUP('Données projet'!$B$17,Paramètres!$A$1:$I$89,3,0)*VLOOKUP('Données projet'!$B$17,Paramètres!$A$1:$I$89,5,0)</f>
        <v>57.872297599999996</v>
      </c>
      <c r="GB19" s="14">
        <f t="shared" si="49"/>
        <v>16.629193897060627</v>
      </c>
      <c r="GC19" s="22">
        <f t="shared" si="25"/>
        <v>129.75676435738058</v>
      </c>
      <c r="GD19" s="62">
        <f t="shared" si="26"/>
        <v>405.9789865796028</v>
      </c>
      <c r="GE19" s="62">
        <f ca="1">AVERAGE(OFFSET($GD$3,0,0,'Données projet'!$E$17+1,1))-AVERAGE(OFFSET($H$3,0,0,'Données projet'!$E$17+1,1))</f>
        <v>405.71017054131318</v>
      </c>
      <c r="GF19" s="62">
        <f t="shared" si="50"/>
        <v>276.12900965322166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3.1761666666666666</v>
      </c>
      <c r="GU19" s="13">
        <f>IF('Données projet'!$A$270&gt;35,GU18+GT19-HC18,IF(A19&lt;'Données projet'!$A$270,$GR$205^A19,IF(A19='Données projet'!$A$270,'Données projet'!$B$270,GU18+GT19-HC18)))</f>
        <v>50.818666666666665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3.887142857142857</v>
      </c>
      <c r="N20" s="14">
        <f>IF('Données projet'!$A$36&gt;35,N19+M20-V19,IF(A20&lt;'Données projet'!$A$36,$K$205^A20,IF(A20='Données projet'!$A$36,'Données projet'!$B$36,N19+M20-V19)))</f>
        <v>66.081428571428546</v>
      </c>
      <c r="O20" s="14">
        <f>N20*VLOOKUP('Données projet'!$B$9,Paramètres!$A$1:$I$89,3,0)*VLOOKUP('Données projet'!$B$9,Paramètres!$A$1:$I$89,5,0)</f>
        <v>59.790476571428549</v>
      </c>
      <c r="P20" s="14">
        <f t="shared" si="33"/>
        <v>17.115284135607041</v>
      </c>
      <c r="Q20" s="22">
        <f t="shared" si="2"/>
        <v>133.94419989808699</v>
      </c>
      <c r="R20" s="62">
        <f t="shared" si="0"/>
        <v>411.38864434253145</v>
      </c>
      <c r="S20" s="62">
        <f ca="1">AVERAGE(OFFSET($R$3,0,0,'Données projet'!$E$9+1,1))-AVERAGE(OFFSET($H$3,0,0,'Données projet'!$E$9+1,1))</f>
        <v>452.54136967045082</v>
      </c>
      <c r="T20" s="62">
        <f t="shared" si="34"/>
        <v>269.67340993773422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14.6</v>
      </c>
      <c r="AI20" s="14">
        <f>IF('Données projet'!$A$62&gt;35,AI19+AH20-AQ19,IF(A20&lt;'Données projet'!$A$62,$AF$205^A20,IF(A20='Données projet'!$A$62,'Données projet'!$B$62,AI19+AH20-AQ19)))</f>
        <v>51.51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3.887142857142857</v>
      </c>
      <c r="BD20" s="13">
        <f>IF('Données projet'!$A$88&gt;35,BD19+BC20-BL19,IF(A20&lt;'Données projet'!$A$88,$BA$205^A20,IF(A20='Données projet'!$A$88,'Données projet'!$B$88,BD19+BC20-BL19)))</f>
        <v>66.081428571428546</v>
      </c>
      <c r="BE20" s="14">
        <f>BD20*VLOOKUP('Données projet'!$B$11,Paramètres!$A$1:$I$89,3,0)*VLOOKUP('Données projet'!$B$11,Paramètres!$A$1:$I$89,5,0)</f>
        <v>67.006568571428559</v>
      </c>
      <c r="BF20" s="14">
        <f t="shared" si="37"/>
        <v>18.928202790452044</v>
      </c>
      <c r="BG20" s="22">
        <f t="shared" si="7"/>
        <v>149.66972678860873</v>
      </c>
      <c r="BH20" s="62">
        <f t="shared" si="8"/>
        <v>427.11417123305318</v>
      </c>
      <c r="BI20" s="62">
        <f ca="1">AVERAGE(OFFSET($BH$3,0,0,'Données projet'!$E$11+1,1))-AVERAGE(OFFSET($H$3,0,0,'Données projet'!$E$11+1,1))</f>
        <v>502.06005292569733</v>
      </c>
      <c r="BJ20" s="62">
        <f t="shared" si="38"/>
        <v>297.06786598620607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2.532</v>
      </c>
      <c r="BY20" s="13">
        <f>IF('Données projet'!$A$114&gt;35,BY19+BX20-CG19,IF(A20&lt;'Données projet'!$A$114,$BV$205^A20,IF(A20='Données projet'!$A$114,'Données projet'!$B$114,BY19+BX20-CG19)))</f>
        <v>28.107333225170727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6.2820000000000009</v>
      </c>
      <c r="CT20" s="13">
        <f>IF('Données projet'!$A$140&gt;35,CT19+CS20-DB19,IF(A20&lt;'Données projet'!$A$140,$CQ$205^A20,IF(A20='Données projet'!$A$140,'Données projet'!$B$140,CT19+CS20-DB19)))</f>
        <v>74.103999999999985</v>
      </c>
      <c r="CU20" s="18">
        <f>CT20*VLOOKUP('Données projet'!$B$13,Paramètres!$A$1:$I$89,3,0)*VLOOKUP('Données projet'!$B$13,Paramètres!$A$1:$I$89,5,0)</f>
        <v>67.049299199999993</v>
      </c>
      <c r="CV20" s="14">
        <f t="shared" si="41"/>
        <v>18.93886803641109</v>
      </c>
      <c r="CW20" s="22">
        <f t="shared" si="13"/>
        <v>149.76272460341599</v>
      </c>
      <c r="CX20" s="62">
        <f t="shared" si="14"/>
        <v>427.20716904786048</v>
      </c>
      <c r="CY20" s="62">
        <f ca="1">AVERAGE(OFFSET($CX$3,0,0,'Données projet'!$E$13+1,1))-AVERAGE(OFFSET($H$3,0,0,'Données projet'!$E$13+1,1))</f>
        <v>204.787338911576</v>
      </c>
      <c r="CZ20" s="62">
        <f t="shared" si="42"/>
        <v>287.24932051638558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1.325</v>
      </c>
      <c r="DO20" s="13">
        <f>IF('Données projet'!$A$166&gt;35,DO19+DN20-DW19,IF(A20&lt;'Données projet'!$A$166,$DL$205^A20,IF(A20='Données projet'!$A$166,'Données projet'!$B$166,DO19+DN20-DW19)))</f>
        <v>22.524999999999995</v>
      </c>
      <c r="DP20" s="18">
        <f>DO20*VLOOKUP('Données projet'!$B$14,Paramètres!$A$1:$I$89,3,0)*VLOOKUP('Données projet'!$B$14,Paramètres!$A$1:$I$89,5,0)</f>
        <v>21.434789999999996</v>
      </c>
      <c r="DQ20" s="14">
        <f t="shared" si="43"/>
        <v>6.9139943317619634</v>
      </c>
      <c r="DR20" s="22">
        <f t="shared" si="16"/>
        <v>49.374132711152072</v>
      </c>
      <c r="DS20" s="62">
        <f t="shared" si="17"/>
        <v>326.81857715559653</v>
      </c>
      <c r="DT20" s="62">
        <f ca="1">AVERAGE(OFFSET($DS$3,0,0,'Données projet'!$E$14+1,1))-AVERAGE(OFFSET($H$3,0,0,'Données projet'!$E$14+1,1))</f>
        <v>309.55876703480277</v>
      </c>
      <c r="DU20" s="62">
        <f t="shared" si="44"/>
        <v>122.43799205838684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4.0476666666666672</v>
      </c>
      <c r="EJ20" s="13">
        <f>IF('Données projet'!$A$192&gt;35,EJ19+EI20-ER19,IF(A20&lt;'Données projet'!$A$192,$EG$205^A20,IF(A20='Données projet'!$A$192,'Données projet'!$B$192,EJ19+EI20-ER19)))</f>
        <v>15.174628367662804</v>
      </c>
      <c r="EK20" s="18">
        <f>EJ20*VLOOKUP('Données projet'!$B$15,Paramètres!$A$1:$I$89,3,0)*VLOOKUP('Données projet'!$B$15,Paramètres!$A$1:$I$89,5,0)</f>
        <v>7.1017260760661918</v>
      </c>
      <c r="EL20" s="14">
        <f t="shared" si="45"/>
        <v>2.6050569491884543</v>
      </c>
      <c r="EM20" s="22">
        <f t="shared" si="19"/>
        <v>16.905980435651845</v>
      </c>
      <c r="EN20" s="62">
        <f t="shared" si="20"/>
        <v>294.35042488009628</v>
      </c>
      <c r="EO20" s="62">
        <f ca="1">AVERAGE(OFFSET($EN$3,0,0,'Données projet'!$E$15+1,1))-AVERAGE(OFFSET($H$3,0,0,'Données projet'!$E$15+1,1))</f>
        <v>301.04834785168049</v>
      </c>
      <c r="EP20" s="62">
        <f t="shared" si="46"/>
        <v>164.1450425611464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3.1761666666666666</v>
      </c>
      <c r="FE20" s="13">
        <f>IF('Données projet'!$A$218&gt;35,FE19+FD20-FM19,IF(A20&lt;'Données projet'!$A$218,$FB$205^A20,IF(A20='Données projet'!$A$218,'Données projet'!$B$218,FE19+FD20-FM19)))</f>
        <v>53.994833333333332</v>
      </c>
      <c r="FF20" s="18">
        <f>FE20*VLOOKUP('Données projet'!$B$16,Paramètres!$A$1:$I$89,3,0)*VLOOKUP('Données projet'!$B$16,Paramètres!$A$1:$I$89,5,0)</f>
        <v>48.854525199999998</v>
      </c>
      <c r="FG20" s="14">
        <f t="shared" si="47"/>
        <v>14.317537965545403</v>
      </c>
      <c r="FH20" s="22">
        <f t="shared" si="22"/>
        <v>110.02467667999157</v>
      </c>
      <c r="FI20" s="62">
        <f t="shared" si="23"/>
        <v>387.46912112443601</v>
      </c>
      <c r="FJ20" s="62">
        <f ca="1">AVERAGE(OFFSET($FI$3,0,0,'Données projet'!$E$16+1,1))-AVERAGE(OFFSET($H$3,0,0,'Données projet'!$E$16+1,1))</f>
        <v>330.53726676433649</v>
      </c>
      <c r="FK20" s="62">
        <f t="shared" si="48"/>
        <v>228.01260676706528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3.1761666666666666</v>
      </c>
      <c r="FZ20" s="13">
        <f>IF('Données projet'!$A$244&gt;35,FZ19+FY20-GH19,IF(A20&lt;'Données projet'!$A$244,$FW$205^A20,IF(A20='Données projet'!$A$244,'Données projet'!$B$244,FZ19+FY20-GH19)))</f>
        <v>53.994833333333332</v>
      </c>
      <c r="GA20" s="18">
        <f>FZ20*VLOOKUP('Données projet'!$B$17,Paramètres!$A$1:$I$89,3,0)*VLOOKUP('Données projet'!$B$17,Paramètres!$A$1:$I$89,5,0)</f>
        <v>61.489316199999998</v>
      </c>
      <c r="GB20" s="14">
        <f t="shared" si="49"/>
        <v>17.544275862881776</v>
      </c>
      <c r="GC20" s="22">
        <f t="shared" si="25"/>
        <v>137.65017284285244</v>
      </c>
      <c r="GD20" s="62">
        <f t="shared" si="26"/>
        <v>415.0946172872969</v>
      </c>
      <c r="GE20" s="62">
        <f ca="1">AVERAGE(OFFSET($GD$3,0,0,'Données projet'!$E$17+1,1))-AVERAGE(OFFSET($H$3,0,0,'Données projet'!$E$17+1,1))</f>
        <v>405.71017054131318</v>
      </c>
      <c r="GF20" s="62">
        <f t="shared" si="50"/>
        <v>276.12900965322166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3.1761666666666666</v>
      </c>
      <c r="GU20" s="13">
        <f>IF('Données projet'!$A$270&gt;35,GU19+GT20-HC19,IF(A20&lt;'Données projet'!$A$270,$GR$205^A20,IF(A20='Données projet'!$A$270,'Données projet'!$B$270,GU19+GT20-HC19)))</f>
        <v>53.994833333333332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3.887142857142857</v>
      </c>
      <c r="N21" s="14">
        <f>IF('Données projet'!$A$36&gt;35,N20+M21-V20,IF(A21&lt;'Données projet'!$A$36,$K$205^A21,IF(A21='Données projet'!$A$36,'Données projet'!$B$36,N20+M21-V20)))</f>
        <v>69.968571428571408</v>
      </c>
      <c r="O21" s="14">
        <f>N21*VLOOKUP('Données projet'!$B$9,Paramètres!$A$1:$I$89,3,0)*VLOOKUP('Données projet'!$B$9,Paramètres!$A$1:$I$89,5,0)</f>
        <v>63.307563428571406</v>
      </c>
      <c r="P21" s="14">
        <f t="shared" si="33"/>
        <v>18.001895319269028</v>
      </c>
      <c r="Q21" s="22">
        <f t="shared" si="2"/>
        <v>141.61397398582207</v>
      </c>
      <c r="R21" s="62">
        <f t="shared" si="0"/>
        <v>420.28064065248873</v>
      </c>
      <c r="S21" s="62">
        <f ca="1">AVERAGE(OFFSET($R$3,0,0,'Données projet'!$E$9+1,1))-AVERAGE(OFFSET($H$3,0,0,'Données projet'!$E$9+1,1))</f>
        <v>452.54136967045082</v>
      </c>
      <c r="T21" s="62">
        <f t="shared" si="34"/>
        <v>269.67340993773422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14.6</v>
      </c>
      <c r="AI21" s="14">
        <f>IF('Données projet'!$A$62&gt;35,AI20+AH21-AQ20,IF(A21&lt;'Données projet'!$A$62,$AF$205^A21,IF(A21='Données projet'!$A$62,'Données projet'!$B$62,AI20+AH21-AQ20)))</f>
        <v>66.11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3.887142857142857</v>
      </c>
      <c r="BD21" s="13">
        <f>IF('Données projet'!$A$88&gt;35,BD20+BC21-BL20,IF(A21&lt;'Données projet'!$A$88,$BA$205^A21,IF(A21='Données projet'!$A$88,'Données projet'!$B$88,BD20+BC21-BL20)))</f>
        <v>69.968571428571408</v>
      </c>
      <c r="BE21" s="14">
        <f>BD21*VLOOKUP('Données projet'!$B$11,Paramètres!$A$1:$I$89,3,0)*VLOOKUP('Données projet'!$B$11,Paramètres!$A$1:$I$89,5,0)</f>
        <v>70.948131428571415</v>
      </c>
      <c r="BF21" s="14">
        <f t="shared" si="37"/>
        <v>19.908727340770373</v>
      </c>
      <c r="BG21" s="22">
        <f t="shared" si="7"/>
        <v>158.24236235660359</v>
      </c>
      <c r="BH21" s="62">
        <f t="shared" si="8"/>
        <v>436.90902902327025</v>
      </c>
      <c r="BI21" s="62">
        <f ca="1">AVERAGE(OFFSET($BH$3,0,0,'Données projet'!$E$11+1,1))-AVERAGE(OFFSET($H$3,0,0,'Données projet'!$E$11+1,1))</f>
        <v>502.06005292569733</v>
      </c>
      <c r="BJ21" s="62">
        <f t="shared" si="38"/>
        <v>297.06786598620607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2.532</v>
      </c>
      <c r="BY21" s="13">
        <f>IF('Données projet'!$A$114&gt;35,BY20+BX21-CG20,IF(A21&lt;'Données projet'!$A$114,$BV$205^A21,IF(A21='Données projet'!$A$114,'Données projet'!$B$114,BY20+BX21-CG20)))</f>
        <v>34.201434924746593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6.2820000000000009</v>
      </c>
      <c r="CT21" s="13">
        <f>IF('Données projet'!$A$140&gt;35,CT20+CS21-DB20,IF(A21&lt;'Données projet'!$A$140,$CQ$205^A21,IF(A21='Données projet'!$A$140,'Données projet'!$B$140,CT20+CS21-DB20)))</f>
        <v>80.385999999999981</v>
      </c>
      <c r="CU21" s="18">
        <f>CT21*VLOOKUP('Données projet'!$B$13,Paramètres!$A$1:$I$89,3,0)*VLOOKUP('Données projet'!$B$13,Paramètres!$A$1:$I$89,5,0)</f>
        <v>72.733252799999974</v>
      </c>
      <c r="CV21" s="14">
        <f t="shared" si="41"/>
        <v>20.35070004269658</v>
      </c>
      <c r="CW21" s="22">
        <f t="shared" si="13"/>
        <v>162.12121786769652</v>
      </c>
      <c r="CX21" s="62">
        <f t="shared" si="14"/>
        <v>440.78788453436323</v>
      </c>
      <c r="CY21" s="62">
        <f ca="1">AVERAGE(OFFSET($CX$3,0,0,'Données projet'!$E$13+1,1))-AVERAGE(OFFSET($H$3,0,0,'Données projet'!$E$13+1,1))</f>
        <v>204.787338911576</v>
      </c>
      <c r="CZ21" s="62">
        <f t="shared" si="42"/>
        <v>287.24932051638558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1.325</v>
      </c>
      <c r="DO21" s="13">
        <f>IF('Données projet'!$A$166&gt;35,DO20+DN21-DW20,IF(A21&lt;'Données projet'!$A$166,$DL$205^A21,IF(A21='Données projet'!$A$166,'Données projet'!$B$166,DO20+DN21-DW20)))</f>
        <v>23.849999999999994</v>
      </c>
      <c r="DP21" s="18">
        <f>DO21*VLOOKUP('Données projet'!$B$14,Paramètres!$A$1:$I$89,3,0)*VLOOKUP('Données projet'!$B$14,Paramètres!$A$1:$I$89,5,0)</f>
        <v>22.695659999999997</v>
      </c>
      <c r="DQ21" s="14">
        <f t="shared" si="43"/>
        <v>7.27215518084554</v>
      </c>
      <c r="DR21" s="22">
        <f t="shared" si="16"/>
        <v>52.193944773305979</v>
      </c>
      <c r="DS21" s="62">
        <f t="shared" si="17"/>
        <v>330.86061143997267</v>
      </c>
      <c r="DT21" s="62">
        <f ca="1">AVERAGE(OFFSET($DS$3,0,0,'Données projet'!$E$14+1,1))-AVERAGE(OFFSET($H$3,0,0,'Données projet'!$E$14+1,1))</f>
        <v>309.55876703480277</v>
      </c>
      <c r="DU21" s="62">
        <f t="shared" si="44"/>
        <v>122.43799205838684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4.0476666666666672</v>
      </c>
      <c r="EJ21" s="13">
        <f>IF('Données projet'!$A$192&gt;35,EJ20+EI21-ER20,IF(A21&lt;'Données projet'!$A$192,$EG$205^A21,IF(A21='Données projet'!$A$192,'Données projet'!$B$192,EJ20+EI21-ER20)))</f>
        <v>17.807198382130004</v>
      </c>
      <c r="EK21" s="18">
        <f>EJ21*VLOOKUP('Données projet'!$B$15,Paramètres!$A$1:$I$89,3,0)*VLOOKUP('Données projet'!$B$15,Paramètres!$A$1:$I$89,5,0)</f>
        <v>8.3337688428368413</v>
      </c>
      <c r="EL21" s="14">
        <f t="shared" si="45"/>
        <v>3.0005963052215261</v>
      </c>
      <c r="EM21" s="22">
        <f t="shared" si="19"/>
        <v>19.740685966201656</v>
      </c>
      <c r="EN21" s="62">
        <f t="shared" si="20"/>
        <v>298.40735263286837</v>
      </c>
      <c r="EO21" s="62">
        <f ca="1">AVERAGE(OFFSET($EN$3,0,0,'Données projet'!$E$15+1,1))-AVERAGE(OFFSET($H$3,0,0,'Données projet'!$E$15+1,1))</f>
        <v>301.04834785168049</v>
      </c>
      <c r="EP21" s="62">
        <f t="shared" si="46"/>
        <v>164.1450425611464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3.1761666666666666</v>
      </c>
      <c r="FE21" s="13">
        <f>IF('Données projet'!$A$218&gt;35,FE20+FD21-FM20,IF(A21&lt;'Données projet'!$A$218,$FB$205^A21,IF(A21='Données projet'!$A$218,'Données projet'!$B$218,FE20+FD21-FM20)))</f>
        <v>57.170999999999999</v>
      </c>
      <c r="FF21" s="18">
        <f>FE21*VLOOKUP('Données projet'!$B$16,Paramètres!$A$1:$I$89,3,0)*VLOOKUP('Données projet'!$B$16,Paramètres!$A$1:$I$89,5,0)</f>
        <v>51.728320799999999</v>
      </c>
      <c r="FG21" s="14">
        <f t="shared" si="47"/>
        <v>15.059219446389099</v>
      </c>
      <c r="FH21" s="22">
        <f t="shared" si="22"/>
        <v>116.32163259579433</v>
      </c>
      <c r="FI21" s="62">
        <f t="shared" si="23"/>
        <v>394.988299262461</v>
      </c>
      <c r="FJ21" s="62">
        <f ca="1">AVERAGE(OFFSET($FI$3,0,0,'Données projet'!$E$16+1,1))-AVERAGE(OFFSET($H$3,0,0,'Données projet'!$E$16+1,1))</f>
        <v>330.53726676433649</v>
      </c>
      <c r="FK21" s="62">
        <f t="shared" si="48"/>
        <v>228.01260676706528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3.1761666666666666</v>
      </c>
      <c r="FZ21" s="13">
        <f>IF('Données projet'!$A$244&gt;35,FZ20+FY21-GH20,IF(A21&lt;'Données projet'!$A$244,$FW$205^A21,IF(A21='Données projet'!$A$244,'Données projet'!$B$244,FZ20+FY21-GH20)))</f>
        <v>57.170999999999999</v>
      </c>
      <c r="GA21" s="18">
        <f>FZ21*VLOOKUP('Données projet'!$B$17,Paramètres!$A$1:$I$89,3,0)*VLOOKUP('Données projet'!$B$17,Paramètres!$A$1:$I$89,5,0)</f>
        <v>65.106334799999999</v>
      </c>
      <c r="GB21" s="14">
        <f t="shared" si="49"/>
        <v>18.45310980721116</v>
      </c>
      <c r="GC21" s="22">
        <f t="shared" si="25"/>
        <v>145.53269935755944</v>
      </c>
      <c r="GD21" s="62">
        <f t="shared" si="26"/>
        <v>424.19936602422615</v>
      </c>
      <c r="GE21" s="62">
        <f ca="1">AVERAGE(OFFSET($GD$3,0,0,'Données projet'!$E$17+1,1))-AVERAGE(OFFSET($H$3,0,0,'Données projet'!$E$17+1,1))</f>
        <v>405.71017054131318</v>
      </c>
      <c r="GF21" s="62">
        <f t="shared" si="50"/>
        <v>276.12900965322166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3.1761666666666666</v>
      </c>
      <c r="GU21" s="13">
        <f>IF('Données projet'!$A$270&gt;35,GU20+GT21-HC20,IF(A21&lt;'Données projet'!$A$270,$GR$205^A21,IF(A21='Données projet'!$A$270,'Données projet'!$B$270,GU20+GT21-HC20)))</f>
        <v>57.170999999999999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3.887142857142857</v>
      </c>
      <c r="N22" s="14">
        <f>IF('Données projet'!$A$36&gt;35,N21+M22-V21,IF(A22&lt;'Données projet'!$A$36,$K$205^A22,IF(A22='Données projet'!$A$36,'Données projet'!$B$36,N21+M22-V21)))</f>
        <v>73.855714285714271</v>
      </c>
      <c r="O22" s="14">
        <f>N22*VLOOKUP('Données projet'!$B$9,Paramètres!$A$1:$I$89,3,0)*VLOOKUP('Données projet'!$B$9,Paramètres!$A$1:$I$89,5,0)</f>
        <v>66.82465028571427</v>
      </c>
      <c r="P22" s="14">
        <f t="shared" si="33"/>
        <v>18.882788477272459</v>
      </c>
      <c r="Q22" s="22">
        <f t="shared" si="2"/>
        <v>149.27378917886855</v>
      </c>
      <c r="R22" s="62">
        <f t="shared" si="0"/>
        <v>429.16267806775738</v>
      </c>
      <c r="S22" s="62">
        <f ca="1">AVERAGE(OFFSET($R$3,0,0,'Données projet'!$E$9+1,1))-AVERAGE(OFFSET($H$3,0,0,'Données projet'!$E$9+1,1))</f>
        <v>452.54136967045082</v>
      </c>
      <c r="T22" s="62">
        <f t="shared" si="34"/>
        <v>269.67340993773422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14.6</v>
      </c>
      <c r="AI22" s="14">
        <f>IF('Données projet'!$A$62&gt;35,AI21+AH22-AQ21,IF(A22&lt;'Données projet'!$A$62,$AF$205^A22,IF(A22='Données projet'!$A$62,'Données projet'!$B$62,AI21+AH22-AQ21)))</f>
        <v>80.709999999999994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3.887142857142857</v>
      </c>
      <c r="BD22" s="13">
        <f>IF('Données projet'!$A$88&gt;35,BD21+BC22-BL21,IF(A22&lt;'Données projet'!$A$88,$BA$205^A22,IF(A22='Données projet'!$A$88,'Données projet'!$B$88,BD21+BC22-BL21)))</f>
        <v>73.855714285714271</v>
      </c>
      <c r="BE22" s="14">
        <f>BD22*VLOOKUP('Données projet'!$B$11,Paramètres!$A$1:$I$89,3,0)*VLOOKUP('Données projet'!$B$11,Paramètres!$A$1:$I$89,5,0)</f>
        <v>74.889694285714285</v>
      </c>
      <c r="BF22" s="14">
        <f t="shared" si="37"/>
        <v>20.882928189514811</v>
      </c>
      <c r="BG22" s="22">
        <f t="shared" si="7"/>
        <v>166.80398414435732</v>
      </c>
      <c r="BH22" s="62">
        <f t="shared" si="8"/>
        <v>446.6928730332462</v>
      </c>
      <c r="BI22" s="62">
        <f ca="1">AVERAGE(OFFSET($BH$3,0,0,'Données projet'!$E$11+1,1))-AVERAGE(OFFSET($H$3,0,0,'Données projet'!$E$11+1,1))</f>
        <v>502.06005292569733</v>
      </c>
      <c r="BJ22" s="62">
        <f t="shared" si="38"/>
        <v>297.06786598620607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2.532</v>
      </c>
      <c r="BY22" s="13">
        <f>IF('Données projet'!$A$114&gt;35,BY21+BX22-CG21,IF(A22&lt;'Données projet'!$A$114,$BV$205^A22,IF(A22='Données projet'!$A$114,'Données projet'!$B$114,BY21+BX22-CG21)))</f>
        <v>41.616831505884377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6.2820000000000009</v>
      </c>
      <c r="CT22" s="13">
        <f>IF('Données projet'!$A$140&gt;35,CT21+CS22-DB21,IF(A22&lt;'Données projet'!$A$140,$CQ$205^A22,IF(A22='Données projet'!$A$140,'Données projet'!$B$140,CT21+CS22-DB21)))</f>
        <v>86.667999999999978</v>
      </c>
      <c r="CU22" s="18">
        <f>CT22*VLOOKUP('Données projet'!$B$13,Paramètres!$A$1:$I$89,3,0)*VLOOKUP('Données projet'!$B$13,Paramètres!$A$1:$I$89,5,0)</f>
        <v>78.417206399999984</v>
      </c>
      <c r="CV22" s="14">
        <f t="shared" si="41"/>
        <v>21.749733924120996</v>
      </c>
      <c r="CW22" s="22">
        <f t="shared" si="13"/>
        <v>174.45742106451073</v>
      </c>
      <c r="CX22" s="62">
        <f t="shared" si="14"/>
        <v>454.34630995339955</v>
      </c>
      <c r="CY22" s="62">
        <f ca="1">AVERAGE(OFFSET($CX$3,0,0,'Données projet'!$E$13+1,1))-AVERAGE(OFFSET($H$3,0,0,'Données projet'!$E$13+1,1))</f>
        <v>204.787338911576</v>
      </c>
      <c r="CZ22" s="62">
        <f t="shared" si="42"/>
        <v>287.24932051638558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1.325</v>
      </c>
      <c r="DO22" s="13">
        <f>IF('Données projet'!$A$166&gt;35,DO21+DN22-DW21,IF(A22&lt;'Données projet'!$A$166,$DL$205^A22,IF(A22='Données projet'!$A$166,'Données projet'!$B$166,DO21+DN22-DW21)))</f>
        <v>25.174999999999994</v>
      </c>
      <c r="DP22" s="18">
        <f>DO22*VLOOKUP('Données projet'!$B$14,Paramètres!$A$1:$I$89,3,0)*VLOOKUP('Données projet'!$B$14,Paramètres!$A$1:$I$89,5,0)</f>
        <v>23.956529999999994</v>
      </c>
      <c r="DQ22" s="14">
        <f t="shared" si="43"/>
        <v>7.6280061414879503</v>
      </c>
      <c r="DR22" s="22">
        <f t="shared" si="16"/>
        <v>55.009733779758164</v>
      </c>
      <c r="DS22" s="62">
        <f t="shared" si="17"/>
        <v>334.89862266864702</v>
      </c>
      <c r="DT22" s="62">
        <f ca="1">AVERAGE(OFFSET($DS$3,0,0,'Données projet'!$E$14+1,1))-AVERAGE(OFFSET($H$3,0,0,'Données projet'!$E$14+1,1))</f>
        <v>309.55876703480277</v>
      </c>
      <c r="DU22" s="62">
        <f t="shared" si="44"/>
        <v>122.43799205838684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4.0476666666666672</v>
      </c>
      <c r="EJ22" s="13">
        <f>IF('Données projet'!$A$192&gt;35,EJ21+EI22-ER21,IF(A22&lt;'Données projet'!$A$192,$EG$205^A22,IF(A22='Données projet'!$A$192,'Données projet'!$B$192,EJ21+EI22-ER21)))</f>
        <v>20.896479738262784</v>
      </c>
      <c r="EK22" s="18">
        <f>EJ22*VLOOKUP('Données projet'!$B$15,Paramètres!$A$1:$I$89,3,0)*VLOOKUP('Données projet'!$B$15,Paramètres!$A$1:$I$89,5,0)</f>
        <v>9.779552517506982</v>
      </c>
      <c r="EL22" s="14">
        <f t="shared" si="45"/>
        <v>3.4561924604811169</v>
      </c>
      <c r="EM22" s="22">
        <f t="shared" si="19"/>
        <v>23.052255836662599</v>
      </c>
      <c r="EN22" s="62">
        <f t="shared" si="20"/>
        <v>302.94114472555145</v>
      </c>
      <c r="EO22" s="62">
        <f ca="1">AVERAGE(OFFSET($EN$3,0,0,'Données projet'!$E$15+1,1))-AVERAGE(OFFSET($H$3,0,0,'Données projet'!$E$15+1,1))</f>
        <v>301.04834785168049</v>
      </c>
      <c r="EP22" s="62">
        <f t="shared" si="46"/>
        <v>164.1450425611464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3.1761666666666666</v>
      </c>
      <c r="FE22" s="13">
        <f>IF('Données projet'!$A$218&gt;35,FE21+FD22-FM21,IF(A22&lt;'Données projet'!$A$218,$FB$205^A22,IF(A22='Données projet'!$A$218,'Données projet'!$B$218,FE21+FD22-FM21)))</f>
        <v>60.347166666666666</v>
      </c>
      <c r="FF22" s="18">
        <f>FE22*VLOOKUP('Données projet'!$B$16,Paramètres!$A$1:$I$89,3,0)*VLOOKUP('Données projet'!$B$16,Paramètres!$A$1:$I$89,5,0)</f>
        <v>54.6021164</v>
      </c>
      <c r="FG22" s="14">
        <f t="shared" si="47"/>
        <v>15.796117597385283</v>
      </c>
      <c r="FH22" s="22">
        <f t="shared" si="22"/>
        <v>122.61025754544603</v>
      </c>
      <c r="FI22" s="62">
        <f t="shared" si="23"/>
        <v>402.49914643433488</v>
      </c>
      <c r="FJ22" s="62">
        <f ca="1">AVERAGE(OFFSET($FI$3,0,0,'Données projet'!$E$16+1,1))-AVERAGE(OFFSET($H$3,0,0,'Données projet'!$E$16+1,1))</f>
        <v>330.53726676433649</v>
      </c>
      <c r="FK22" s="62">
        <f t="shared" si="48"/>
        <v>228.01260676706528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3.1761666666666666</v>
      </c>
      <c r="FZ22" s="13">
        <f>IF('Données projet'!$A$244&gt;35,FZ21+FY22-GH21,IF(A22&lt;'Données projet'!$A$244,$FW$205^A22,IF(A22='Données projet'!$A$244,'Données projet'!$B$244,FZ21+FY22-GH21)))</f>
        <v>60.347166666666666</v>
      </c>
      <c r="GA22" s="18">
        <f>FZ22*VLOOKUP('Données projet'!$B$17,Paramètres!$A$1:$I$89,3,0)*VLOOKUP('Données projet'!$B$17,Paramètres!$A$1:$I$89,5,0)</f>
        <v>68.723353400000008</v>
      </c>
      <c r="GB22" s="14">
        <f t="shared" si="49"/>
        <v>19.356082404527559</v>
      </c>
      <c r="GC22" s="22">
        <f t="shared" si="25"/>
        <v>153.40501735955218</v>
      </c>
      <c r="GD22" s="62">
        <f t="shared" si="26"/>
        <v>433.29390624844103</v>
      </c>
      <c r="GE22" s="62">
        <f ca="1">AVERAGE(OFFSET($GD$3,0,0,'Données projet'!$E$17+1,1))-AVERAGE(OFFSET($H$3,0,0,'Données projet'!$E$17+1,1))</f>
        <v>405.71017054131318</v>
      </c>
      <c r="GF22" s="62">
        <f t="shared" si="50"/>
        <v>276.12900965322166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3.1761666666666666</v>
      </c>
      <c r="GU22" s="13">
        <f>IF('Données projet'!$A$270&gt;35,GU21+GT22-HC21,IF(A22&lt;'Données projet'!$A$270,$GR$205^A22,IF(A22='Données projet'!$A$270,'Données projet'!$B$270,GU21+GT22-HC21)))</f>
        <v>60.347166666666666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3.887142857142857</v>
      </c>
      <c r="N23" s="14">
        <f>IF('Données projet'!$A$36&gt;35,N22+M23-V22,IF(A23&lt;'Données projet'!$A$36,$K$205^A23,IF(A23='Données projet'!$A$36,'Données projet'!$B$36,N22+M23-V22)))</f>
        <v>77.742857142857133</v>
      </c>
      <c r="O23" s="14">
        <f>N23*VLOOKUP('Données projet'!$B$9,Paramètres!$A$1:$I$89,3,0)*VLOOKUP('Données projet'!$B$9,Paramètres!$A$1:$I$89,5,0)</f>
        <v>70.341737142857127</v>
      </c>
      <c r="P23" s="14">
        <f t="shared" si="33"/>
        <v>19.758298879173367</v>
      </c>
      <c r="Q23" s="22">
        <f t="shared" si="2"/>
        <v>156.92422940503644</v>
      </c>
      <c r="R23" s="62">
        <f t="shared" si="0"/>
        <v>438.03534051614758</v>
      </c>
      <c r="S23" s="62">
        <f ca="1">AVERAGE(OFFSET($R$3,0,0,'Données projet'!$E$9+1,1))-AVERAGE(OFFSET($H$3,0,0,'Données projet'!$E$9+1,1))</f>
        <v>452.54136967045082</v>
      </c>
      <c r="T23" s="62">
        <f t="shared" si="34"/>
        <v>269.67340993773422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14.6</v>
      </c>
      <c r="AI23" s="14">
        <f>IF('Données projet'!$A$62&gt;35,AI22+AH23-AQ22,IF(A23&lt;'Données projet'!$A$62,$AF$205^A23,IF(A23='Données projet'!$A$62,'Données projet'!$B$62,AI22+AH23-AQ22)))</f>
        <v>95.309999999999988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3.887142857142857</v>
      </c>
      <c r="BD23" s="13">
        <f>IF('Données projet'!$A$88&gt;35,BD22+BC23-BL22,IF(A23&lt;'Données projet'!$A$88,$BA$205^A23,IF(A23='Données projet'!$A$88,'Données projet'!$B$88,BD22+BC23-BL22)))</f>
        <v>77.742857142857133</v>
      </c>
      <c r="BE23" s="14">
        <f>BD23*VLOOKUP('Données projet'!$B$11,Paramètres!$A$1:$I$89,3,0)*VLOOKUP('Données projet'!$B$11,Paramètres!$A$1:$I$89,5,0)</f>
        <v>78.83125714285714</v>
      </c>
      <c r="BF23" s="14">
        <f t="shared" si="37"/>
        <v>21.851176119320101</v>
      </c>
      <c r="BG23" s="22">
        <f t="shared" si="7"/>
        <v>175.35523793162534</v>
      </c>
      <c r="BH23" s="62">
        <f t="shared" si="8"/>
        <v>456.46634904273651</v>
      </c>
      <c r="BI23" s="62">
        <f ca="1">AVERAGE(OFFSET($BH$3,0,0,'Données projet'!$E$11+1,1))-AVERAGE(OFFSET($H$3,0,0,'Données projet'!$E$11+1,1))</f>
        <v>502.06005292569733</v>
      </c>
      <c r="BJ23" s="62">
        <f t="shared" si="38"/>
        <v>297.06786598620607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50.64</v>
      </c>
      <c r="BW23" s="13">
        <f>VLOOKUP(A23,'Données projet'!$A$113:$I$133,9,0)</f>
        <v>2.532</v>
      </c>
      <c r="BX23" s="13">
        <f t="array" ref="BX23">INDEX(BW:BW,MIN(IF(ISNUMBER(BW23:BW219),ROW(BW23:BW219),"")))</f>
        <v>2.532</v>
      </c>
      <c r="BY23" s="13">
        <f>IF('Données projet'!$A$114&gt;35,BY22+BX23-CG22,IF(A23&lt;'Données projet'!$A$114,$BV$205^A23,IF(A23='Données projet'!$A$114,'Données projet'!$B$114,BY22+BX23-CG22)))</f>
        <v>50.64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10.9</v>
      </c>
      <c r="CH23" s="17" t="e">
        <f>IF(ISNA(VLOOKUP(A23,'Données projet'!$A$113:$I$133,5,0)),0%,VLOOKUP(A23,'Données projet'!$A$113:$I$133,5,0)*VLOOKUP('Données projet'!$B$12,Paramètres!$A$1:$I$89,7,0))</f>
        <v>#N/A</v>
      </c>
      <c r="CI23" s="17" t="e">
        <f>IF(ISNA(VLOOKUP(A23,'Données projet'!$A$113:$I$133,6,0)),0%,VLOOKUP(A23,'Données projet'!$A$113:$I$133,6,0)*VLOOKUP('Données projet'!$B$12,Paramètres!$A$1:$I$89,7,0))</f>
        <v>#N/A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92.95</v>
      </c>
      <c r="CR23" s="13">
        <f>VLOOKUP(A23,'Données projet'!$A$139:$I$159,9,0)</f>
        <v>6.2820000000000009</v>
      </c>
      <c r="CS23" s="13">
        <f t="array" ref="CS23">INDEX(CR:CR,MIN(IF(ISNUMBER(CR23:CR219),ROW(CR23:CR219),"")))</f>
        <v>6.2820000000000009</v>
      </c>
      <c r="CT23" s="13">
        <f>IF('Données projet'!$A$140&gt;35,CT22+CS23-DB22,IF(A23&lt;'Données projet'!$A$140,$CQ$205^A23,IF(A23='Données projet'!$A$140,'Données projet'!$B$140,CT22+CS23-DB22)))</f>
        <v>92.949999999999974</v>
      </c>
      <c r="CU23" s="18">
        <f>CT23*VLOOKUP('Données projet'!$B$13,Paramètres!$A$1:$I$89,3,0)*VLOOKUP('Données projet'!$B$13,Paramètres!$A$1:$I$89,5,0)</f>
        <v>84.101159999999979</v>
      </c>
      <c r="CV23" s="14">
        <f t="shared" si="41"/>
        <v>23.137002831024251</v>
      </c>
      <c r="CW23" s="22">
        <f t="shared" si="13"/>
        <v>186.77313359736718</v>
      </c>
      <c r="CX23" s="62">
        <f t="shared" si="14"/>
        <v>467.88424470847832</v>
      </c>
      <c r="CY23" s="62">
        <f ca="1">AVERAGE(OFFSET($CX$3,0,0,'Données projet'!$E$13+1,1))-AVERAGE(OFFSET($H$3,0,0,'Données projet'!$E$13+1,1))</f>
        <v>204.787338911576</v>
      </c>
      <c r="CZ23" s="62">
        <f t="shared" si="42"/>
        <v>287.24932051638558</v>
      </c>
      <c r="DA23" s="16">
        <f>IF(ISNA(VLOOKUP(A23,'Données projet'!$A$139:$I$159,3,0)),0,VLOOKUP(A23,'Données projet'!$A$139:$I$159,3,0))</f>
        <v>4</v>
      </c>
      <c r="DB23" s="16">
        <f>IF(ISNA(VLOOKUP(A23,'Données projet'!$A$139:$I$159,4,0)),0,VLOOKUP(A23,'Données projet'!$A$139:$I$159,4,0))</f>
        <v>8.9700000000000006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1.325</v>
      </c>
      <c r="DO23" s="13">
        <f>IF('Données projet'!$A$166&gt;35,DO22+DN23-DW22,IF(A23&lt;'Données projet'!$A$166,$DL$205^A23,IF(A23='Données projet'!$A$166,'Données projet'!$B$166,DO22+DN23-DW22)))</f>
        <v>26.499999999999993</v>
      </c>
      <c r="DP23" s="18">
        <f>DO23*VLOOKUP('Données projet'!$B$14,Paramètres!$A$1:$I$89,3,0)*VLOOKUP('Données projet'!$B$14,Paramètres!$A$1:$I$89,5,0)</f>
        <v>25.217399999999994</v>
      </c>
      <c r="DQ23" s="14">
        <f t="shared" si="43"/>
        <v>7.9816826512192849</v>
      </c>
      <c r="DR23" s="22">
        <f t="shared" si="16"/>
        <v>57.821735617540241</v>
      </c>
      <c r="DS23" s="62">
        <f t="shared" si="17"/>
        <v>338.93284672865138</v>
      </c>
      <c r="DT23" s="62">
        <f ca="1">AVERAGE(OFFSET($DS$3,0,0,'Données projet'!$E$14+1,1))-AVERAGE(OFFSET($H$3,0,0,'Données projet'!$E$14+1,1))</f>
        <v>309.55876703480277</v>
      </c>
      <c r="DU23" s="62">
        <f t="shared" si="44"/>
        <v>122.43799205838684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4.0476666666666672</v>
      </c>
      <c r="EJ23" s="13">
        <f>IF('Données projet'!$A$192&gt;35,EJ22+EI23-ER22,IF(A23&lt;'Données projet'!$A$192,$EG$205^A23,IF(A23='Données projet'!$A$192,'Données projet'!$B$192,EJ22+EI23-ER22)))</f>
        <v>24.521704991495451</v>
      </c>
      <c r="EK23" s="18">
        <f>EJ23*VLOOKUP('Données projet'!$B$15,Paramètres!$A$1:$I$89,3,0)*VLOOKUP('Données projet'!$B$15,Paramètres!$A$1:$I$89,5,0)</f>
        <v>11.47615793601987</v>
      </c>
      <c r="EL23" s="14">
        <f t="shared" si="45"/>
        <v>3.9809641513921119</v>
      </c>
      <c r="EM23" s="22">
        <f t="shared" si="19"/>
        <v>26.921154302242531</v>
      </c>
      <c r="EN23" s="62">
        <f t="shared" si="20"/>
        <v>308.03226541335368</v>
      </c>
      <c r="EO23" s="62">
        <f ca="1">AVERAGE(OFFSET($EN$3,0,0,'Données projet'!$E$15+1,1))-AVERAGE(OFFSET($H$3,0,0,'Données projet'!$E$15+1,1))</f>
        <v>301.04834785168049</v>
      </c>
      <c r="EP23" s="62">
        <f t="shared" si="46"/>
        <v>164.1450425611464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3.1761666666666666</v>
      </c>
      <c r="FE23" s="13">
        <f>IF('Données projet'!$A$218&gt;35,FE22+FD23-FM22,IF(A23&lt;'Données projet'!$A$218,$FB$205^A23,IF(A23='Données projet'!$A$218,'Données projet'!$B$218,FE22+FD23-FM22)))</f>
        <v>63.523333333333333</v>
      </c>
      <c r="FF23" s="18">
        <f>FE23*VLOOKUP('Données projet'!$B$16,Paramètres!$A$1:$I$89,3,0)*VLOOKUP('Données projet'!$B$16,Paramètres!$A$1:$I$89,5,0)</f>
        <v>57.475912000000001</v>
      </c>
      <c r="FG23" s="14">
        <f t="shared" si="47"/>
        <v>16.528512883325526</v>
      </c>
      <c r="FH23" s="22">
        <f t="shared" si="22"/>
        <v>128.89104000512529</v>
      </c>
      <c r="FI23" s="62">
        <f t="shared" si="23"/>
        <v>410.0021511162364</v>
      </c>
      <c r="FJ23" s="62">
        <f ca="1">AVERAGE(OFFSET($FI$3,0,0,'Données projet'!$E$16+1,1))-AVERAGE(OFFSET($H$3,0,0,'Données projet'!$E$16+1,1))</f>
        <v>330.53726676433649</v>
      </c>
      <c r="FK23" s="62">
        <f t="shared" si="48"/>
        <v>228.01260676706528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3.1761666666666666</v>
      </c>
      <c r="FZ23" s="13">
        <f>IF('Données projet'!$A$244&gt;35,FZ22+FY23-GH22,IF(A23&lt;'Données projet'!$A$244,$FW$205^A23,IF(A23='Données projet'!$A$244,'Données projet'!$B$244,FZ22+FY23-GH22)))</f>
        <v>63.523333333333333</v>
      </c>
      <c r="GA23" s="18">
        <f>FZ23*VLOOKUP('Données projet'!$B$17,Paramètres!$A$1:$I$89,3,0)*VLOOKUP('Données projet'!$B$17,Paramètres!$A$1:$I$89,5,0)</f>
        <v>72.340372000000002</v>
      </c>
      <c r="GB23" s="14">
        <f t="shared" si="49"/>
        <v>20.253537327862222</v>
      </c>
      <c r="GC23" s="22">
        <f t="shared" si="25"/>
        <v>161.26772541269335</v>
      </c>
      <c r="GD23" s="62">
        <f t="shared" si="26"/>
        <v>442.37883652380447</v>
      </c>
      <c r="GE23" s="62">
        <f ca="1">AVERAGE(OFFSET($GD$3,0,0,'Données projet'!$E$17+1,1))-AVERAGE(OFFSET($H$3,0,0,'Données projet'!$E$17+1,1))</f>
        <v>405.71017054131318</v>
      </c>
      <c r="GF23" s="62">
        <f t="shared" si="50"/>
        <v>276.12900965322166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3.1761666666666666</v>
      </c>
      <c r="GU23" s="13">
        <f>IF('Données projet'!$A$270&gt;35,GU22+GT23-HC22,IF(A23&lt;'Données projet'!$A$270,$GR$205^A23,IF(A23='Données projet'!$A$270,'Données projet'!$B$270,GU22+GT23-HC22)))</f>
        <v>63.523333333333333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3.887142857142857</v>
      </c>
      <c r="N24" s="14">
        <f>IF('Données projet'!$A$36&gt;35,N23+M24-V23,IF(A24&lt;'Données projet'!$A$36,$K$205^A24,IF(A24='Données projet'!$A$36,'Données projet'!$B$36,N23+M24-V23)))</f>
        <v>81.63</v>
      </c>
      <c r="O24" s="14">
        <f>N24*VLOOKUP('Données projet'!$B$9,Paramètres!$A$1:$I$89,3,0)*VLOOKUP('Données projet'!$B$9,Paramètres!$A$1:$I$89,5,0)</f>
        <v>73.858823999999984</v>
      </c>
      <c r="P24" s="14">
        <f t="shared" si="33"/>
        <v>20.628726373651425</v>
      </c>
      <c r="Q24" s="22">
        <f t="shared" si="2"/>
        <v>164.56581690077618</v>
      </c>
      <c r="R24" s="62">
        <f t="shared" si="0"/>
        <v>446.89915023410947</v>
      </c>
      <c r="S24" s="62">
        <f ca="1">AVERAGE(OFFSET($R$3,0,0,'Données projet'!$E$9+1,1))-AVERAGE(OFFSET($H$3,0,0,'Données projet'!$E$9+1,1))</f>
        <v>452.54136967045082</v>
      </c>
      <c r="T24" s="62">
        <f t="shared" si="34"/>
        <v>269.67340993773422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109.91</v>
      </c>
      <c r="AG24" s="13">
        <f>VLOOKUP(A24,'Données projet'!$A$61:$I$81,9,0)</f>
        <v>14.6</v>
      </c>
      <c r="AH24" s="13">
        <f t="array" ref="AH24">INDEX(AG:AG,MIN(IF(ISNUMBER(AG24:AG220),ROW(AG24:AG220),"")))</f>
        <v>14.6</v>
      </c>
      <c r="AI24" s="14">
        <f>IF('Données projet'!$A$62&gt;35,AI23+AH24-AQ23,IF(A24&lt;'Données projet'!$A$62,$AF$205^A24,IF(A24='Données projet'!$A$62,'Données projet'!$B$62,AI23+AH24-AQ23)))</f>
        <v>109.90999999999998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 t="e">
        <f>IF(ISNA(VLOOKUP(A24,'Données projet'!$A$61:$I$81,5,0)),0%,VLOOKUP(A24,'Données projet'!$A$61:$I$81,5,0)*VLOOKUP('Données projet'!$B$10,Paramètres!$A$1:$I$89,7,0))</f>
        <v>#N/A</v>
      </c>
      <c r="AS24" s="17" t="e">
        <f>IF(ISNA(VLOOKUP(A24,'Données projet'!$A$61:$I$81,6,0)),0%,VLOOKUP(A24,'Données projet'!$A$61:$I$81,6,0)*VLOOKUP('Données projet'!$B$10,Paramètres!$A$1:$I$89,7,0))</f>
        <v>#N/A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3.887142857142857</v>
      </c>
      <c r="BD24" s="13">
        <f>IF('Données projet'!$A$88&gt;35,BD23+BC24-BL23,IF(A24&lt;'Données projet'!$A$88,$BA$205^A24,IF(A24='Données projet'!$A$88,'Données projet'!$B$88,BD23+BC24-BL23)))</f>
        <v>81.63</v>
      </c>
      <c r="BE24" s="14">
        <f>BD24*VLOOKUP('Données projet'!$B$11,Paramètres!$A$1:$I$89,3,0)*VLOOKUP('Données projet'!$B$11,Paramètres!$A$1:$I$89,5,0)</f>
        <v>82.772819999999996</v>
      </c>
      <c r="BF24" s="14">
        <f t="shared" si="37"/>
        <v>22.813802740025121</v>
      </c>
      <c r="BG24" s="22">
        <f t="shared" si="7"/>
        <v>183.89670127221041</v>
      </c>
      <c r="BH24" s="62">
        <f t="shared" si="8"/>
        <v>466.23003460554372</v>
      </c>
      <c r="BI24" s="62">
        <f ca="1">AVERAGE(OFFSET($BH$3,0,0,'Données projet'!$E$11+1,1))-AVERAGE(OFFSET($H$3,0,0,'Données projet'!$E$11+1,1))</f>
        <v>502.06005292569733</v>
      </c>
      <c r="BJ24" s="62">
        <f t="shared" si="38"/>
        <v>297.06786598620607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5.8980000000000006</v>
      </c>
      <c r="BY24" s="13">
        <f>IF('Données projet'!$A$114&gt;35,BY23+BX24-CG23,IF(A24&lt;'Données projet'!$A$114,$BV$205^A24,IF(A24='Données projet'!$A$114,'Données projet'!$B$114,BY23+BX24-CG23)))</f>
        <v>45.638000000000005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5.3840000000000003</v>
      </c>
      <c r="CT24" s="13">
        <f>IF('Données projet'!$A$140&gt;35,CT23+CS24-DB23,IF(A24&lt;'Données projet'!$A$140,$CQ$205^A24,IF(A24='Données projet'!$A$140,'Données projet'!$B$140,CT23+CS24-DB23)))</f>
        <v>89.363999999999976</v>
      </c>
      <c r="CU24" s="18">
        <f>CT24*VLOOKUP('Données projet'!$B$13,Paramètres!$A$1:$I$89,3,0)*VLOOKUP('Données projet'!$B$13,Paramètres!$A$1:$I$89,5,0)</f>
        <v>80.85654719999998</v>
      </c>
      <c r="CV24" s="14">
        <f t="shared" si="41"/>
        <v>22.34648438508297</v>
      </c>
      <c r="CW24" s="22">
        <f t="shared" si="13"/>
        <v>179.74528001068612</v>
      </c>
      <c r="CX24" s="62">
        <f t="shared" si="14"/>
        <v>462.07861334401946</v>
      </c>
      <c r="CY24" s="62">
        <f ca="1">AVERAGE(OFFSET($CX$3,0,0,'Données projet'!$E$13+1,1))-AVERAGE(OFFSET($H$3,0,0,'Données projet'!$E$13+1,1))</f>
        <v>204.787338911576</v>
      </c>
      <c r="CZ24" s="62">
        <f t="shared" si="42"/>
        <v>287.24932051638558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1.325</v>
      </c>
      <c r="DO24" s="13">
        <f>IF('Données projet'!$A$166&gt;35,DO23+DN24-DW23,IF(A24&lt;'Données projet'!$A$166,$DL$205^A24,IF(A24='Données projet'!$A$166,'Données projet'!$B$166,DO23+DN24-DW23)))</f>
        <v>27.824999999999992</v>
      </c>
      <c r="DP24" s="18">
        <f>DO24*VLOOKUP('Données projet'!$B$14,Paramètres!$A$1:$I$89,3,0)*VLOOKUP('Données projet'!$B$14,Paramètres!$A$1:$I$89,5,0)</f>
        <v>26.478269999999995</v>
      </c>
      <c r="DQ24" s="14">
        <f t="shared" si="43"/>
        <v>8.333305838736857</v>
      </c>
      <c r="DR24" s="22">
        <f t="shared" si="16"/>
        <v>60.630161252466685</v>
      </c>
      <c r="DS24" s="62">
        <f t="shared" si="17"/>
        <v>342.96349458579999</v>
      </c>
      <c r="DT24" s="62">
        <f ca="1">AVERAGE(OFFSET($DS$3,0,0,'Données projet'!$E$14+1,1))-AVERAGE(OFFSET($H$3,0,0,'Données projet'!$E$14+1,1))</f>
        <v>309.55876703480277</v>
      </c>
      <c r="DU24" s="62">
        <f t="shared" si="44"/>
        <v>122.43799205838684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4.0476666666666672</v>
      </c>
      <c r="EJ24" s="13">
        <f>IF('Données projet'!$A$192&gt;35,EJ23+EI24-ER23,IF(A24&lt;'Données projet'!$A$192,$EG$205^A24,IF(A24='Données projet'!$A$192,'Données projet'!$B$192,EJ23+EI24-ER23)))</f>
        <v>28.775852355116477</v>
      </c>
      <c r="EK24" s="18">
        <f>EJ24*VLOOKUP('Données projet'!$B$15,Paramètres!$A$1:$I$89,3,0)*VLOOKUP('Données projet'!$B$15,Paramètres!$A$1:$I$89,5,0)</f>
        <v>13.467098902194511</v>
      </c>
      <c r="EL24" s="14">
        <f t="shared" si="45"/>
        <v>4.5854146595942122</v>
      </c>
      <c r="EM24" s="22">
        <f t="shared" si="19"/>
        <v>31.44146112011536</v>
      </c>
      <c r="EN24" s="62">
        <f t="shared" si="20"/>
        <v>313.77479445344869</v>
      </c>
      <c r="EO24" s="62">
        <f ca="1">AVERAGE(OFFSET($EN$3,0,0,'Données projet'!$E$15+1,1))-AVERAGE(OFFSET($H$3,0,0,'Données projet'!$E$15+1,1))</f>
        <v>301.04834785168049</v>
      </c>
      <c r="EP24" s="62">
        <f t="shared" si="46"/>
        <v>164.1450425611464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3.1761666666666666</v>
      </c>
      <c r="FE24" s="13">
        <f>IF('Données projet'!$A$218&gt;35,FE23+FD24-FM23,IF(A24&lt;'Données projet'!$A$218,$FB$205^A24,IF(A24='Données projet'!$A$218,'Données projet'!$B$218,FE23+FD24-FM23)))</f>
        <v>66.6995</v>
      </c>
      <c r="FF24" s="18">
        <f>FE24*VLOOKUP('Données projet'!$B$16,Paramètres!$A$1:$I$89,3,0)*VLOOKUP('Données projet'!$B$16,Paramètres!$A$1:$I$89,5,0)</f>
        <v>60.349707600000002</v>
      </c>
      <c r="FG24" s="14">
        <f t="shared" si="47"/>
        <v>17.25665613819076</v>
      </c>
      <c r="FH24" s="22">
        <f t="shared" si="22"/>
        <v>135.16441684401556</v>
      </c>
      <c r="FI24" s="62">
        <f t="shared" si="23"/>
        <v>417.49775017734885</v>
      </c>
      <c r="FJ24" s="62">
        <f ca="1">AVERAGE(OFFSET($FI$3,0,0,'Données projet'!$E$16+1,1))-AVERAGE(OFFSET($H$3,0,0,'Données projet'!$E$16+1,1))</f>
        <v>330.53726676433649</v>
      </c>
      <c r="FK24" s="62">
        <f t="shared" si="48"/>
        <v>228.01260676706528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3.1761666666666666</v>
      </c>
      <c r="FZ24" s="13">
        <f>IF('Données projet'!$A$244&gt;35,FZ23+FY24-GH23,IF(A24&lt;'Données projet'!$A$244,$FW$205^A24,IF(A24='Données projet'!$A$244,'Données projet'!$B$244,FZ23+FY24-GH23)))</f>
        <v>66.6995</v>
      </c>
      <c r="GA24" s="18">
        <f>FZ24*VLOOKUP('Données projet'!$B$17,Paramètres!$A$1:$I$89,3,0)*VLOOKUP('Données projet'!$B$17,Paramètres!$A$1:$I$89,5,0)</f>
        <v>75.957390599999997</v>
      </c>
      <c r="GB24" s="14">
        <f t="shared" si="49"/>
        <v>21.145781941551693</v>
      </c>
      <c r="GC24" s="22">
        <f t="shared" si="25"/>
        <v>169.1213588432025</v>
      </c>
      <c r="GD24" s="62">
        <f t="shared" si="26"/>
        <v>451.45469217653579</v>
      </c>
      <c r="GE24" s="62">
        <f ca="1">AVERAGE(OFFSET($GD$3,0,0,'Données projet'!$E$17+1,1))-AVERAGE(OFFSET($H$3,0,0,'Données projet'!$E$17+1,1))</f>
        <v>405.71017054131318</v>
      </c>
      <c r="GF24" s="62">
        <f t="shared" si="50"/>
        <v>276.12900965322166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3.1761666666666666</v>
      </c>
      <c r="GU24" s="13">
        <f>IF('Données projet'!$A$270&gt;35,GU23+GT24-HC23,IF(A24&lt;'Données projet'!$A$270,$GR$205^A24,IF(A24='Données projet'!$A$270,'Données projet'!$B$270,GU23+GT24-HC23)))</f>
        <v>66.6995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3.887142857142857</v>
      </c>
      <c r="N25" s="14">
        <f>IF('Données projet'!$A$36&gt;35,N24+M25-V24,IF(A25&lt;'Données projet'!$A$36,$K$205^A25,IF(A25='Données projet'!$A$36,'Données projet'!$B$36,N24+M25-V24)))</f>
        <v>85.517142857142858</v>
      </c>
      <c r="O25" s="14">
        <f>N25*VLOOKUP('Données projet'!$B$9,Paramètres!$A$1:$I$89,3,0)*VLOOKUP('Données projet'!$B$9,Paramètres!$A$1:$I$89,5,0)</f>
        <v>77.375910857142856</v>
      </c>
      <c r="P25" s="14">
        <f t="shared" si="33"/>
        <v>21.49434063873689</v>
      </c>
      <c r="Q25" s="22">
        <f t="shared" si="2"/>
        <v>172.19902135532388</v>
      </c>
      <c r="R25" s="62">
        <f t="shared" si="0"/>
        <v>455.75457691087945</v>
      </c>
      <c r="S25" s="62">
        <f ca="1">AVERAGE(OFFSET($R$3,0,0,'Données projet'!$E$9+1,1))-AVERAGE(OFFSET($H$3,0,0,'Données projet'!$E$9+1,1))</f>
        <v>452.54136967045082</v>
      </c>
      <c r="T25" s="62">
        <f t="shared" si="34"/>
        <v>269.67340993773422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129.07</v>
      </c>
      <c r="AG25" s="13">
        <f>VLOOKUP(A25,'Données projet'!$A$61:$I$81,9,0)</f>
        <v>19.159999999999997</v>
      </c>
      <c r="AH25" s="13">
        <f t="array" ref="AH25">INDEX(AG:AG,MIN(IF(ISNUMBER(AG25:AG221),ROW(AG25:AG221),"")))</f>
        <v>19.159999999999997</v>
      </c>
      <c r="AI25" s="14">
        <f>IF('Données projet'!$A$62&gt;35,AI24+AH25-AQ24,IF(A25&lt;'Données projet'!$A$62,$AF$205^A25,IF(A25='Données projet'!$A$62,'Données projet'!$B$62,AI24+AH25-AQ24)))</f>
        <v>129.07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52.41</v>
      </c>
      <c r="AR25" s="17" t="e">
        <f>IF(ISNA(VLOOKUP(A25,'Données projet'!$A$61:$I$81,5,0)),0%,VLOOKUP(A25,'Données projet'!$A$61:$I$81,5,0)*VLOOKUP('Données projet'!$B$10,Paramètres!$A$1:$I$89,7,0))</f>
        <v>#N/A</v>
      </c>
      <c r="AS25" s="17" t="e">
        <f>IF(ISNA(VLOOKUP(A25,'Données projet'!$A$61:$I$81,6,0)),0%,VLOOKUP(A25,'Données projet'!$A$61:$I$81,6,0)*VLOOKUP('Données projet'!$B$10,Paramètres!$A$1:$I$89,7,0))</f>
        <v>#N/A</v>
      </c>
      <c r="AT25" s="17">
        <f>IF(ISNA(VLOOKUP(A25,'Données projet'!$A$61:$I$81,7,0)),0%,VLOOKUP(A25,'Données projet'!$A$61:$I$81,7,0))</f>
        <v>0.35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3.887142857142857</v>
      </c>
      <c r="BD25" s="13">
        <f>IF('Données projet'!$A$88&gt;35,BD24+BC25-BL24,IF(A25&lt;'Données projet'!$A$88,$BA$205^A25,IF(A25='Données projet'!$A$88,'Données projet'!$B$88,BD24+BC25-BL24)))</f>
        <v>85.517142857142858</v>
      </c>
      <c r="BE25" s="14">
        <f>BD25*VLOOKUP('Données projet'!$B$11,Paramètres!$A$1:$I$89,3,0)*VLOOKUP('Données projet'!$B$11,Paramètres!$A$1:$I$89,5,0)</f>
        <v>86.714382857142866</v>
      </c>
      <c r="BF25" s="14">
        <f t="shared" si="37"/>
        <v>23.771106295024762</v>
      </c>
      <c r="BG25" s="22">
        <f t="shared" si="7"/>
        <v>192.42889360669196</v>
      </c>
      <c r="BH25" s="62">
        <f t="shared" si="8"/>
        <v>475.98444916224753</v>
      </c>
      <c r="BI25" s="62">
        <f ca="1">AVERAGE(OFFSET($BH$3,0,0,'Données projet'!$E$11+1,1))-AVERAGE(OFFSET($H$3,0,0,'Données projet'!$E$11+1,1))</f>
        <v>502.06005292569733</v>
      </c>
      <c r="BJ25" s="62">
        <f t="shared" si="38"/>
        <v>297.06786598620607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5.8980000000000006</v>
      </c>
      <c r="BY25" s="13">
        <f>IF('Données projet'!$A$114&gt;35,BY24+BX25-CG24,IF(A25&lt;'Données projet'!$A$114,$BV$205^A25,IF(A25='Données projet'!$A$114,'Données projet'!$B$114,BY24+BX25-CG24)))</f>
        <v>51.536000000000008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5.3840000000000003</v>
      </c>
      <c r="CT25" s="13">
        <f>IF('Données projet'!$A$140&gt;35,CT24+CS25-DB24,IF(A25&lt;'Données projet'!$A$140,$CQ$205^A25,IF(A25='Données projet'!$A$140,'Données projet'!$B$140,CT24+CS25-DB24)))</f>
        <v>94.747999999999976</v>
      </c>
      <c r="CU25" s="18">
        <f>CT25*VLOOKUP('Données projet'!$B$13,Paramètres!$A$1:$I$89,3,0)*VLOOKUP('Données projet'!$B$13,Paramètres!$A$1:$I$89,5,0)</f>
        <v>85.727990399999982</v>
      </c>
      <c r="CV25" s="14">
        <f t="shared" si="41"/>
        <v>23.532021282003434</v>
      </c>
      <c r="CW25" s="22">
        <f t="shared" si="13"/>
        <v>190.29452034615596</v>
      </c>
      <c r="CX25" s="62">
        <f t="shared" si="14"/>
        <v>473.85007590171153</v>
      </c>
      <c r="CY25" s="62">
        <f ca="1">AVERAGE(OFFSET($CX$3,0,0,'Données projet'!$E$13+1,1))-AVERAGE(OFFSET($H$3,0,0,'Données projet'!$E$13+1,1))</f>
        <v>204.787338911576</v>
      </c>
      <c r="CZ25" s="62">
        <f t="shared" si="42"/>
        <v>287.24932051638558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1.325</v>
      </c>
      <c r="DO25" s="13">
        <f>IF('Données projet'!$A$166&gt;35,DO24+DN25-DW24,IF(A25&lt;'Données projet'!$A$166,$DL$205^A25,IF(A25='Données projet'!$A$166,'Données projet'!$B$166,DO24+DN25-DW24)))</f>
        <v>29.149999999999991</v>
      </c>
      <c r="DP25" s="18">
        <f>DO25*VLOOKUP('Données projet'!$B$14,Paramètres!$A$1:$I$89,3,0)*VLOOKUP('Données projet'!$B$14,Paramètres!$A$1:$I$89,5,0)</f>
        <v>27.739139999999992</v>
      </c>
      <c r="DQ25" s="14">
        <f t="shared" si="43"/>
        <v>8.682984644818843</v>
      </c>
      <c r="DR25" s="22">
        <f t="shared" si="16"/>
        <v>63.435200423059477</v>
      </c>
      <c r="DS25" s="62">
        <f t="shared" si="17"/>
        <v>346.99075597861503</v>
      </c>
      <c r="DT25" s="62">
        <f ca="1">AVERAGE(OFFSET($DS$3,0,0,'Données projet'!$E$14+1,1))-AVERAGE(OFFSET($H$3,0,0,'Données projet'!$E$14+1,1))</f>
        <v>309.55876703480277</v>
      </c>
      <c r="DU25" s="62">
        <f t="shared" si="44"/>
        <v>122.43799205838684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4.0476666666666672</v>
      </c>
      <c r="EJ25" s="13">
        <f>IF('Données projet'!$A$192&gt;35,EJ24+EI25-ER24,IF(A25&lt;'Données projet'!$A$192,$EG$205^A25,IF(A25='Données projet'!$A$192,'Données projet'!$B$192,EJ24+EI25-ER24)))</f>
        <v>33.768030365369967</v>
      </c>
      <c r="EK25" s="18">
        <f>EJ25*VLOOKUP('Données projet'!$B$15,Paramètres!$A$1:$I$89,3,0)*VLOOKUP('Données projet'!$B$15,Paramètres!$A$1:$I$89,5,0)</f>
        <v>15.803438210993145</v>
      </c>
      <c r="EL25" s="14">
        <f t="shared" si="45"/>
        <v>5.281642034648538</v>
      </c>
      <c r="EM25" s="22">
        <f t="shared" si="19"/>
        <v>36.723181427825928</v>
      </c>
      <c r="EN25" s="62">
        <f t="shared" si="20"/>
        <v>320.27873698338146</v>
      </c>
      <c r="EO25" s="62">
        <f ca="1">AVERAGE(OFFSET($EN$3,0,0,'Données projet'!$E$15+1,1))-AVERAGE(OFFSET($H$3,0,0,'Données projet'!$E$15+1,1))</f>
        <v>301.04834785168049</v>
      </c>
      <c r="EP25" s="62">
        <f t="shared" si="46"/>
        <v>164.1450425611464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3.1761666666666666</v>
      </c>
      <c r="FE25" s="13">
        <f>IF('Données projet'!$A$218&gt;35,FE24+FD25-FM24,IF(A25&lt;'Données projet'!$A$218,$FB$205^A25,IF(A25='Données projet'!$A$218,'Données projet'!$B$218,FE24+FD25-FM24)))</f>
        <v>69.87566666666666</v>
      </c>
      <c r="FF25" s="18">
        <f>FE25*VLOOKUP('Données projet'!$B$16,Paramètres!$A$1:$I$89,3,0)*VLOOKUP('Données projet'!$B$16,Paramètres!$A$1:$I$89,5,0)</f>
        <v>63.223503199999989</v>
      </c>
      <c r="FG25" s="14">
        <f t="shared" si="47"/>
        <v>17.980772957151121</v>
      </c>
      <c r="FH25" s="22">
        <f t="shared" si="22"/>
        <v>141.43078097370486</v>
      </c>
      <c r="FI25" s="62">
        <f t="shared" si="23"/>
        <v>424.98633652926037</v>
      </c>
      <c r="FJ25" s="62">
        <f ca="1">AVERAGE(OFFSET($FI$3,0,0,'Données projet'!$E$16+1,1))-AVERAGE(OFFSET($H$3,0,0,'Données projet'!$E$16+1,1))</f>
        <v>330.53726676433649</v>
      </c>
      <c r="FK25" s="62">
        <f t="shared" si="48"/>
        <v>228.01260676706528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3.1761666666666666</v>
      </c>
      <c r="FZ25" s="13">
        <f>IF('Données projet'!$A$244&gt;35,FZ24+FY25-GH24,IF(A25&lt;'Données projet'!$A$244,$FW$205^A25,IF(A25='Données projet'!$A$244,'Données projet'!$B$244,FZ24+FY25-GH24)))</f>
        <v>69.87566666666666</v>
      </c>
      <c r="GA25" s="18">
        <f>FZ25*VLOOKUP('Données projet'!$B$17,Paramètres!$A$1:$I$89,3,0)*VLOOKUP('Données projet'!$B$17,Paramètres!$A$1:$I$89,5,0)</f>
        <v>79.574409199999991</v>
      </c>
      <c r="GB25" s="14">
        <f t="shared" si="49"/>
        <v>22.033092683060808</v>
      </c>
      <c r="GC25" s="22">
        <f t="shared" si="25"/>
        <v>176.96639911299755</v>
      </c>
      <c r="GD25" s="62">
        <f t="shared" si="26"/>
        <v>460.52195466855312</v>
      </c>
      <c r="GE25" s="62">
        <f ca="1">AVERAGE(OFFSET($GD$3,0,0,'Données projet'!$E$17+1,1))-AVERAGE(OFFSET($H$3,0,0,'Données projet'!$E$17+1,1))</f>
        <v>405.71017054131318</v>
      </c>
      <c r="GF25" s="62">
        <f t="shared" si="50"/>
        <v>276.12900965322166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3.1761666666666666</v>
      </c>
      <c r="GU25" s="13">
        <f>IF('Données projet'!$A$270&gt;35,GU24+GT25-HC24,IF(A25&lt;'Données projet'!$A$270,$GR$205^A25,IF(A25='Données projet'!$A$270,'Données projet'!$B$270,GU24+GT25-HC24)))</f>
        <v>69.87566666666666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3.887142857142857</v>
      </c>
      <c r="N26" s="14">
        <f>IF('Données projet'!$A$36&gt;35,N25+M26-V25,IF(A26&lt;'Données projet'!$A$36,$K$205^A26,IF(A26='Données projet'!$A$36,'Données projet'!$B$36,N25+M26-V25)))</f>
        <v>89.40428571428572</v>
      </c>
      <c r="O26" s="14">
        <f>N26*VLOOKUP('Données projet'!$B$9,Paramètres!$A$1:$I$89,3,0)*VLOOKUP('Données projet'!$B$9,Paramètres!$A$1:$I$89,5,0)</f>
        <v>80.892997714285713</v>
      </c>
      <c r="P26" s="14">
        <f t="shared" si="33"/>
        <v>22.355385450466887</v>
      </c>
      <c r="Q26" s="22">
        <f t="shared" si="2"/>
        <v>179.82426734527743</v>
      </c>
      <c r="R26" s="62">
        <f t="shared" si="0"/>
        <v>464.60204512305518</v>
      </c>
      <c r="S26" s="62">
        <f ca="1">AVERAGE(OFFSET($R$3,0,0,'Données projet'!$E$9+1,1))-AVERAGE(OFFSET($H$3,0,0,'Données projet'!$E$9+1,1))</f>
        <v>452.54136967045082</v>
      </c>
      <c r="T26" s="62">
        <f t="shared" si="34"/>
        <v>269.67340993773422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13.875</v>
      </c>
      <c r="AI26" s="14">
        <f>IF('Données projet'!$A$62&gt;35,AI25+AH26-AQ25,IF(A26&lt;'Données projet'!$A$62,$AF$205^A26,IF(A26='Données projet'!$A$62,'Données projet'!$B$62,AI25+AH26-AQ25)))</f>
        <v>90.534999999999997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3.887142857142857</v>
      </c>
      <c r="BD26" s="13">
        <f>IF('Données projet'!$A$88&gt;35,BD25+BC26-BL25,IF(A26&lt;'Données projet'!$A$88,$BA$205^A26,IF(A26='Données projet'!$A$88,'Données projet'!$B$88,BD25+BC26-BL25)))</f>
        <v>89.40428571428572</v>
      </c>
      <c r="BE26" s="14">
        <f>BD26*VLOOKUP('Données projet'!$B$11,Paramètres!$A$1:$I$89,3,0)*VLOOKUP('Données projet'!$B$11,Paramètres!$A$1:$I$89,5,0)</f>
        <v>90.655945714285721</v>
      </c>
      <c r="BF26" s="14">
        <f t="shared" si="37"/>
        <v>24.723356382079128</v>
      </c>
      <c r="BG26" s="22">
        <f t="shared" si="7"/>
        <v>200.95228448450212</v>
      </c>
      <c r="BH26" s="62">
        <f t="shared" si="8"/>
        <v>485.73006226227989</v>
      </c>
      <c r="BI26" s="62">
        <f ca="1">AVERAGE(OFFSET($BH$3,0,0,'Données projet'!$E$11+1,1))-AVERAGE(OFFSET($H$3,0,0,'Données projet'!$E$11+1,1))</f>
        <v>502.06005292569733</v>
      </c>
      <c r="BJ26" s="62">
        <f t="shared" si="38"/>
        <v>297.06786598620607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5.8980000000000006</v>
      </c>
      <c r="BY26" s="13">
        <f>IF('Données projet'!$A$114&gt;35,BY25+BX26-CG25,IF(A26&lt;'Données projet'!$A$114,$BV$205^A26,IF(A26='Données projet'!$A$114,'Données projet'!$B$114,BY25+BX26-CG25)))</f>
        <v>57.434000000000012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5.3840000000000003</v>
      </c>
      <c r="CT26" s="13">
        <f>IF('Données projet'!$A$140&gt;35,CT25+CS26-DB25,IF(A26&lt;'Données projet'!$A$140,$CQ$205^A26,IF(A26='Données projet'!$A$140,'Données projet'!$B$140,CT25+CS26-DB25)))</f>
        <v>100.13199999999998</v>
      </c>
      <c r="CU26" s="18">
        <f>CT26*VLOOKUP('Données projet'!$B$13,Paramètres!$A$1:$I$89,3,0)*VLOOKUP('Données projet'!$B$13,Paramètres!$A$1:$I$89,5,0)</f>
        <v>90.599433599999969</v>
      </c>
      <c r="CV26" s="14">
        <f t="shared" si="41"/>
        <v>24.709738042507887</v>
      </c>
      <c r="CW26" s="22">
        <f t="shared" si="13"/>
        <v>200.83014061070116</v>
      </c>
      <c r="CX26" s="62">
        <f t="shared" si="14"/>
        <v>485.60791838847894</v>
      </c>
      <c r="CY26" s="62">
        <f ca="1">AVERAGE(OFFSET($CX$3,0,0,'Données projet'!$E$13+1,1))-AVERAGE(OFFSET($H$3,0,0,'Données projet'!$E$13+1,1))</f>
        <v>204.787338911576</v>
      </c>
      <c r="CZ26" s="62">
        <f t="shared" si="42"/>
        <v>287.24932051638558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1.325</v>
      </c>
      <c r="DO26" s="13">
        <f>IF('Données projet'!$A$166&gt;35,DO25+DN26-DW25,IF(A26&lt;'Données projet'!$A$166,$DL$205^A26,IF(A26='Données projet'!$A$166,'Données projet'!$B$166,DO25+DN26-DW25)))</f>
        <v>30.474999999999991</v>
      </c>
      <c r="DP26" s="18">
        <f>DO26*VLOOKUP('Données projet'!$B$14,Paramètres!$A$1:$I$89,3,0)*VLOOKUP('Données projet'!$B$14,Paramètres!$A$1:$I$89,5,0)</f>
        <v>29.000009999999993</v>
      </c>
      <c r="DQ26" s="14">
        <f t="shared" si="43"/>
        <v>9.0308175467166869</v>
      </c>
      <c r="DR26" s="22">
        <f t="shared" si="16"/>
        <v>66.237024643864871</v>
      </c>
      <c r="DS26" s="62">
        <f t="shared" si="17"/>
        <v>351.01480242164263</v>
      </c>
      <c r="DT26" s="62">
        <f ca="1">AVERAGE(OFFSET($DS$3,0,0,'Données projet'!$E$14+1,1))-AVERAGE(OFFSET($H$3,0,0,'Données projet'!$E$14+1,1))</f>
        <v>309.55876703480277</v>
      </c>
      <c r="DU26" s="62">
        <f t="shared" si="44"/>
        <v>122.43799205838684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4.0476666666666672</v>
      </c>
      <c r="EJ26" s="13">
        <f>IF('Données projet'!$A$192&gt;35,EJ25+EI26-ER25,IF(A26&lt;'Données projet'!$A$192,$EG$205^A26,IF(A26='Données projet'!$A$192,'Données projet'!$B$192,EJ25+EI26-ER25)))</f>
        <v>39.626276250121265</v>
      </c>
      <c r="EK26" s="18">
        <f>EJ26*VLOOKUP('Données projet'!$B$15,Paramètres!$A$1:$I$89,3,0)*VLOOKUP('Données projet'!$B$15,Paramètres!$A$1:$I$89,5,0)</f>
        <v>18.545097285056752</v>
      </c>
      <c r="EL26" s="14">
        <f t="shared" si="45"/>
        <v>6.0835812359519474</v>
      </c>
      <c r="EM26" s="22">
        <f t="shared" si="19"/>
        <v>42.894948424090153</v>
      </c>
      <c r="EN26" s="62">
        <f t="shared" si="20"/>
        <v>327.67272620186793</v>
      </c>
      <c r="EO26" s="62">
        <f ca="1">AVERAGE(OFFSET($EN$3,0,0,'Données projet'!$E$15+1,1))-AVERAGE(OFFSET($H$3,0,0,'Données projet'!$E$15+1,1))</f>
        <v>301.04834785168049</v>
      </c>
      <c r="EP26" s="62">
        <f t="shared" si="46"/>
        <v>164.1450425611464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3.1761666666666666</v>
      </c>
      <c r="FE26" s="13">
        <f>IF('Données projet'!$A$218&gt;35,FE25+FD26-FM25,IF(A26&lt;'Données projet'!$A$218,$FB$205^A26,IF(A26='Données projet'!$A$218,'Données projet'!$B$218,FE25+FD26-FM25)))</f>
        <v>73.05183333333332</v>
      </c>
      <c r="FF26" s="18">
        <f>FE26*VLOOKUP('Données projet'!$B$16,Paramètres!$A$1:$I$89,3,0)*VLOOKUP('Données projet'!$B$16,Paramètres!$A$1:$I$89,5,0)</f>
        <v>66.097298799999976</v>
      </c>
      <c r="FG26" s="14">
        <f t="shared" si="47"/>
        <v>18.701067267447296</v>
      </c>
      <c r="FH26" s="22">
        <f t="shared" si="22"/>
        <v>147.69048756747068</v>
      </c>
      <c r="FI26" s="62">
        <f t="shared" si="23"/>
        <v>432.46826534524848</v>
      </c>
      <c r="FJ26" s="62">
        <f ca="1">AVERAGE(OFFSET($FI$3,0,0,'Données projet'!$E$16+1,1))-AVERAGE(OFFSET($H$3,0,0,'Données projet'!$E$16+1,1))</f>
        <v>330.53726676433649</v>
      </c>
      <c r="FK26" s="62">
        <f t="shared" si="48"/>
        <v>228.01260676706528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3.1761666666666666</v>
      </c>
      <c r="FZ26" s="13">
        <f>IF('Données projet'!$A$244&gt;35,FZ25+FY26-GH25,IF(A26&lt;'Données projet'!$A$244,$FW$205^A26,IF(A26='Données projet'!$A$244,'Données projet'!$B$244,FZ25+FY26-GH25)))</f>
        <v>73.05183333333332</v>
      </c>
      <c r="GA26" s="18">
        <f>FZ26*VLOOKUP('Données projet'!$B$17,Paramètres!$A$1:$I$89,3,0)*VLOOKUP('Données projet'!$B$17,Paramètres!$A$1:$I$89,5,0)</f>
        <v>83.191427799999985</v>
      </c>
      <c r="GB26" s="14">
        <f t="shared" si="49"/>
        <v>22.915719438632241</v>
      </c>
      <c r="GC26" s="22">
        <f t="shared" si="25"/>
        <v>184.80328144061778</v>
      </c>
      <c r="GD26" s="62">
        <f t="shared" si="26"/>
        <v>469.58105921839558</v>
      </c>
      <c r="GE26" s="62">
        <f ca="1">AVERAGE(OFFSET($GD$3,0,0,'Données projet'!$E$17+1,1))-AVERAGE(OFFSET($H$3,0,0,'Données projet'!$E$17+1,1))</f>
        <v>405.71017054131318</v>
      </c>
      <c r="GF26" s="62">
        <f t="shared" si="50"/>
        <v>276.12900965322166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3.1761666666666666</v>
      </c>
      <c r="GU26" s="13">
        <f>IF('Données projet'!$A$270&gt;35,GU25+GT26-HC25,IF(A26&lt;'Données projet'!$A$270,$GR$205^A26,IF(A26='Données projet'!$A$270,'Données projet'!$B$270,GU25+GT26-HC25)))</f>
        <v>73.05183333333332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3.887142857142857</v>
      </c>
      <c r="N27" s="14">
        <f>IF('Données projet'!$A$36&gt;35,N26+M27-V26,IF(A27&lt;'Données projet'!$A$36,$K$205^A27,IF(A27='Données projet'!$A$36,'Données projet'!$B$36,N26+M27-V26)))</f>
        <v>93.291428571428582</v>
      </c>
      <c r="O27" s="14">
        <f>N27*VLOOKUP('Données projet'!$B$9,Paramètres!$A$1:$I$89,3,0)*VLOOKUP('Données projet'!$B$9,Paramètres!$A$1:$I$89,5,0)</f>
        <v>84.410084571428584</v>
      </c>
      <c r="P27" s="14">
        <f t="shared" si="33"/>
        <v>23.212082188219242</v>
      </c>
      <c r="Q27" s="22">
        <f t="shared" si="2"/>
        <v>187.44194043971996</v>
      </c>
      <c r="R27" s="62">
        <f t="shared" si="0"/>
        <v>473.44194043971993</v>
      </c>
      <c r="S27" s="62">
        <f ca="1">AVERAGE(OFFSET($R$3,0,0,'Données projet'!$E$9+1,1))-AVERAGE(OFFSET($H$3,0,0,'Données projet'!$E$9+1,1))</f>
        <v>452.54136967045082</v>
      </c>
      <c r="T27" s="62">
        <f t="shared" si="34"/>
        <v>269.67340993773422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104.41</v>
      </c>
      <c r="AG27" s="13">
        <f>VLOOKUP(A27,'Données projet'!$A$61:$I$81,9,0)</f>
        <v>13.875</v>
      </c>
      <c r="AH27" s="13">
        <f t="array" ref="AH27">INDEX(AG:AG,MIN(IF(ISNUMBER(AG27:AG223),ROW(AG27:AG223),"")))</f>
        <v>13.875</v>
      </c>
      <c r="AI27" s="14">
        <f>IF('Données projet'!$A$62&gt;35,AI26+AH27-AQ26,IF(A27&lt;'Données projet'!$A$62,$AF$205^A27,IF(A27='Données projet'!$A$62,'Données projet'!$B$62,AI26+AH27-AQ26)))</f>
        <v>104.41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 t="e">
        <f>IF(ISNA(VLOOKUP(A27,'Données projet'!$A$61:$I$81,5,0)),0%,VLOOKUP(A27,'Données projet'!$A$61:$I$81,5,0)*VLOOKUP('Données projet'!$B$10,Paramètres!$A$1:$I$89,7,0))</f>
        <v>#N/A</v>
      </c>
      <c r="AS27" s="17" t="e">
        <f>IF(ISNA(VLOOKUP(A27,'Données projet'!$A$61:$I$81,6,0)),0%,VLOOKUP(A27,'Données projet'!$A$61:$I$81,6,0)*VLOOKUP('Données projet'!$B$10,Paramètres!$A$1:$I$89,7,0))</f>
        <v>#N/A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3.887142857142857</v>
      </c>
      <c r="BD27" s="13">
        <f>IF('Données projet'!$A$88&gt;35,BD26+BC27-BL26,IF(A27&lt;'Données projet'!$A$88,$BA$205^A27,IF(A27='Données projet'!$A$88,'Données projet'!$B$88,BD26+BC27-BL26)))</f>
        <v>93.291428571428582</v>
      </c>
      <c r="BE27" s="14">
        <f>BD27*VLOOKUP('Données projet'!$B$11,Paramètres!$A$1:$I$89,3,0)*VLOOKUP('Données projet'!$B$11,Paramètres!$A$1:$I$89,5,0)</f>
        <v>94.597508571428591</v>
      </c>
      <c r="BF27" s="14">
        <f t="shared" si="37"/>
        <v>25.670797829946185</v>
      </c>
      <c r="BG27" s="22">
        <f t="shared" si="7"/>
        <v>209.4673003157277</v>
      </c>
      <c r="BH27" s="62">
        <f t="shared" si="8"/>
        <v>495.4673003157277</v>
      </c>
      <c r="BI27" s="62">
        <f ca="1">AVERAGE(OFFSET($BH$3,0,0,'Données projet'!$E$11+1,1))-AVERAGE(OFFSET($H$3,0,0,'Données projet'!$E$11+1,1))</f>
        <v>502.06005292569733</v>
      </c>
      <c r="BJ27" s="62">
        <f t="shared" si="38"/>
        <v>297.06786598620607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5.8980000000000006</v>
      </c>
      <c r="BY27" s="13">
        <f>IF('Données projet'!$A$114&gt;35,BY26+BX27-CG26,IF(A27&lt;'Données projet'!$A$114,$BV$205^A27,IF(A27='Données projet'!$A$114,'Données projet'!$B$114,BY26+BX27-CG26)))</f>
        <v>63.332000000000015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5.3840000000000003</v>
      </c>
      <c r="CT27" s="13">
        <f>IF('Données projet'!$A$140&gt;35,CT26+CS27-DB26,IF(A27&lt;'Données projet'!$A$140,$CQ$205^A27,IF(A27='Données projet'!$A$140,'Données projet'!$B$140,CT26+CS27-DB26)))</f>
        <v>105.51599999999998</v>
      </c>
      <c r="CU27" s="18">
        <f>CT27*VLOOKUP('Données projet'!$B$13,Paramètres!$A$1:$I$89,3,0)*VLOOKUP('Données projet'!$B$13,Paramètres!$A$1:$I$89,5,0)</f>
        <v>95.470876799999971</v>
      </c>
      <c r="CV27" s="14">
        <f t="shared" si="41"/>
        <v>25.880103088966855</v>
      </c>
      <c r="CW27" s="22">
        <f t="shared" si="13"/>
        <v>211.35295663995055</v>
      </c>
      <c r="CX27" s="62">
        <f t="shared" si="14"/>
        <v>497.35295663995055</v>
      </c>
      <c r="CY27" s="62">
        <f ca="1">AVERAGE(OFFSET($CX$3,0,0,'Données projet'!$E$13+1,1))-AVERAGE(OFFSET($H$3,0,0,'Données projet'!$E$13+1,1))</f>
        <v>204.787338911576</v>
      </c>
      <c r="CZ27" s="62">
        <f t="shared" si="42"/>
        <v>287.24932051638558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1.325</v>
      </c>
      <c r="DO27" s="13">
        <f>IF('Données projet'!$A$166&gt;35,DO26+DN27-DW26,IF(A27&lt;'Données projet'!$A$166,$DL$205^A27,IF(A27='Données projet'!$A$166,'Données projet'!$B$166,DO26+DN27-DW26)))</f>
        <v>31.79999999999999</v>
      </c>
      <c r="DP27" s="18">
        <f>DO27*VLOOKUP('Données projet'!$B$14,Paramètres!$A$1:$I$89,3,0)*VLOOKUP('Données projet'!$B$14,Paramètres!$A$1:$I$89,5,0)</f>
        <v>30.26087999999999</v>
      </c>
      <c r="DQ27" s="14">
        <f t="shared" si="43"/>
        <v>9.3768939741910042</v>
      </c>
      <c r="DR27" s="22">
        <f t="shared" si="16"/>
        <v>69.035789671715975</v>
      </c>
      <c r="DS27" s="62">
        <f t="shared" si="17"/>
        <v>355.03578967171597</v>
      </c>
      <c r="DT27" s="62">
        <f ca="1">AVERAGE(OFFSET($DS$3,0,0,'Données projet'!$E$14+1,1))-AVERAGE(OFFSET($H$3,0,0,'Données projet'!$E$14+1,1))</f>
        <v>309.55876703480277</v>
      </c>
      <c r="DU27" s="62">
        <f t="shared" si="44"/>
        <v>122.43799205838684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4.0476666666666672</v>
      </c>
      <c r="EJ27" s="13">
        <f>IF('Données projet'!$A$192&gt;35,EJ26+EI27-ER26,IF(A27&lt;'Données projet'!$A$192,$EG$205^A27,IF(A27='Données projet'!$A$192,'Données projet'!$B$192,EJ26+EI27-ER26)))</f>
        <v>46.500839772439015</v>
      </c>
      <c r="EK27" s="18">
        <f>EJ27*VLOOKUP('Données projet'!$B$15,Paramètres!$A$1:$I$89,3,0)*VLOOKUP('Données projet'!$B$15,Paramètres!$A$1:$I$89,5,0)</f>
        <v>21.762393013501459</v>
      </c>
      <c r="EL27" s="14">
        <f t="shared" si="45"/>
        <v>7.0072830403186224</v>
      </c>
      <c r="EM27" s="22">
        <f t="shared" si="19"/>
        <v>50.10718579373664</v>
      </c>
      <c r="EN27" s="62">
        <f t="shared" si="20"/>
        <v>336.10718579373662</v>
      </c>
      <c r="EO27" s="62">
        <f ca="1">AVERAGE(OFFSET($EN$3,0,0,'Données projet'!$E$15+1,1))-AVERAGE(OFFSET($H$3,0,0,'Données projet'!$E$15+1,1))</f>
        <v>301.04834785168049</v>
      </c>
      <c r="EP27" s="62">
        <f t="shared" si="46"/>
        <v>164.1450425611464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3.1761666666666666</v>
      </c>
      <c r="FE27" s="13">
        <f>IF('Données projet'!$A$218&gt;35,FE26+FD27-FM26,IF(A27&lt;'Données projet'!$A$218,$FB$205^A27,IF(A27='Données projet'!$A$218,'Données projet'!$B$218,FE26+FD27-FM26)))</f>
        <v>76.22799999999998</v>
      </c>
      <c r="FF27" s="18">
        <f>FE27*VLOOKUP('Données projet'!$B$16,Paramètres!$A$1:$I$89,3,0)*VLOOKUP('Données projet'!$B$16,Paramètres!$A$1:$I$89,5,0)</f>
        <v>68.971094399999984</v>
      </c>
      <c r="FG27" s="14">
        <f t="shared" si="47"/>
        <v>19.417724260725613</v>
      </c>
      <c r="FH27" s="22">
        <f t="shared" si="22"/>
        <v>153.94385916743042</v>
      </c>
      <c r="FI27" s="62">
        <f t="shared" si="23"/>
        <v>439.94385916743045</v>
      </c>
      <c r="FJ27" s="62">
        <f ca="1">AVERAGE(OFFSET($FI$3,0,0,'Données projet'!$E$16+1,1))-AVERAGE(OFFSET($H$3,0,0,'Données projet'!$E$16+1,1))</f>
        <v>330.53726676433649</v>
      </c>
      <c r="FK27" s="62">
        <f t="shared" si="48"/>
        <v>228.01260676706528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3.1761666666666666</v>
      </c>
      <c r="FZ27" s="13">
        <f>IF('Données projet'!$A$244&gt;35,FZ26+FY27-GH26,IF(A27&lt;'Données projet'!$A$244,$FW$205^A27,IF(A27='Données projet'!$A$244,'Données projet'!$B$244,FZ26+FY27-GH26)))</f>
        <v>76.22799999999998</v>
      </c>
      <c r="GA27" s="18">
        <f>FZ27*VLOOKUP('Données projet'!$B$17,Paramètres!$A$1:$I$89,3,0)*VLOOKUP('Données projet'!$B$17,Paramètres!$A$1:$I$89,5,0)</f>
        <v>86.80844639999998</v>
      </c>
      <c r="GB27" s="14">
        <f t="shared" si="49"/>
        <v>23.793889136480804</v>
      </c>
      <c r="GC27" s="22">
        <f t="shared" si="25"/>
        <v>192.63240105937066</v>
      </c>
      <c r="GD27" s="62">
        <f t="shared" si="26"/>
        <v>478.63240105937064</v>
      </c>
      <c r="GE27" s="62">
        <f ca="1">AVERAGE(OFFSET($GD$3,0,0,'Données projet'!$E$17+1,1))-AVERAGE(OFFSET($H$3,0,0,'Données projet'!$E$17+1,1))</f>
        <v>405.71017054131318</v>
      </c>
      <c r="GF27" s="62">
        <f t="shared" si="50"/>
        <v>276.12900965322166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3.1761666666666666</v>
      </c>
      <c r="GU27" s="13">
        <f>IF('Données projet'!$A$270&gt;35,GU26+GT27-HC26,IF(A27&lt;'Données projet'!$A$270,$GR$205^A27,IF(A27='Données projet'!$A$270,'Données projet'!$B$270,GU26+GT27-HC26)))</f>
        <v>76.22799999999998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3.887142857142857</v>
      </c>
      <c r="N28" s="14">
        <f>IF('Données projet'!$A$36&gt;35,N27+M28-V27,IF(A28&lt;'Données projet'!$A$36,$K$205^A28,IF(A28='Données projet'!$A$36,'Données projet'!$B$36,N27+M28-V27)))</f>
        <v>97.178571428571445</v>
      </c>
      <c r="O28" s="14">
        <f>N28*VLOOKUP('Données projet'!$B$9,Paramètres!$A$1:$I$89,3,0)*VLOOKUP('Données projet'!$B$9,Paramètres!$A$1:$I$89,5,0)</f>
        <v>87.927171428571441</v>
      </c>
      <c r="P28" s="14">
        <f t="shared" si="33"/>
        <v>24.06463273936156</v>
      </c>
      <c r="Q28" s="22">
        <f t="shared" si="2"/>
        <v>195.05239225914997</v>
      </c>
      <c r="R28" s="62">
        <f t="shared" si="0"/>
        <v>482.27461448137217</v>
      </c>
      <c r="S28" s="62">
        <f ca="1">AVERAGE(OFFSET($R$3,0,0,'Données projet'!$E$9+1,1))-AVERAGE(OFFSET($H$3,0,0,'Données projet'!$E$9+1,1))</f>
        <v>452.54136967045082</v>
      </c>
      <c r="T28" s="62">
        <f t="shared" si="34"/>
        <v>269.67340993773422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17.026666666666671</v>
      </c>
      <c r="AI28" s="14">
        <f>IF('Données projet'!$A$62&gt;35,AI27+AH28-AQ27,IF(A28&lt;'Données projet'!$A$62,$AF$205^A28,IF(A28='Données projet'!$A$62,'Données projet'!$B$62,AI27+AH28-AQ27)))</f>
        <v>121.43666666666667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3.887142857142857</v>
      </c>
      <c r="BD28" s="13">
        <f>IF('Données projet'!$A$88&gt;35,BD27+BC28-BL27,IF(A28&lt;'Données projet'!$A$88,$BA$205^A28,IF(A28='Données projet'!$A$88,'Données projet'!$B$88,BD27+BC28-BL27)))</f>
        <v>97.178571428571445</v>
      </c>
      <c r="BE28" s="14">
        <f>BD28*VLOOKUP('Données projet'!$B$11,Paramètres!$A$1:$I$89,3,0)*VLOOKUP('Données projet'!$B$11,Paramètres!$A$1:$I$89,5,0)</f>
        <v>98.539071428571447</v>
      </c>
      <c r="BF28" s="14">
        <f t="shared" si="37"/>
        <v>26.613653910702727</v>
      </c>
      <c r="BG28" s="22">
        <f t="shared" si="7"/>
        <v>217.97432996590248</v>
      </c>
      <c r="BH28" s="62">
        <f t="shared" si="8"/>
        <v>505.19655218812471</v>
      </c>
      <c r="BI28" s="62">
        <f ca="1">AVERAGE(OFFSET($BH$3,0,0,'Données projet'!$E$11+1,1))-AVERAGE(OFFSET($H$3,0,0,'Données projet'!$E$11+1,1))</f>
        <v>502.06005292569733</v>
      </c>
      <c r="BJ28" s="62">
        <f t="shared" si="38"/>
        <v>297.06786598620607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69.23</v>
      </c>
      <c r="BW28" s="13">
        <f>VLOOKUP(A28,'Données projet'!$A$113:$I$133,9,0)</f>
        <v>5.8980000000000006</v>
      </c>
      <c r="BX28" s="13">
        <f t="array" ref="BX28">INDEX(BW:BW,MIN(IF(ISNUMBER(BW28:BW224),ROW(BW28:BW224),"")))</f>
        <v>5.8980000000000006</v>
      </c>
      <c r="BY28" s="13">
        <f>IF('Données projet'!$A$114&gt;35,BY27+BX28-CG27,IF(A28&lt;'Données projet'!$A$114,$BV$205^A28,IF(A28='Données projet'!$A$114,'Données projet'!$B$114,BY27+BX28-CG27)))</f>
        <v>69.230000000000018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16.670000000000002</v>
      </c>
      <c r="CH28" s="17" t="e">
        <f>IF(ISNA(VLOOKUP(A28,'Données projet'!$A$113:$I$133,5,0)),0%,VLOOKUP(A28,'Données projet'!$A$113:$I$133,5,0)*VLOOKUP('Données projet'!$B$12,Paramètres!$A$1:$I$89,7,0))</f>
        <v>#N/A</v>
      </c>
      <c r="CI28" s="17" t="e">
        <f>IF(ISNA(VLOOKUP(A28,'Données projet'!$A$113:$I$133,6,0)),0%,VLOOKUP(A28,'Données projet'!$A$113:$I$133,6,0)*VLOOKUP('Données projet'!$B$12,Paramètres!$A$1:$I$89,7,0))</f>
        <v>#N/A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110.9</v>
      </c>
      <c r="CR28" s="13">
        <f>VLOOKUP(A28,'Données projet'!$A$139:$I$159,9,0)</f>
        <v>5.3840000000000003</v>
      </c>
      <c r="CS28" s="13">
        <f t="array" ref="CS28">INDEX(CR:CR,MIN(IF(ISNUMBER(CR28:CR224),ROW(CR28:CR224),"")))</f>
        <v>5.3840000000000003</v>
      </c>
      <c r="CT28" s="13">
        <f>IF('Données projet'!$A$140&gt;35,CT27+CS28-DB27,IF(A28&lt;'Données projet'!$A$140,$CQ$205^A28,IF(A28='Données projet'!$A$140,'Données projet'!$B$140,CT27+CS28-DB27)))</f>
        <v>110.89999999999998</v>
      </c>
      <c r="CU28" s="18">
        <f>CT28*VLOOKUP('Données projet'!$B$13,Paramètres!$A$1:$I$89,3,0)*VLOOKUP('Données projet'!$B$13,Paramètres!$A$1:$I$89,5,0)</f>
        <v>100.34231999999999</v>
      </c>
      <c r="CV28" s="14">
        <f t="shared" si="41"/>
        <v>27.043534340706451</v>
      </c>
      <c r="CW28" s="22">
        <f t="shared" si="13"/>
        <v>221.86369631006369</v>
      </c>
      <c r="CX28" s="62">
        <f t="shared" si="14"/>
        <v>509.08591853228592</v>
      </c>
      <c r="CY28" s="62">
        <f ca="1">AVERAGE(OFFSET($CX$3,0,0,'Données projet'!$E$13+1,1))-AVERAGE(OFFSET($H$3,0,0,'Données projet'!$E$13+1,1))</f>
        <v>204.787338911576</v>
      </c>
      <c r="CZ28" s="62">
        <f t="shared" si="42"/>
        <v>287.24932051638558</v>
      </c>
      <c r="DA28" s="16">
        <f>IF(ISNA(VLOOKUP(A28,'Données projet'!$A$139:$I$159,3,0)),0,VLOOKUP(A28,'Données projet'!$A$139:$I$159,3,0))</f>
        <v>5</v>
      </c>
      <c r="DB28" s="16">
        <f>IF(ISNA(VLOOKUP(A28,'Données projet'!$A$139:$I$159,4,0)),0,VLOOKUP(A28,'Données projet'!$A$139:$I$159,4,0))</f>
        <v>7.05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1.325</v>
      </c>
      <c r="DO28" s="13">
        <f>IF('Données projet'!$A$166&gt;35,DO27+DN28-DW27,IF(A28&lt;'Données projet'!$A$166,$DL$205^A28,IF(A28='Données projet'!$A$166,'Données projet'!$B$166,DO27+DN28-DW27)))</f>
        <v>33.124999999999993</v>
      </c>
      <c r="DP28" s="18">
        <f>DO28*VLOOKUP('Données projet'!$B$14,Paramètres!$A$1:$I$89,3,0)*VLOOKUP('Données projet'!$B$14,Paramètres!$A$1:$I$89,5,0)</f>
        <v>31.52174999999999</v>
      </c>
      <c r="DQ28" s="14">
        <f t="shared" si="43"/>
        <v>9.721295482891362</v>
      </c>
      <c r="DR28" s="22">
        <f t="shared" si="16"/>
        <v>71.831637549369091</v>
      </c>
      <c r="DS28" s="62">
        <f t="shared" si="17"/>
        <v>359.05385977159131</v>
      </c>
      <c r="DT28" s="62">
        <f ca="1">AVERAGE(OFFSET($DS$3,0,0,'Données projet'!$E$14+1,1))-AVERAGE(OFFSET($H$3,0,0,'Données projet'!$E$14+1,1))</f>
        <v>309.55876703480277</v>
      </c>
      <c r="DU28" s="62">
        <f t="shared" si="44"/>
        <v>122.43799205838684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4.0476666666666672</v>
      </c>
      <c r="EJ28" s="13">
        <f>IF('Données projet'!$A$192&gt;35,EJ27+EI28-ER27,IF(A28&lt;'Données projet'!$A$192,$EG$205^A28,IF(A28='Données projet'!$A$192,'Données projet'!$B$192,EJ27+EI28-ER27)))</f>
        <v>54.568036771697152</v>
      </c>
      <c r="EK28" s="18">
        <f>EJ28*VLOOKUP('Données projet'!$B$15,Paramètres!$A$1:$I$89,3,0)*VLOOKUP('Données projet'!$B$15,Paramètres!$A$1:$I$89,5,0)</f>
        <v>25.537841209154266</v>
      </c>
      <c r="EL28" s="14">
        <f t="shared" si="45"/>
        <v>8.0712352975514357</v>
      </c>
      <c r="EM28" s="22">
        <f t="shared" si="19"/>
        <v>58.535808249179098</v>
      </c>
      <c r="EN28" s="62">
        <f t="shared" si="20"/>
        <v>345.7580304714013</v>
      </c>
      <c r="EO28" s="62">
        <f ca="1">AVERAGE(OFFSET($EN$3,0,0,'Données projet'!$E$15+1,1))-AVERAGE(OFFSET($H$3,0,0,'Données projet'!$E$15+1,1))</f>
        <v>301.04834785168049</v>
      </c>
      <c r="EP28" s="62">
        <f t="shared" si="46"/>
        <v>164.1450425611464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3.1761666666666666</v>
      </c>
      <c r="FE28" s="13">
        <f>IF('Données projet'!$A$218&gt;35,FE27+FD28-FM27,IF(A28&lt;'Données projet'!$A$218,$FB$205^A28,IF(A28='Données projet'!$A$218,'Données projet'!$B$218,FE27+FD28-FM27)))</f>
        <v>79.40416666666664</v>
      </c>
      <c r="FF28" s="18">
        <f>FE28*VLOOKUP('Données projet'!$B$16,Paramètres!$A$1:$I$89,3,0)*VLOOKUP('Données projet'!$B$16,Paramètres!$A$1:$I$89,5,0)</f>
        <v>71.844889999999978</v>
      </c>
      <c r="FG28" s="14">
        <f t="shared" si="47"/>
        <v>20.130912822879374</v>
      </c>
      <c r="FH28" s="22">
        <f t="shared" si="22"/>
        <v>160.1911899165149</v>
      </c>
      <c r="FI28" s="62">
        <f t="shared" si="23"/>
        <v>447.41341213873716</v>
      </c>
      <c r="FJ28" s="62">
        <f ca="1">AVERAGE(OFFSET($FI$3,0,0,'Données projet'!$E$16+1,1))-AVERAGE(OFFSET($H$3,0,0,'Données projet'!$E$16+1,1))</f>
        <v>330.53726676433649</v>
      </c>
      <c r="FK28" s="62">
        <f t="shared" si="48"/>
        <v>228.01260676706528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3.1761666666666666</v>
      </c>
      <c r="FZ28" s="13">
        <f>IF('Données projet'!$A$244&gt;35,FZ27+FY28-GH27,IF(A28&lt;'Données projet'!$A$244,$FW$205^A28,IF(A28='Données projet'!$A$244,'Données projet'!$B$244,FZ27+FY28-GH27)))</f>
        <v>79.40416666666664</v>
      </c>
      <c r="GA28" s="18">
        <f>FZ28*VLOOKUP('Données projet'!$B$17,Paramètres!$A$1:$I$89,3,0)*VLOOKUP('Données projet'!$B$17,Paramètres!$A$1:$I$89,5,0)</f>
        <v>90.42546499999996</v>
      </c>
      <c r="GB28" s="14">
        <f t="shared" si="49"/>
        <v>24.667808724247067</v>
      </c>
      <c r="GC28" s="22">
        <f t="shared" si="25"/>
        <v>200.45411840306357</v>
      </c>
      <c r="GD28" s="62">
        <f t="shared" si="26"/>
        <v>487.67634062528577</v>
      </c>
      <c r="GE28" s="62">
        <f ca="1">AVERAGE(OFFSET($GD$3,0,0,'Données projet'!$E$17+1,1))-AVERAGE(OFFSET($H$3,0,0,'Données projet'!$E$17+1,1))</f>
        <v>405.71017054131318</v>
      </c>
      <c r="GF28" s="62">
        <f t="shared" si="50"/>
        <v>276.12900965322166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3.1761666666666666</v>
      </c>
      <c r="GU28" s="13">
        <f>IF('Données projet'!$A$270&gt;35,GU27+GT28-HC27,IF(A28&lt;'Données projet'!$A$270,$GR$205^A28,IF(A28='Données projet'!$A$270,'Données projet'!$B$270,GU27+GT28-HC27)))</f>
        <v>79.40416666666664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3.887142857142857</v>
      </c>
      <c r="N29" s="14">
        <f>IF('Données projet'!$A$36&gt;35,N28+M29-V28,IF(A29&lt;'Données projet'!$A$36,$K$205^A29,IF(A29='Données projet'!$A$36,'Données projet'!$B$36,N28+M29-V28)))</f>
        <v>101.06571428571431</v>
      </c>
      <c r="O29" s="14">
        <f>N29*VLOOKUP('Données projet'!$B$9,Paramètres!$A$1:$I$89,3,0)*VLOOKUP('Données projet'!$B$9,Paramètres!$A$1:$I$89,5,0)</f>
        <v>91.444258285714298</v>
      </c>
      <c r="P29" s="14">
        <f t="shared" si="33"/>
        <v>24.913221926074399</v>
      </c>
      <c r="Q29" s="22">
        <f t="shared" si="2"/>
        <v>202.65594470219867</v>
      </c>
      <c r="R29" s="62">
        <f t="shared" si="0"/>
        <v>491.10038914664312</v>
      </c>
      <c r="S29" s="62">
        <f ca="1">AVERAGE(OFFSET($R$3,0,0,'Données projet'!$E$9+1,1))-AVERAGE(OFFSET($H$3,0,0,'Données projet'!$E$9+1,1))</f>
        <v>452.54136967045082</v>
      </c>
      <c r="T29" s="62">
        <f t="shared" si="34"/>
        <v>269.67340993773422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17.026666666666671</v>
      </c>
      <c r="AI29" s="14">
        <f>IF('Données projet'!$A$62&gt;35,AI28+AH29-AQ28,IF(A29&lt;'Données projet'!$A$62,$AF$205^A29,IF(A29='Données projet'!$A$62,'Données projet'!$B$62,AI28+AH29-AQ28)))</f>
        <v>138.46333333333334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3.887142857142857</v>
      </c>
      <c r="BD29" s="13">
        <f>IF('Données projet'!$A$88&gt;35,BD28+BC29-BL28,IF(A29&lt;'Données projet'!$A$88,$BA$205^A29,IF(A29='Données projet'!$A$88,'Données projet'!$B$88,BD28+BC29-BL28)))</f>
        <v>101.06571428571431</v>
      </c>
      <c r="BE29" s="14">
        <f>BD29*VLOOKUP('Données projet'!$B$11,Paramètres!$A$1:$I$89,3,0)*VLOOKUP('Données projet'!$B$11,Paramètres!$A$1:$I$89,5,0)</f>
        <v>102.48063428571432</v>
      </c>
      <c r="BF29" s="14">
        <f t="shared" si="37"/>
        <v>27.552129023626446</v>
      </c>
      <c r="BG29" s="22">
        <f t="shared" si="7"/>
        <v>226.47372943043516</v>
      </c>
      <c r="BH29" s="62">
        <f t="shared" si="8"/>
        <v>514.91817387487959</v>
      </c>
      <c r="BI29" s="62">
        <f ca="1">AVERAGE(OFFSET($BH$3,0,0,'Données projet'!$E$11+1,1))-AVERAGE(OFFSET($H$3,0,0,'Données projet'!$E$11+1,1))</f>
        <v>502.06005292569733</v>
      </c>
      <c r="BJ29" s="62">
        <f t="shared" si="38"/>
        <v>297.06786598620607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5.5139999999999985</v>
      </c>
      <c r="BY29" s="13">
        <f>IF('Données projet'!$A$114&gt;35,BY28+BX29-CG28,IF(A29&lt;'Données projet'!$A$114,$BV$205^A29,IF(A29='Données projet'!$A$114,'Données projet'!$B$114,BY28+BX29-CG28)))</f>
        <v>58.074000000000012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4.3579999999999988</v>
      </c>
      <c r="CT29" s="13">
        <f>IF('Données projet'!$A$140&gt;35,CT28+CS29-DB28,IF(A29&lt;'Données projet'!$A$140,$CQ$205^A29,IF(A29='Données projet'!$A$140,'Données projet'!$B$140,CT28+CS29-DB28)))</f>
        <v>108.20799999999998</v>
      </c>
      <c r="CU29" s="18">
        <f>CT29*VLOOKUP('Données projet'!$B$13,Paramètres!$A$1:$I$89,3,0)*VLOOKUP('Données projet'!$B$13,Paramètres!$A$1:$I$89,5,0)</f>
        <v>97.906598399999979</v>
      </c>
      <c r="CV29" s="14">
        <f t="shared" si="41"/>
        <v>26.46266107246273</v>
      </c>
      <c r="CW29" s="22">
        <f t="shared" si="13"/>
        <v>216.60979358120588</v>
      </c>
      <c r="CX29" s="62">
        <f t="shared" si="14"/>
        <v>505.05423802565031</v>
      </c>
      <c r="CY29" s="62">
        <f ca="1">AVERAGE(OFFSET($CX$3,0,0,'Données projet'!$E$13+1,1))-AVERAGE(OFFSET($H$3,0,0,'Données projet'!$E$13+1,1))</f>
        <v>204.787338911576</v>
      </c>
      <c r="CZ29" s="62">
        <f t="shared" si="42"/>
        <v>287.24932051638558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1.325</v>
      </c>
      <c r="DO29" s="13">
        <f>IF('Données projet'!$A$166&gt;35,DO28+DN29-DW28,IF(A29&lt;'Données projet'!$A$166,$DL$205^A29,IF(A29='Données projet'!$A$166,'Données projet'!$B$166,DO28+DN29-DW28)))</f>
        <v>34.449999999999996</v>
      </c>
      <c r="DP29" s="18">
        <f>DO29*VLOOKUP('Données projet'!$B$14,Paramètres!$A$1:$I$89,3,0)*VLOOKUP('Données projet'!$B$14,Paramètres!$A$1:$I$89,5,0)</f>
        <v>32.782620000000001</v>
      </c>
      <c r="DQ29" s="14">
        <f t="shared" si="43"/>
        <v>10.064096734710548</v>
      </c>
      <c r="DR29" s="22">
        <f t="shared" si="16"/>
        <v>74.624698312954209</v>
      </c>
      <c r="DS29" s="62">
        <f t="shared" si="17"/>
        <v>363.06914275739865</v>
      </c>
      <c r="DT29" s="62">
        <f ca="1">AVERAGE(OFFSET($DS$3,0,0,'Données projet'!$E$14+1,1))-AVERAGE(OFFSET($H$3,0,0,'Données projet'!$E$14+1,1))</f>
        <v>309.55876703480277</v>
      </c>
      <c r="DU29" s="62">
        <f t="shared" si="44"/>
        <v>122.43799205838684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4.0476666666666672</v>
      </c>
      <c r="EJ29" s="13">
        <f>IF('Données projet'!$A$192&gt;35,EJ28+EI29-ER28,IF(A29&lt;'Données projet'!$A$192,$EG$205^A29,IF(A29='Données projet'!$A$192,'Données projet'!$B$192,EJ28+EI29-ER28)))</f>
        <v>64.034771236156331</v>
      </c>
      <c r="EK29" s="18">
        <f>EJ29*VLOOKUP('Données projet'!$B$15,Paramètres!$A$1:$I$89,3,0)*VLOOKUP('Données projet'!$B$15,Paramètres!$A$1:$I$89,5,0)</f>
        <v>29.96827293852116</v>
      </c>
      <c r="EL29" s="14">
        <f t="shared" si="45"/>
        <v>9.2967329639189398</v>
      </c>
      <c r="EM29" s="22">
        <f t="shared" si="19"/>
        <v>68.386551946749833</v>
      </c>
      <c r="EN29" s="62">
        <f t="shared" si="20"/>
        <v>356.83099639119428</v>
      </c>
      <c r="EO29" s="62">
        <f ca="1">AVERAGE(OFFSET($EN$3,0,0,'Données projet'!$E$15+1,1))-AVERAGE(OFFSET($H$3,0,0,'Données projet'!$E$15+1,1))</f>
        <v>301.04834785168049</v>
      </c>
      <c r="EP29" s="62">
        <f t="shared" si="46"/>
        <v>164.1450425611464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3.1761666666666666</v>
      </c>
      <c r="FE29" s="13">
        <f>IF('Données projet'!$A$218&gt;35,FE28+FD29-FM28,IF(A29&lt;'Données projet'!$A$218,$FB$205^A29,IF(A29='Données projet'!$A$218,'Données projet'!$B$218,FE28+FD29-FM28)))</f>
        <v>82.5803333333333</v>
      </c>
      <c r="FF29" s="18">
        <f>FE29*VLOOKUP('Données projet'!$B$16,Paramètres!$A$1:$I$89,3,0)*VLOOKUP('Données projet'!$B$16,Paramètres!$A$1:$I$89,5,0)</f>
        <v>74.718685599999972</v>
      </c>
      <c r="FG29" s="14">
        <f t="shared" si="47"/>
        <v>20.840787564171904</v>
      </c>
      <c r="FH29" s="22">
        <f t="shared" si="22"/>
        <v>166.43274909426603</v>
      </c>
      <c r="FI29" s="62">
        <f t="shared" si="23"/>
        <v>454.87719353871046</v>
      </c>
      <c r="FJ29" s="62">
        <f ca="1">AVERAGE(OFFSET($FI$3,0,0,'Données projet'!$E$16+1,1))-AVERAGE(OFFSET($H$3,0,0,'Données projet'!$E$16+1,1))</f>
        <v>330.53726676433649</v>
      </c>
      <c r="FK29" s="62">
        <f t="shared" si="48"/>
        <v>228.01260676706528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3.1761666666666666</v>
      </c>
      <c r="FZ29" s="13">
        <f>IF('Données projet'!$A$244&gt;35,FZ28+FY29-GH28,IF(A29&lt;'Données projet'!$A$244,$FW$205^A29,IF(A29='Données projet'!$A$244,'Données projet'!$B$244,FZ28+FY29-GH28)))</f>
        <v>82.5803333333333</v>
      </c>
      <c r="GA29" s="18">
        <f>FZ29*VLOOKUP('Données projet'!$B$17,Paramètres!$A$1:$I$89,3,0)*VLOOKUP('Données projet'!$B$17,Paramètres!$A$1:$I$89,5,0)</f>
        <v>94.042483599999969</v>
      </c>
      <c r="GB29" s="14">
        <f t="shared" si="49"/>
        <v>25.537667656648651</v>
      </c>
      <c r="GC29" s="22">
        <f t="shared" si="25"/>
        <v>208.268763438663</v>
      </c>
      <c r="GD29" s="62">
        <f t="shared" si="26"/>
        <v>496.71320788310743</v>
      </c>
      <c r="GE29" s="62">
        <f ca="1">AVERAGE(OFFSET($GD$3,0,0,'Données projet'!$E$17+1,1))-AVERAGE(OFFSET($H$3,0,0,'Données projet'!$E$17+1,1))</f>
        <v>405.71017054131318</v>
      </c>
      <c r="GF29" s="62">
        <f t="shared" si="50"/>
        <v>276.12900965322166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3.1761666666666666</v>
      </c>
      <c r="GU29" s="13">
        <f>IF('Données projet'!$A$270&gt;35,GU28+GT29-HC28,IF(A29&lt;'Données projet'!$A$270,$GR$205^A29,IF(A29='Données projet'!$A$270,'Données projet'!$B$270,GU28+GT29-HC28)))</f>
        <v>82.5803333333333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3.887142857142857</v>
      </c>
      <c r="N30" s="14">
        <f>IF('Données projet'!$A$36&gt;35,N29+M30-V29,IF(A30&lt;'Données projet'!$A$36,$K$205^A30,IF(A30='Données projet'!$A$36,'Données projet'!$B$36,N29+M30-V29)))</f>
        <v>104.95285714285717</v>
      </c>
      <c r="O30" s="14">
        <f>N30*VLOOKUP('Données projet'!$B$9,Paramètres!$A$1:$I$89,3,0)*VLOOKUP('Données projet'!$B$9,Paramètres!$A$1:$I$89,5,0)</f>
        <v>94.961345142857169</v>
      </c>
      <c r="P30" s="14">
        <f t="shared" si="33"/>
        <v>25.758019548315733</v>
      </c>
      <c r="Q30" s="22">
        <f t="shared" si="2"/>
        <v>210.25289350379276</v>
      </c>
      <c r="R30" s="62">
        <f t="shared" si="0"/>
        <v>499.91956017045948</v>
      </c>
      <c r="S30" s="62">
        <f ca="1">AVERAGE(OFFSET($R$3,0,0,'Données projet'!$E$9+1,1))-AVERAGE(OFFSET($H$3,0,0,'Données projet'!$E$9+1,1))</f>
        <v>452.54136967045082</v>
      </c>
      <c r="T30" s="62">
        <f t="shared" si="34"/>
        <v>269.67340993773422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155.49</v>
      </c>
      <c r="AG30" s="13">
        <f>VLOOKUP(A30,'Données projet'!$A$61:$I$81,9,0)</f>
        <v>17.026666666666671</v>
      </c>
      <c r="AH30" s="13">
        <f t="array" ref="AH30">INDEX(AG:AG,MIN(IF(ISNUMBER(AG30:AG226),ROW(AG30:AG226),"")))</f>
        <v>17.026666666666671</v>
      </c>
      <c r="AI30" s="14">
        <f>IF('Données projet'!$A$62&gt;35,AI29+AH30-AQ29,IF(A30&lt;'Données projet'!$A$62,$AF$205^A30,IF(A30='Données projet'!$A$62,'Données projet'!$B$62,AI29+AH30-AQ29)))</f>
        <v>155.49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37.840000000000003</v>
      </c>
      <c r="AR30" s="17" t="e">
        <f>IF(ISNA(VLOOKUP(A30,'Données projet'!$A$61:$I$81,5,0)),0%,VLOOKUP(A30,'Données projet'!$A$61:$I$81,5,0)*VLOOKUP('Données projet'!$B$10,Paramètres!$A$1:$I$89,7,0))</f>
        <v>#N/A</v>
      </c>
      <c r="AS30" s="17" t="e">
        <f>IF(ISNA(VLOOKUP(A30,'Données projet'!$A$61:$I$81,6,0)),0%,VLOOKUP(A30,'Données projet'!$A$61:$I$81,6,0)*VLOOKUP('Données projet'!$B$10,Paramètres!$A$1:$I$89,7,0))</f>
        <v>#N/A</v>
      </c>
      <c r="AT30" s="17">
        <f>IF(ISNA(VLOOKUP(A30,'Données projet'!$A$61:$I$81,7,0)),0%,VLOOKUP(A30,'Données projet'!$A$61:$I$81,7,0))</f>
        <v>0.31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3.887142857142857</v>
      </c>
      <c r="BD30" s="13">
        <f>IF('Données projet'!$A$88&gt;35,BD29+BC30-BL29,IF(A30&lt;'Données projet'!$A$88,$BA$205^A30,IF(A30='Données projet'!$A$88,'Données projet'!$B$88,BD29+BC30-BL29)))</f>
        <v>104.95285714285717</v>
      </c>
      <c r="BE30" s="14">
        <f>BD30*VLOOKUP('Données projet'!$B$11,Paramètres!$A$1:$I$89,3,0)*VLOOKUP('Données projet'!$B$11,Paramètres!$A$1:$I$89,5,0)</f>
        <v>106.42219714285717</v>
      </c>
      <c r="BF30" s="14">
        <f t="shared" si="37"/>
        <v>28.486410954559084</v>
      </c>
      <c r="BG30" s="22">
        <f t="shared" si="7"/>
        <v>234.96582576966659</v>
      </c>
      <c r="BH30" s="62">
        <f t="shared" si="8"/>
        <v>524.63249243633322</v>
      </c>
      <c r="BI30" s="62">
        <f ca="1">AVERAGE(OFFSET($BH$3,0,0,'Données projet'!$E$11+1,1))-AVERAGE(OFFSET($H$3,0,0,'Données projet'!$E$11+1,1))</f>
        <v>502.06005292569733</v>
      </c>
      <c r="BJ30" s="62">
        <f t="shared" si="38"/>
        <v>297.06786598620607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5.5139999999999985</v>
      </c>
      <c r="BY30" s="13">
        <f>IF('Données projet'!$A$114&gt;35,BY29+BX30-CG29,IF(A30&lt;'Données projet'!$A$114,$BV$205^A30,IF(A30='Données projet'!$A$114,'Données projet'!$B$114,BY29+BX30-CG29)))</f>
        <v>63.588000000000008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4.3579999999999988</v>
      </c>
      <c r="CT30" s="13">
        <f>IF('Données projet'!$A$140&gt;35,CT29+CS30-DB29,IF(A30&lt;'Données projet'!$A$140,$CQ$205^A30,IF(A30='Données projet'!$A$140,'Données projet'!$B$140,CT29+CS30-DB29)))</f>
        <v>112.56599999999999</v>
      </c>
      <c r="CU30" s="18">
        <f>CT30*VLOOKUP('Données projet'!$B$13,Paramètres!$A$1:$I$89,3,0)*VLOOKUP('Données projet'!$B$13,Paramètres!$A$1:$I$89,5,0)</f>
        <v>101.84971679999998</v>
      </c>
      <c r="CV30" s="14">
        <f t="shared" si="41"/>
        <v>27.402195906609794</v>
      </c>
      <c r="CW30" s="22">
        <f t="shared" si="13"/>
        <v>225.11374796401199</v>
      </c>
      <c r="CX30" s="62">
        <f t="shared" si="14"/>
        <v>514.78041463067871</v>
      </c>
      <c r="CY30" s="62">
        <f ca="1">AVERAGE(OFFSET($CX$3,0,0,'Données projet'!$E$13+1,1))-AVERAGE(OFFSET($H$3,0,0,'Données projet'!$E$13+1,1))</f>
        <v>204.787338911576</v>
      </c>
      <c r="CZ30" s="62">
        <f t="shared" si="42"/>
        <v>287.24932051638558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1.325</v>
      </c>
      <c r="DO30" s="13">
        <f>IF('Données projet'!$A$166&gt;35,DO29+DN30-DW29,IF(A30&lt;'Données projet'!$A$166,$DL$205^A30,IF(A30='Données projet'!$A$166,'Données projet'!$B$166,DO29+DN30-DW29)))</f>
        <v>35.774999999999999</v>
      </c>
      <c r="DP30" s="18">
        <f>DO30*VLOOKUP('Données projet'!$B$14,Paramètres!$A$1:$I$89,3,0)*VLOOKUP('Données projet'!$B$14,Paramètres!$A$1:$I$89,5,0)</f>
        <v>34.043489999999998</v>
      </c>
      <c r="DQ30" s="14">
        <f t="shared" si="43"/>
        <v>10.405366323072862</v>
      </c>
      <c r="DR30" s="22">
        <f t="shared" si="16"/>
        <v>77.415091429351889</v>
      </c>
      <c r="DS30" s="62">
        <f t="shared" si="17"/>
        <v>367.08175809601858</v>
      </c>
      <c r="DT30" s="62">
        <f ca="1">AVERAGE(OFFSET($DS$3,0,0,'Données projet'!$E$14+1,1))-AVERAGE(OFFSET($H$3,0,0,'Données projet'!$E$14+1,1))</f>
        <v>309.55876703480277</v>
      </c>
      <c r="DU30" s="62">
        <f t="shared" si="44"/>
        <v>122.43799205838684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4.0476666666666672</v>
      </c>
      <c r="EJ30" s="13">
        <f>IF('Données projet'!$A$192&gt;35,EJ29+EI30-ER29,IF(A30&lt;'Données projet'!$A$192,$EG$205^A30,IF(A30='Données projet'!$A$192,'Données projet'!$B$192,EJ29+EI30-ER29)))</f>
        <v>75.143841887191726</v>
      </c>
      <c r="EK30" s="18">
        <f>EJ30*VLOOKUP('Données projet'!$B$15,Paramètres!$A$1:$I$89,3,0)*VLOOKUP('Données projet'!$B$15,Paramètres!$A$1:$I$89,5,0)</f>
        <v>35.167318003205729</v>
      </c>
      <c r="EL30" s="14">
        <f t="shared" si="45"/>
        <v>10.708304319741121</v>
      </c>
      <c r="EM30" s="22">
        <f t="shared" si="19"/>
        <v>79.900042212465777</v>
      </c>
      <c r="EN30" s="62">
        <f t="shared" si="20"/>
        <v>369.56670887913248</v>
      </c>
      <c r="EO30" s="62">
        <f ca="1">AVERAGE(OFFSET($EN$3,0,0,'Données projet'!$E$15+1,1))-AVERAGE(OFFSET($H$3,0,0,'Données projet'!$E$15+1,1))</f>
        <v>301.04834785168049</v>
      </c>
      <c r="EP30" s="62">
        <f t="shared" si="46"/>
        <v>164.1450425611464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3.1761666666666666</v>
      </c>
      <c r="FE30" s="13">
        <f>IF('Données projet'!$A$218&gt;35,FE29+FD30-FM29,IF(A30&lt;'Données projet'!$A$218,$FB$205^A30,IF(A30='Données projet'!$A$218,'Données projet'!$B$218,FE29+FD30-FM29)))</f>
        <v>85.75649999999996</v>
      </c>
      <c r="FF30" s="18">
        <f>FE30*VLOOKUP('Données projet'!$B$16,Paramètres!$A$1:$I$89,3,0)*VLOOKUP('Données projet'!$B$16,Paramètres!$A$1:$I$89,5,0)</f>
        <v>77.592481199999966</v>
      </c>
      <c r="FG30" s="14">
        <f t="shared" si="47"/>
        <v>21.547490528248293</v>
      </c>
      <c r="FH30" s="22">
        <f t="shared" si="22"/>
        <v>172.66878409336573</v>
      </c>
      <c r="FI30" s="62">
        <f t="shared" si="23"/>
        <v>462.33545076003242</v>
      </c>
      <c r="FJ30" s="62">
        <f ca="1">AVERAGE(OFFSET($FI$3,0,0,'Données projet'!$E$16+1,1))-AVERAGE(OFFSET($H$3,0,0,'Données projet'!$E$16+1,1))</f>
        <v>330.53726676433649</v>
      </c>
      <c r="FK30" s="62">
        <f t="shared" si="48"/>
        <v>228.01260676706528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3.1761666666666666</v>
      </c>
      <c r="FZ30" s="13">
        <f>IF('Données projet'!$A$244&gt;35,FZ29+FY30-GH29,IF(A30&lt;'Données projet'!$A$244,$FW$205^A30,IF(A30='Données projet'!$A$244,'Données projet'!$B$244,FZ29+FY30-GH29)))</f>
        <v>85.75649999999996</v>
      </c>
      <c r="GA30" s="18">
        <f>FZ30*VLOOKUP('Données projet'!$B$17,Paramètres!$A$1:$I$89,3,0)*VLOOKUP('Données projet'!$B$17,Paramètres!$A$1:$I$89,5,0)</f>
        <v>97.659502199999949</v>
      </c>
      <c r="GB30" s="14">
        <f t="shared" si="49"/>
        <v>26.40363998965093</v>
      </c>
      <c r="GC30" s="22">
        <f t="shared" si="25"/>
        <v>216.07663931364195</v>
      </c>
      <c r="GD30" s="62">
        <f t="shared" si="26"/>
        <v>505.74330598030861</v>
      </c>
      <c r="GE30" s="62">
        <f ca="1">AVERAGE(OFFSET($GD$3,0,0,'Données projet'!$E$17+1,1))-AVERAGE(OFFSET($H$3,0,0,'Données projet'!$E$17+1,1))</f>
        <v>405.71017054131318</v>
      </c>
      <c r="GF30" s="62">
        <f t="shared" si="50"/>
        <v>276.12900965322166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3.1761666666666666</v>
      </c>
      <c r="GU30" s="13">
        <f>IF('Données projet'!$A$270&gt;35,GU29+GT30-HC29,IF(A30&lt;'Données projet'!$A$270,$GR$205^A30,IF(A30='Données projet'!$A$270,'Données projet'!$B$270,GU29+GT30-HC29)))</f>
        <v>85.75649999999996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3.887142857142857</v>
      </c>
      <c r="N31" s="14">
        <f>IF('Données projet'!$A$36&gt;35,N30+M31-V30,IF(A31&lt;'Données projet'!$A$36,$K$205^A31,IF(A31='Données projet'!$A$36,'Données projet'!$B$36,N30+M31-V30)))</f>
        <v>108.84000000000003</v>
      </c>
      <c r="O31" s="14">
        <f>N31*VLOOKUP('Données projet'!$B$9,Paramètres!$A$1:$I$89,3,0)*VLOOKUP('Données projet'!$B$9,Paramètres!$A$1:$I$89,5,0)</f>
        <v>98.478432000000026</v>
      </c>
      <c r="P31" s="14">
        <f t="shared" si="33"/>
        <v>26.599182115615513</v>
      </c>
      <c r="Q31" s="22">
        <f t="shared" si="2"/>
        <v>217.84351125136371</v>
      </c>
      <c r="R31" s="62">
        <f t="shared" si="0"/>
        <v>508.73240014025259</v>
      </c>
      <c r="S31" s="62">
        <f ca="1">AVERAGE(OFFSET($R$3,0,0,'Données projet'!$E$9+1,1))-AVERAGE(OFFSET($H$3,0,0,'Données projet'!$E$9+1,1))</f>
        <v>452.54136967045082</v>
      </c>
      <c r="T31" s="62">
        <f t="shared" si="34"/>
        <v>269.67340993773422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16.614999999999998</v>
      </c>
      <c r="AI31" s="14">
        <f>IF('Données projet'!$A$62&gt;35,AI30+AH31-AQ30,IF(A31&lt;'Données projet'!$A$62,$AF$205^A31,IF(A31='Données projet'!$A$62,'Données projet'!$B$62,AI30+AH31-AQ30)))</f>
        <v>134.26500000000001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3.887142857142857</v>
      </c>
      <c r="BD31" s="13">
        <f>IF('Données projet'!$A$88&gt;35,BD30+BC31-BL30,IF(A31&lt;'Données projet'!$A$88,$BA$205^A31,IF(A31='Données projet'!$A$88,'Données projet'!$B$88,BD30+BC31-BL30)))</f>
        <v>108.84000000000003</v>
      </c>
      <c r="BE31" s="14">
        <f>BD31*VLOOKUP('Données projet'!$B$11,Paramètres!$A$1:$I$89,3,0)*VLOOKUP('Données projet'!$B$11,Paramètres!$A$1:$I$89,5,0)</f>
        <v>110.36376000000004</v>
      </c>
      <c r="BF31" s="14">
        <f t="shared" si="37"/>
        <v>29.416672791139618</v>
      </c>
      <c r="BG31" s="22">
        <f t="shared" si="7"/>
        <v>243.45092044456825</v>
      </c>
      <c r="BH31" s="62">
        <f t="shared" si="8"/>
        <v>534.33980933345708</v>
      </c>
      <c r="BI31" s="62">
        <f ca="1">AVERAGE(OFFSET($BH$3,0,0,'Données projet'!$E$11+1,1))-AVERAGE(OFFSET($H$3,0,0,'Données projet'!$E$11+1,1))</f>
        <v>502.06005292569733</v>
      </c>
      <c r="BJ31" s="62">
        <f t="shared" si="38"/>
        <v>297.06786598620607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5.5139999999999985</v>
      </c>
      <c r="BY31" s="13">
        <f>IF('Données projet'!$A$114&gt;35,BY30+BX31-CG30,IF(A31&lt;'Données projet'!$A$114,$BV$205^A31,IF(A31='Données projet'!$A$114,'Données projet'!$B$114,BY30+BX31-CG30)))</f>
        <v>69.102000000000004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4.3579999999999988</v>
      </c>
      <c r="CT31" s="13">
        <f>IF('Données projet'!$A$140&gt;35,CT30+CS31-DB30,IF(A31&lt;'Données projet'!$A$140,$CQ$205^A31,IF(A31='Données projet'!$A$140,'Données projet'!$B$140,CT30+CS31-DB30)))</f>
        <v>116.92399999999999</v>
      </c>
      <c r="CU31" s="18">
        <f>CT31*VLOOKUP('Données projet'!$B$13,Paramètres!$A$1:$I$89,3,0)*VLOOKUP('Données projet'!$B$13,Paramètres!$A$1:$I$89,5,0)</f>
        <v>105.79283519999998</v>
      </c>
      <c r="CV31" s="14">
        <f t="shared" si="41"/>
        <v>28.337505200241669</v>
      </c>
      <c r="CW31" s="22">
        <f t="shared" si="13"/>
        <v>233.61034286375423</v>
      </c>
      <c r="CX31" s="62">
        <f t="shared" si="14"/>
        <v>524.49923175264303</v>
      </c>
      <c r="CY31" s="62">
        <f ca="1">AVERAGE(OFFSET($CX$3,0,0,'Données projet'!$E$13+1,1))-AVERAGE(OFFSET($H$3,0,0,'Données projet'!$E$13+1,1))</f>
        <v>204.787338911576</v>
      </c>
      <c r="CZ31" s="62">
        <f t="shared" si="42"/>
        <v>287.24932051638558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1.325</v>
      </c>
      <c r="DO31" s="13">
        <f>IF('Données projet'!$A$166&gt;35,DO30+DN31-DW30,IF(A31&lt;'Données projet'!$A$166,$DL$205^A31,IF(A31='Données projet'!$A$166,'Données projet'!$B$166,DO30+DN31-DW30)))</f>
        <v>37.1</v>
      </c>
      <c r="DP31" s="18">
        <f>DO31*VLOOKUP('Données projet'!$B$14,Paramètres!$A$1:$I$89,3,0)*VLOOKUP('Données projet'!$B$14,Paramètres!$A$1:$I$89,5,0)</f>
        <v>35.304360000000003</v>
      </c>
      <c r="DQ31" s="14">
        <f t="shared" si="43"/>
        <v>10.745167472520425</v>
      </c>
      <c r="DR31" s="22">
        <f t="shared" si="16"/>
        <v>80.202927014639741</v>
      </c>
      <c r="DS31" s="62">
        <f t="shared" si="17"/>
        <v>371.09181590352858</v>
      </c>
      <c r="DT31" s="62">
        <f ca="1">AVERAGE(OFFSET($DS$3,0,0,'Données projet'!$E$14+1,1))-AVERAGE(OFFSET($H$3,0,0,'Données projet'!$E$14+1,1))</f>
        <v>309.55876703480277</v>
      </c>
      <c r="DU31" s="62">
        <f t="shared" si="44"/>
        <v>122.43799205838684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4.0476666666666672</v>
      </c>
      <c r="EJ31" s="13">
        <f>IF('Données projet'!$A$192&gt;35,EJ30+EI31-ER30,IF(A31&lt;'Données projet'!$A$192,$EG$205^A31,IF(A31='Données projet'!$A$192,'Données projet'!$B$192,EJ30+EI31-ER30)))</f>
        <v>88.180169376149777</v>
      </c>
      <c r="EK31" s="18">
        <f>EJ31*VLOOKUP('Données projet'!$B$15,Paramètres!$A$1:$I$89,3,0)*VLOOKUP('Données projet'!$B$15,Paramètres!$A$1:$I$89,5,0)</f>
        <v>41.268319268038091</v>
      </c>
      <c r="EL31" s="14">
        <f t="shared" si="45"/>
        <v>12.334201901809736</v>
      </c>
      <c r="EM31" s="22">
        <f t="shared" si="19"/>
        <v>93.357724370818289</v>
      </c>
      <c r="EN31" s="62">
        <f t="shared" si="20"/>
        <v>384.24661325970715</v>
      </c>
      <c r="EO31" s="62">
        <f ca="1">AVERAGE(OFFSET($EN$3,0,0,'Données projet'!$E$15+1,1))-AVERAGE(OFFSET($H$3,0,0,'Données projet'!$E$15+1,1))</f>
        <v>301.04834785168049</v>
      </c>
      <c r="EP31" s="62">
        <f t="shared" si="46"/>
        <v>164.1450425611464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3.1761666666666666</v>
      </c>
      <c r="FE31" s="13">
        <f>IF('Données projet'!$A$218&gt;35,FE30+FD31-FM30,IF(A31&lt;'Données projet'!$A$218,$FB$205^A31,IF(A31='Données projet'!$A$218,'Données projet'!$B$218,FE30+FD31-FM30)))</f>
        <v>88.93266666666662</v>
      </c>
      <c r="FF31" s="18">
        <f>FE31*VLOOKUP('Données projet'!$B$16,Paramètres!$A$1:$I$89,3,0)*VLOOKUP('Données projet'!$B$16,Paramètres!$A$1:$I$89,5,0)</f>
        <v>80.466276799999946</v>
      </c>
      <c r="FG31" s="14">
        <f t="shared" si="47"/>
        <v>22.251152640842403</v>
      </c>
      <c r="FH31" s="22">
        <f t="shared" si="22"/>
        <v>178.89952294280042</v>
      </c>
      <c r="FI31" s="62">
        <f t="shared" si="23"/>
        <v>469.78841183168925</v>
      </c>
      <c r="FJ31" s="62">
        <f ca="1">AVERAGE(OFFSET($FI$3,0,0,'Données projet'!$E$16+1,1))-AVERAGE(OFFSET($H$3,0,0,'Données projet'!$E$16+1,1))</f>
        <v>330.53726676433649</v>
      </c>
      <c r="FK31" s="62">
        <f t="shared" si="48"/>
        <v>228.01260676706528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3.1761666666666666</v>
      </c>
      <c r="FZ31" s="13">
        <f>IF('Données projet'!$A$244&gt;35,FZ30+FY31-GH30,IF(A31&lt;'Données projet'!$A$244,$FW$205^A31,IF(A31='Données projet'!$A$244,'Données projet'!$B$244,FZ30+FY31-GH30)))</f>
        <v>88.93266666666662</v>
      </c>
      <c r="GA31" s="18">
        <f>FZ31*VLOOKUP('Données projet'!$B$17,Paramètres!$A$1:$I$89,3,0)*VLOOKUP('Données projet'!$B$17,Paramètres!$A$1:$I$89,5,0)</f>
        <v>101.27652079999996</v>
      </c>
      <c r="GB31" s="14">
        <f t="shared" si="49"/>
        <v>27.265886155668984</v>
      </c>
      <c r="GC31" s="22">
        <f t="shared" si="25"/>
        <v>223.87802544779007</v>
      </c>
      <c r="GD31" s="62">
        <f t="shared" si="26"/>
        <v>514.76691433667895</v>
      </c>
      <c r="GE31" s="62">
        <f ca="1">AVERAGE(OFFSET($GD$3,0,0,'Données projet'!$E$17+1,1))-AVERAGE(OFFSET($H$3,0,0,'Données projet'!$E$17+1,1))</f>
        <v>405.71017054131318</v>
      </c>
      <c r="GF31" s="62">
        <f t="shared" si="50"/>
        <v>276.12900965322166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3.1761666666666666</v>
      </c>
      <c r="GU31" s="13">
        <f>IF('Données projet'!$A$270&gt;35,GU30+GT31-HC30,IF(A31&lt;'Données projet'!$A$270,$GR$205^A31,IF(A31='Données projet'!$A$270,'Données projet'!$B$270,GU30+GT31-HC30)))</f>
        <v>88.93266666666662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3.887142857142857</v>
      </c>
      <c r="N32" s="14">
        <f>IF('Données projet'!$A$36&gt;35,N31+M32-V31,IF(A32&lt;'Données projet'!$A$36,$K$205^A32,IF(A32='Données projet'!$A$36,'Données projet'!$B$36,N31+M32-V31)))</f>
        <v>112.72714285714289</v>
      </c>
      <c r="O32" s="14">
        <f>N32*VLOOKUP('Données projet'!$B$9,Paramètres!$A$1:$I$89,3,0)*VLOOKUP('Données projet'!$B$9,Paramètres!$A$1:$I$89,5,0)</f>
        <v>101.99551885714288</v>
      </c>
      <c r="P32" s="14">
        <f t="shared" si="33"/>
        <v>27.436854324518826</v>
      </c>
      <c r="Q32" s="22">
        <f t="shared" si="2"/>
        <v>225.4280499580608</v>
      </c>
      <c r="R32" s="62">
        <f t="shared" si="0"/>
        <v>517.539161069172</v>
      </c>
      <c r="S32" s="62">
        <f ca="1">AVERAGE(OFFSET($R$3,0,0,'Données projet'!$E$9+1,1))-AVERAGE(OFFSET($H$3,0,0,'Données projet'!$E$9+1,1))</f>
        <v>452.54136967045082</v>
      </c>
      <c r="T32" s="62">
        <f t="shared" si="34"/>
        <v>269.67340993773422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16.614999999999998</v>
      </c>
      <c r="AI32" s="14">
        <f>IF('Données projet'!$A$62&gt;35,AI31+AH32-AQ31,IF(A32&lt;'Données projet'!$A$62,$AF$205^A32,IF(A32='Données projet'!$A$62,'Données projet'!$B$62,AI31+AH32-AQ31)))</f>
        <v>150.88000000000002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3.887142857142857</v>
      </c>
      <c r="BD32" s="13">
        <f>IF('Données projet'!$A$88&gt;35,BD31+BC32-BL31,IF(A32&lt;'Données projet'!$A$88,$BA$205^A32,IF(A32='Données projet'!$A$88,'Données projet'!$B$88,BD31+BC32-BL31)))</f>
        <v>112.72714285714289</v>
      </c>
      <c r="BE32" s="14">
        <f>BD32*VLOOKUP('Données projet'!$B$11,Paramètres!$A$1:$I$89,3,0)*VLOOKUP('Données projet'!$B$11,Paramètres!$A$1:$I$89,5,0)</f>
        <v>114.3053228571429</v>
      </c>
      <c r="BF32" s="14">
        <f t="shared" si="37"/>
        <v>30.343074556744043</v>
      </c>
      <c r="BG32" s="22">
        <f t="shared" si="7"/>
        <v>251.92929216251972</v>
      </c>
      <c r="BH32" s="62">
        <f t="shared" si="8"/>
        <v>544.04040327363089</v>
      </c>
      <c r="BI32" s="62">
        <f ca="1">AVERAGE(OFFSET($BH$3,0,0,'Données projet'!$E$11+1,1))-AVERAGE(OFFSET($H$3,0,0,'Données projet'!$E$11+1,1))</f>
        <v>502.06005292569733</v>
      </c>
      <c r="BJ32" s="62">
        <f t="shared" si="38"/>
        <v>297.06786598620607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5.5139999999999985</v>
      </c>
      <c r="BY32" s="13">
        <f>IF('Données projet'!$A$114&gt;35,BY31+BX32-CG31,IF(A32&lt;'Données projet'!$A$114,$BV$205^A32,IF(A32='Données projet'!$A$114,'Données projet'!$B$114,BY31+BX32-CG31)))</f>
        <v>74.616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4.3579999999999988</v>
      </c>
      <c r="CT32" s="13">
        <f>IF('Données projet'!$A$140&gt;35,CT31+CS32-DB31,IF(A32&lt;'Données projet'!$A$140,$CQ$205^A32,IF(A32='Données projet'!$A$140,'Données projet'!$B$140,CT31+CS32-DB31)))</f>
        <v>121.282</v>
      </c>
      <c r="CU32" s="18">
        <f>CT32*VLOOKUP('Données projet'!$B$13,Paramètres!$A$1:$I$89,3,0)*VLOOKUP('Données projet'!$B$13,Paramètres!$A$1:$I$89,5,0)</f>
        <v>109.7359536</v>
      </c>
      <c r="CV32" s="14">
        <f t="shared" si="41"/>
        <v>29.268764482245242</v>
      </c>
      <c r="CW32" s="22">
        <f t="shared" si="13"/>
        <v>242.09988399324376</v>
      </c>
      <c r="CX32" s="62">
        <f t="shared" si="14"/>
        <v>534.21099510435488</v>
      </c>
      <c r="CY32" s="62">
        <f ca="1">AVERAGE(OFFSET($CX$3,0,0,'Données projet'!$E$13+1,1))-AVERAGE(OFFSET($H$3,0,0,'Données projet'!$E$13+1,1))</f>
        <v>204.787338911576</v>
      </c>
      <c r="CZ32" s="62">
        <f t="shared" si="42"/>
        <v>287.24932051638558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1.325</v>
      </c>
      <c r="DO32" s="13">
        <f>IF('Données projet'!$A$166&gt;35,DO31+DN32-DW31,IF(A32&lt;'Données projet'!$A$166,$DL$205^A32,IF(A32='Données projet'!$A$166,'Données projet'!$B$166,DO31+DN32-DW31)))</f>
        <v>38.425000000000004</v>
      </c>
      <c r="DP32" s="18">
        <f>DO32*VLOOKUP('Données projet'!$B$14,Paramètres!$A$1:$I$89,3,0)*VLOOKUP('Données projet'!$B$14,Paramètres!$A$1:$I$89,5,0)</f>
        <v>36.56523</v>
      </c>
      <c r="DQ32" s="14">
        <f t="shared" si="43"/>
        <v>11.08355863555013</v>
      </c>
      <c r="DR32" s="22">
        <f t="shared" si="16"/>
        <v>82.988306873583142</v>
      </c>
      <c r="DS32" s="62">
        <f t="shared" si="17"/>
        <v>375.0994179846943</v>
      </c>
      <c r="DT32" s="62">
        <f ca="1">AVERAGE(OFFSET($DS$3,0,0,'Données projet'!$E$14+1,1))-AVERAGE(OFFSET($H$3,0,0,'Données projet'!$E$14+1,1))</f>
        <v>309.55876703480277</v>
      </c>
      <c r="DU32" s="62">
        <f t="shared" si="44"/>
        <v>122.43799205838684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4.0476666666666672</v>
      </c>
      <c r="EJ32" s="13">
        <f>IF('Données projet'!$A$192&gt;35,EJ31+EI32-ER31,IF(A32&lt;'Données projet'!$A$192,$EG$205^A32,IF(A32='Données projet'!$A$192,'Données projet'!$B$192,EJ31+EI32-ER31)))</f>
        <v>103.47810380629259</v>
      </c>
      <c r="EK32" s="18">
        <f>EJ32*VLOOKUP('Données projet'!$B$15,Paramètres!$A$1:$I$89,3,0)*VLOOKUP('Données projet'!$B$15,Paramètres!$A$1:$I$89,5,0)</f>
        <v>48.427752581344933</v>
      </c>
      <c r="EL32" s="14">
        <f t="shared" si="45"/>
        <v>14.206967976633383</v>
      </c>
      <c r="EM32" s="22">
        <f t="shared" si="19"/>
        <v>109.08880497181222</v>
      </c>
      <c r="EN32" s="62">
        <f t="shared" si="20"/>
        <v>401.19991608292338</v>
      </c>
      <c r="EO32" s="62">
        <f ca="1">AVERAGE(OFFSET($EN$3,0,0,'Données projet'!$E$15+1,1))-AVERAGE(OFFSET($H$3,0,0,'Données projet'!$E$15+1,1))</f>
        <v>301.04834785168049</v>
      </c>
      <c r="EP32" s="62">
        <f t="shared" si="46"/>
        <v>164.1450425611464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3.1761666666666666</v>
      </c>
      <c r="FE32" s="13">
        <f>IF('Données projet'!$A$218&gt;35,FE31+FD32-FM31,IF(A32&lt;'Données projet'!$A$218,$FB$205^A32,IF(A32='Données projet'!$A$218,'Données projet'!$B$218,FE31+FD32-FM31)))</f>
        <v>92.10883333333328</v>
      </c>
      <c r="FF32" s="18">
        <f>FE32*VLOOKUP('Données projet'!$B$16,Paramètres!$A$1:$I$89,3,0)*VLOOKUP('Données projet'!$B$16,Paramètres!$A$1:$I$89,5,0)</f>
        <v>83.340072399999954</v>
      </c>
      <c r="FG32" s="14">
        <f t="shared" si="47"/>
        <v>22.951894945710382</v>
      </c>
      <c r="FH32" s="22">
        <f t="shared" si="22"/>
        <v>185.12517646044549</v>
      </c>
      <c r="FI32" s="62">
        <f t="shared" si="23"/>
        <v>477.23628757155666</v>
      </c>
      <c r="FJ32" s="62">
        <f ca="1">AVERAGE(OFFSET($FI$3,0,0,'Données projet'!$E$16+1,1))-AVERAGE(OFFSET($H$3,0,0,'Données projet'!$E$16+1,1))</f>
        <v>330.53726676433649</v>
      </c>
      <c r="FK32" s="62">
        <f t="shared" si="48"/>
        <v>228.01260676706528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3.1761666666666666</v>
      </c>
      <c r="FZ32" s="13">
        <f>IF('Données projet'!$A$244&gt;35,FZ31+FY32-GH31,IF(A32&lt;'Données projet'!$A$244,$FW$205^A32,IF(A32='Données projet'!$A$244,'Données projet'!$B$244,FZ31+FY32-GH31)))</f>
        <v>92.10883333333328</v>
      </c>
      <c r="GA32" s="18">
        <f>FZ32*VLOOKUP('Données projet'!$B$17,Paramètres!$A$1:$I$89,3,0)*VLOOKUP('Données projet'!$B$17,Paramètres!$A$1:$I$89,5,0)</f>
        <v>104.89353939999992</v>
      </c>
      <c r="GB32" s="14">
        <f t="shared" si="49"/>
        <v>28.124554478042583</v>
      </c>
      <c r="GC32" s="22">
        <f t="shared" si="25"/>
        <v>231.67318017092404</v>
      </c>
      <c r="GD32" s="62">
        <f t="shared" si="26"/>
        <v>523.78429128203516</v>
      </c>
      <c r="GE32" s="62">
        <f ca="1">AVERAGE(OFFSET($GD$3,0,0,'Données projet'!$E$17+1,1))-AVERAGE(OFFSET($H$3,0,0,'Données projet'!$E$17+1,1))</f>
        <v>405.71017054131318</v>
      </c>
      <c r="GF32" s="62">
        <f t="shared" si="50"/>
        <v>276.12900965322166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3.1761666666666666</v>
      </c>
      <c r="GU32" s="13">
        <f>IF('Données projet'!$A$270&gt;35,GU31+GT32-HC31,IF(A32&lt;'Données projet'!$A$270,$GR$205^A32,IF(A32='Données projet'!$A$270,'Données projet'!$B$270,GU31+GT32-HC31)))</f>
        <v>92.10883333333328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3.887142857142857</v>
      </c>
      <c r="N33" s="14">
        <f>IF('Données projet'!$A$36&gt;35,N32+M33-V32,IF(A33&lt;'Données projet'!$A$36,$K$205^A33,IF(A33='Données projet'!$A$36,'Données projet'!$B$36,N32+M33-V32)))</f>
        <v>116.61428571428576</v>
      </c>
      <c r="O33" s="14">
        <f>N33*VLOOKUP('Données projet'!$B$9,Paramètres!$A$1:$I$89,3,0)*VLOOKUP('Données projet'!$B$9,Paramètres!$A$1:$I$89,5,0)</f>
        <v>105.51260571428575</v>
      </c>
      <c r="P33" s="14">
        <f t="shared" si="33"/>
        <v>28.271170326518615</v>
      </c>
      <c r="Q33" s="22">
        <f t="shared" si="2"/>
        <v>233.00674327106756</v>
      </c>
      <c r="R33" s="62">
        <f t="shared" si="0"/>
        <v>526.34007660440091</v>
      </c>
      <c r="S33" s="62">
        <f ca="1">AVERAGE(OFFSET($R$3,0,0,'Données projet'!$E$9+1,1))-AVERAGE(OFFSET($H$3,0,0,'Données projet'!$E$9+1,1))</f>
        <v>452.54136967045082</v>
      </c>
      <c r="T33" s="62">
        <f t="shared" si="34"/>
        <v>269.67340993773422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16.614999999999998</v>
      </c>
      <c r="AI33" s="14">
        <f>IF('Données projet'!$A$62&gt;35,AI32+AH33-AQ32,IF(A33&lt;'Données projet'!$A$62,$AF$205^A33,IF(A33='Données projet'!$A$62,'Données projet'!$B$62,AI32+AH33-AQ32)))</f>
        <v>167.49500000000003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3.887142857142857</v>
      </c>
      <c r="BD33" s="13">
        <f>IF('Données projet'!$A$88&gt;35,BD32+BC33-BL32,IF(A33&lt;'Données projet'!$A$88,$BA$205^A33,IF(A33='Données projet'!$A$88,'Données projet'!$B$88,BD32+BC33-BL32)))</f>
        <v>116.61428571428576</v>
      </c>
      <c r="BE33" s="14">
        <f>BD33*VLOOKUP('Données projet'!$B$11,Paramètres!$A$1:$I$89,3,0)*VLOOKUP('Données projet'!$B$11,Paramètres!$A$1:$I$89,5,0)</f>
        <v>118.24688571428577</v>
      </c>
      <c r="BF33" s="14">
        <f t="shared" si="37"/>
        <v>31.265764612722538</v>
      </c>
      <c r="BG33" s="22">
        <f t="shared" si="7"/>
        <v>260.40119931953944</v>
      </c>
      <c r="BH33" s="62">
        <f t="shared" si="8"/>
        <v>553.73453265287276</v>
      </c>
      <c r="BI33" s="62">
        <f ca="1">AVERAGE(OFFSET($BH$3,0,0,'Données projet'!$E$11+1,1))-AVERAGE(OFFSET($H$3,0,0,'Données projet'!$E$11+1,1))</f>
        <v>502.06005292569733</v>
      </c>
      <c r="BJ33" s="62">
        <f t="shared" si="38"/>
        <v>297.06786598620607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80.13</v>
      </c>
      <c r="BW33" s="13">
        <f>VLOOKUP(A33,'Données projet'!$A$113:$I$133,9,0)</f>
        <v>5.5139999999999985</v>
      </c>
      <c r="BX33" s="13">
        <f t="array" ref="BX33">INDEX(BW:BW,MIN(IF(ISNUMBER(BW33:BW229),ROW(BW33:BW229),"")))</f>
        <v>5.5139999999999985</v>
      </c>
      <c r="BY33" s="13">
        <f>IF('Données projet'!$A$114&gt;35,BY32+BX33-CG32,IF(A33&lt;'Données projet'!$A$114,$BV$205^A33,IF(A33='Données projet'!$A$114,'Données projet'!$B$114,BY32+BX33-CG32)))</f>
        <v>80.13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16.670000000000002</v>
      </c>
      <c r="CH33" s="17" t="e">
        <f>IF(ISNA(VLOOKUP(A33,'Données projet'!$A$113:$I$133,5,0)),0%,VLOOKUP(A33,'Données projet'!$A$113:$I$133,5,0)*VLOOKUP('Données projet'!$B$12,Paramètres!$A$1:$I$89,7,0))</f>
        <v>#N/A</v>
      </c>
      <c r="CI33" s="17" t="e">
        <f>IF(ISNA(VLOOKUP(A33,'Données projet'!$A$113:$I$133,6,0)),0%,VLOOKUP(A33,'Données projet'!$A$113:$I$133,6,0)*VLOOKUP('Données projet'!$B$12,Paramètres!$A$1:$I$89,7,0))</f>
        <v>#N/A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125.64</v>
      </c>
      <c r="CR33" s="13">
        <f>VLOOKUP(A33,'Données projet'!$A$139:$I$159,9,0)</f>
        <v>4.3579999999999988</v>
      </c>
      <c r="CS33" s="13">
        <f t="array" ref="CS33">INDEX(CR:CR,MIN(IF(ISNUMBER(CR33:CR229),ROW(CR33:CR229),"")))</f>
        <v>4.3579999999999988</v>
      </c>
      <c r="CT33" s="13">
        <f>IF('Données projet'!$A$140&gt;35,CT32+CS33-DB32,IF(A33&lt;'Données projet'!$A$140,$CQ$205^A33,IF(A33='Données projet'!$A$140,'Données projet'!$B$140,CT32+CS33-DB32)))</f>
        <v>125.64</v>
      </c>
      <c r="CU33" s="18">
        <f>CT33*VLOOKUP('Données projet'!$B$13,Paramètres!$A$1:$I$89,3,0)*VLOOKUP('Données projet'!$B$13,Paramètres!$A$1:$I$89,5,0)</f>
        <v>113.67907200000001</v>
      </c>
      <c r="CV33" s="14">
        <f t="shared" si="41"/>
        <v>30.19613595199176</v>
      </c>
      <c r="CW33" s="22">
        <f t="shared" si="13"/>
        <v>250.58265384971901</v>
      </c>
      <c r="CX33" s="62">
        <f t="shared" si="14"/>
        <v>543.91598718305227</v>
      </c>
      <c r="CY33" s="62">
        <f ca="1">AVERAGE(OFFSET($CX$3,0,0,'Données projet'!$E$13+1,1))-AVERAGE(OFFSET($H$3,0,0,'Données projet'!$E$13+1,1))</f>
        <v>204.787338911576</v>
      </c>
      <c r="CZ33" s="62">
        <f t="shared" si="42"/>
        <v>287.24932051638558</v>
      </c>
      <c r="DA33" s="16">
        <f>IF(ISNA(VLOOKUP(A33,'Données projet'!$A$139:$I$159,3,0)),0,VLOOKUP(A33,'Données projet'!$A$139:$I$159,3,0))</f>
        <v>6</v>
      </c>
      <c r="DB33" s="16">
        <f>IF(ISNA(VLOOKUP(A33,'Données projet'!$A$139:$I$159,4,0)),0,VLOOKUP(A33,'Données projet'!$A$139:$I$159,4,0))</f>
        <v>5.77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1.325</v>
      </c>
      <c r="DO33" s="13">
        <f>IF('Données projet'!$A$166&gt;35,DO32+DN33-DW32,IF(A33&lt;'Données projet'!$A$166,$DL$205^A33,IF(A33='Données projet'!$A$166,'Données projet'!$B$166,DO32+DN33-DW32)))</f>
        <v>39.750000000000007</v>
      </c>
      <c r="DP33" s="18">
        <f>DO33*VLOOKUP('Données projet'!$B$14,Paramètres!$A$1:$I$89,3,0)*VLOOKUP('Données projet'!$B$14,Paramètres!$A$1:$I$89,5,0)</f>
        <v>37.826100000000004</v>
      </c>
      <c r="DQ33" s="14">
        <f t="shared" si="43"/>
        <v>11.420594004815435</v>
      </c>
      <c r="DR33" s="22">
        <f t="shared" si="16"/>
        <v>85.771325391720211</v>
      </c>
      <c r="DS33" s="62">
        <f t="shared" si="17"/>
        <v>379.10465872505353</v>
      </c>
      <c r="DT33" s="62">
        <f ca="1">AVERAGE(OFFSET($DS$3,0,0,'Données projet'!$E$14+1,1))-AVERAGE(OFFSET($H$3,0,0,'Données projet'!$E$14+1,1))</f>
        <v>309.55876703480277</v>
      </c>
      <c r="DU33" s="62">
        <f t="shared" si="44"/>
        <v>122.43799205838684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121.43</v>
      </c>
      <c r="EH33" s="13">
        <f>VLOOKUP(A33,'Données projet'!$A$191:$I$211,9,0)</f>
        <v>4.0476666666666672</v>
      </c>
      <c r="EI33" s="13">
        <f t="array" ref="EI33">INDEX(EH:EH,MIN(IF(ISNUMBER(EH33:EH229),ROW(EH33:EH229),"")))</f>
        <v>4.0476666666666672</v>
      </c>
      <c r="EJ33" s="13">
        <f>IF('Données projet'!$A$192&gt;35,EJ32+EI33-ER32,IF(A33&lt;'Données projet'!$A$192,$EG$205^A33,IF(A33='Données projet'!$A$192,'Données projet'!$B$192,EJ32+EI33-ER32)))</f>
        <v>121.43</v>
      </c>
      <c r="EK33" s="18">
        <f>EJ33*VLOOKUP('Données projet'!$B$15,Paramètres!$A$1:$I$89,3,0)*VLOOKUP('Données projet'!$B$15,Paramètres!$A$1:$I$89,5,0)</f>
        <v>56.829240000000006</v>
      </c>
      <c r="EL33" s="14">
        <f t="shared" si="45"/>
        <v>16.364085872428582</v>
      </c>
      <c r="EM33" s="22">
        <f t="shared" si="19"/>
        <v>127.47837589447978</v>
      </c>
      <c r="EN33" s="62">
        <f t="shared" si="20"/>
        <v>420.81170922781308</v>
      </c>
      <c r="EO33" s="62">
        <f ca="1">AVERAGE(OFFSET($EN$3,0,0,'Données projet'!$E$15+1,1))-AVERAGE(OFFSET($H$3,0,0,'Données projet'!$E$15+1,1))</f>
        <v>301.04834785168049</v>
      </c>
      <c r="EP33" s="62">
        <f t="shared" si="46"/>
        <v>164.1450425611464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3.1761666666666666</v>
      </c>
      <c r="FE33" s="13">
        <f>IF('Données projet'!$A$218&gt;35,FE32+FD33-FM32,IF(A33&lt;'Données projet'!$A$218,$FB$205^A33,IF(A33='Données projet'!$A$218,'Données projet'!$B$218,FE32+FD33-FM32)))</f>
        <v>95.28499999999994</v>
      </c>
      <c r="FF33" s="18">
        <f>FE33*VLOOKUP('Données projet'!$B$16,Paramètres!$A$1:$I$89,3,0)*VLOOKUP('Données projet'!$B$16,Paramètres!$A$1:$I$89,5,0)</f>
        <v>86.213867999999948</v>
      </c>
      <c r="FG33" s="14">
        <f t="shared" si="47"/>
        <v>23.649829665300725</v>
      </c>
      <c r="FH33" s="22">
        <f t="shared" si="22"/>
        <v>191.34594010039868</v>
      </c>
      <c r="FI33" s="62">
        <f t="shared" si="23"/>
        <v>484.67927343373196</v>
      </c>
      <c r="FJ33" s="62">
        <f ca="1">AVERAGE(OFFSET($FI$3,0,0,'Données projet'!$E$16+1,1))-AVERAGE(OFFSET($H$3,0,0,'Données projet'!$E$16+1,1))</f>
        <v>330.53726676433649</v>
      </c>
      <c r="FK33" s="62">
        <f t="shared" si="48"/>
        <v>228.01260676706528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3.1761666666666666</v>
      </c>
      <c r="FZ33" s="13">
        <f>IF('Données projet'!$A$244&gt;35,FZ32+FY33-GH32,IF(A33&lt;'Données projet'!$A$244,$FW$205^A33,IF(A33='Données projet'!$A$244,'Données projet'!$B$244,FZ32+FY33-GH32)))</f>
        <v>95.28499999999994</v>
      </c>
      <c r="GA33" s="18">
        <f>FZ33*VLOOKUP('Données projet'!$B$17,Paramètres!$A$1:$I$89,3,0)*VLOOKUP('Données projet'!$B$17,Paramètres!$A$1:$I$89,5,0)</f>
        <v>108.51055799999993</v>
      </c>
      <c r="GB33" s="14">
        <f t="shared" si="49"/>
        <v>28.979782470749331</v>
      </c>
      <c r="GC33" s="22">
        <f t="shared" si="25"/>
        <v>239.46234298655497</v>
      </c>
      <c r="GD33" s="62">
        <f t="shared" si="26"/>
        <v>532.79567631988834</v>
      </c>
      <c r="GE33" s="62">
        <f ca="1">AVERAGE(OFFSET($GD$3,0,0,'Données projet'!$E$17+1,1))-AVERAGE(OFFSET($H$3,0,0,'Données projet'!$E$17+1,1))</f>
        <v>405.71017054131318</v>
      </c>
      <c r="GF33" s="62">
        <f t="shared" si="50"/>
        <v>276.12900965322166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3.1761666666666666</v>
      </c>
      <c r="GU33" s="13">
        <f>IF('Données projet'!$A$270&gt;35,GU32+GT33-HC32,IF(A33&lt;'Données projet'!$A$270,$GR$205^A33,IF(A33='Données projet'!$A$270,'Données projet'!$B$270,GU32+GT33-HC32)))</f>
        <v>95.28499999999994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3.887142857142857</v>
      </c>
      <c r="N34" s="14">
        <f>IF('Données projet'!$A$36&gt;35,N33+M34-V33,IF(A34&lt;'Données projet'!$A$36,$K$205^A34,IF(A34='Données projet'!$A$36,'Données projet'!$B$36,N33+M34-V33)))</f>
        <v>120.50142857142862</v>
      </c>
      <c r="O34" s="14">
        <f>N34*VLOOKUP('Données projet'!$B$9,Paramètres!$A$1:$I$89,3,0)*VLOOKUP('Données projet'!$B$9,Paramètres!$A$1:$I$89,5,0)</f>
        <v>109.02969257142863</v>
      </c>
      <c r="P34" s="14">
        <f t="shared" si="33"/>
        <v>29.102254822181546</v>
      </c>
      <c r="Q34" s="22">
        <f t="shared" si="2"/>
        <v>240.57980837720436</v>
      </c>
      <c r="R34" s="62">
        <f t="shared" si="0"/>
        <v>533.91314171053773</v>
      </c>
      <c r="S34" s="62">
        <f ca="1">AVERAGE(OFFSET($R$3,0,0,'Données projet'!$E$9+1,1))-AVERAGE(OFFSET($H$3,0,0,'Données projet'!$E$9+1,1))</f>
        <v>452.54136967045082</v>
      </c>
      <c r="T34" s="62">
        <f t="shared" si="34"/>
        <v>269.67340993773422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16.614999999999998</v>
      </c>
      <c r="AI34" s="14">
        <f>IF('Données projet'!$A$62&gt;35,AI33+AH34-AQ33,IF(A34&lt;'Données projet'!$A$62,$AF$205^A34,IF(A34='Données projet'!$A$62,'Données projet'!$B$62,AI33+AH34-AQ33)))</f>
        <v>184.11000000000004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3.887142857142857</v>
      </c>
      <c r="BD34" s="13">
        <f>IF('Données projet'!$A$88&gt;35,BD33+BC34-BL33,IF(A34&lt;'Données projet'!$A$88,$BA$205^A34,IF(A34='Données projet'!$A$88,'Données projet'!$B$88,BD33+BC34-BL33)))</f>
        <v>120.50142857142862</v>
      </c>
      <c r="BE34" s="14">
        <f>BD34*VLOOKUP('Données projet'!$B$11,Paramètres!$A$1:$I$89,3,0)*VLOOKUP('Données projet'!$B$11,Paramètres!$A$1:$I$89,5,0)</f>
        <v>122.18844857142862</v>
      </c>
      <c r="BF34" s="14">
        <f t="shared" si="37"/>
        <v>32.184880868419519</v>
      </c>
      <c r="BG34" s="22">
        <f t="shared" si="7"/>
        <v>268.86688210773553</v>
      </c>
      <c r="BH34" s="62">
        <f t="shared" si="8"/>
        <v>562.20021544106885</v>
      </c>
      <c r="BI34" s="62">
        <f ca="1">AVERAGE(OFFSET($BH$3,0,0,'Données projet'!$E$11+1,1))-AVERAGE(OFFSET($H$3,0,0,'Données projet'!$E$11+1,1))</f>
        <v>502.06005292569733</v>
      </c>
      <c r="BJ34" s="62">
        <f t="shared" si="38"/>
        <v>297.06786598620607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68.459999999999994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3.7180000000000009</v>
      </c>
      <c r="CT34" s="13">
        <f>IF('Données projet'!$A$140&gt;35,CT33+CS34-DB33,IF(A34&lt;'Données projet'!$A$140,$CQ$205^A34,IF(A34='Données projet'!$A$140,'Données projet'!$B$140,CT33+CS34-DB33)))</f>
        <v>123.58800000000001</v>
      </c>
      <c r="CU34" s="18">
        <f>CT34*VLOOKUP('Données projet'!$B$13,Paramètres!$A$1:$I$89,3,0)*VLOOKUP('Données projet'!$B$13,Paramètres!$A$1:$I$89,5,0)</f>
        <v>111.82242239999999</v>
      </c>
      <c r="CV34" s="14">
        <f t="shared" si="41"/>
        <v>29.759950017880328</v>
      </c>
      <c r="CW34" s="22">
        <f t="shared" si="13"/>
        <v>246.58929862780818</v>
      </c>
      <c r="CX34" s="62">
        <f t="shared" si="14"/>
        <v>539.92263196114152</v>
      </c>
      <c r="CY34" s="62">
        <f ca="1">AVERAGE(OFFSET($CX$3,0,0,'Données projet'!$E$13+1,1))-AVERAGE(OFFSET($H$3,0,0,'Données projet'!$E$13+1,1))</f>
        <v>204.787338911576</v>
      </c>
      <c r="CZ34" s="62">
        <f t="shared" si="42"/>
        <v>287.24932051638558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1.325</v>
      </c>
      <c r="DO34" s="13">
        <f>IF('Données projet'!$A$166&gt;35,DO33+DN34-DW33,IF(A34&lt;'Données projet'!$A$166,$DL$205^A34,IF(A34='Données projet'!$A$166,'Données projet'!$B$166,DO33+DN34-DW33)))</f>
        <v>41.07500000000001</v>
      </c>
      <c r="DP34" s="18">
        <f>DO34*VLOOKUP('Données projet'!$B$14,Paramètres!$A$1:$I$89,3,0)*VLOOKUP('Données projet'!$B$14,Paramètres!$A$1:$I$89,5,0)</f>
        <v>39.086970000000015</v>
      </c>
      <c r="DQ34" s="14">
        <f t="shared" si="43"/>
        <v>11.756323955116089</v>
      </c>
      <c r="DR34" s="22">
        <f t="shared" si="16"/>
        <v>88.552070305160541</v>
      </c>
      <c r="DS34" s="62">
        <f t="shared" si="17"/>
        <v>381.88540363849387</v>
      </c>
      <c r="DT34" s="62">
        <f ca="1">AVERAGE(OFFSET($DS$3,0,0,'Données projet'!$E$14+1,1))-AVERAGE(OFFSET($H$3,0,0,'Données projet'!$E$14+1,1))</f>
        <v>309.55876703480277</v>
      </c>
      <c r="DU34" s="62">
        <f t="shared" si="44"/>
        <v>122.43799205838684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10.725999999999999</v>
      </c>
      <c r="EJ34" s="13">
        <f>IF('Données projet'!$A$192&gt;35,EJ33+EI34-ER33,IF(A34&lt;'Données projet'!$A$192,$EG$205^A34,IF(A34='Données projet'!$A$192,'Données projet'!$B$192,EJ33+EI34-ER33)))</f>
        <v>132.15600000000001</v>
      </c>
      <c r="EK34" s="18">
        <f>EJ34*VLOOKUP('Données projet'!$B$15,Paramètres!$A$1:$I$89,3,0)*VLOOKUP('Données projet'!$B$15,Paramètres!$A$1:$I$89,5,0)</f>
        <v>61.849008000000005</v>
      </c>
      <c r="EL34" s="14">
        <f t="shared" si="45"/>
        <v>17.634927253045269</v>
      </c>
      <c r="EM34" s="22">
        <f t="shared" si="19"/>
        <v>138.4345205657205</v>
      </c>
      <c r="EN34" s="62">
        <f t="shared" si="20"/>
        <v>431.76785389905382</v>
      </c>
      <c r="EO34" s="62">
        <f ca="1">AVERAGE(OFFSET($EN$3,0,0,'Données projet'!$E$15+1,1))-AVERAGE(OFFSET($H$3,0,0,'Données projet'!$E$15+1,1))</f>
        <v>301.04834785168049</v>
      </c>
      <c r="EP34" s="62">
        <f t="shared" si="46"/>
        <v>164.1450425611464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3.1761666666666666</v>
      </c>
      <c r="FE34" s="13">
        <f>IF('Données projet'!$A$218&gt;35,FE33+FD34-FM33,IF(A34&lt;'Données projet'!$A$218,$FB$205^A34,IF(A34='Données projet'!$A$218,'Données projet'!$B$218,FE33+FD34-FM33)))</f>
        <v>98.4611666666666</v>
      </c>
      <c r="FF34" s="18">
        <f>FE34*VLOOKUP('Données projet'!$B$16,Paramètres!$A$1:$I$89,3,0)*VLOOKUP('Données projet'!$B$16,Paramètres!$A$1:$I$89,5,0)</f>
        <v>89.087663599999928</v>
      </c>
      <c r="FG34" s="14">
        <f t="shared" si="47"/>
        <v>24.345061116029331</v>
      </c>
      <c r="FH34" s="22">
        <f t="shared" si="22"/>
        <v>197.56199554708428</v>
      </c>
      <c r="FI34" s="62">
        <f t="shared" si="23"/>
        <v>490.89532888041759</v>
      </c>
      <c r="FJ34" s="62">
        <f ca="1">AVERAGE(OFFSET($FI$3,0,0,'Données projet'!$E$16+1,1))-AVERAGE(OFFSET($H$3,0,0,'Données projet'!$E$16+1,1))</f>
        <v>330.53726676433649</v>
      </c>
      <c r="FK34" s="62">
        <f t="shared" si="48"/>
        <v>228.01260676706528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3.1761666666666666</v>
      </c>
      <c r="FZ34" s="13">
        <f>IF('Données projet'!$A$244&gt;35,FZ33+FY34-GH33,IF(A34&lt;'Données projet'!$A$244,$FW$205^A34,IF(A34='Données projet'!$A$244,'Données projet'!$B$244,FZ33+FY34-GH33)))</f>
        <v>98.4611666666666</v>
      </c>
      <c r="GA34" s="18">
        <f>FZ34*VLOOKUP('Données projet'!$B$17,Paramètres!$A$1:$I$89,3,0)*VLOOKUP('Données projet'!$B$17,Paramètres!$A$1:$I$89,5,0)</f>
        <v>112.12757659999993</v>
      </c>
      <c r="GB34" s="14">
        <f t="shared" si="49"/>
        <v>29.83169795995472</v>
      </c>
      <c r="GC34" s="22">
        <f t="shared" si="25"/>
        <v>247.2457365252543</v>
      </c>
      <c r="GD34" s="62">
        <f t="shared" si="26"/>
        <v>540.57906985858767</v>
      </c>
      <c r="GE34" s="62">
        <f ca="1">AVERAGE(OFFSET($GD$3,0,0,'Données projet'!$E$17+1,1))-AVERAGE(OFFSET($H$3,0,0,'Données projet'!$E$17+1,1))</f>
        <v>405.71017054131318</v>
      </c>
      <c r="GF34" s="62">
        <f t="shared" si="50"/>
        <v>276.12900965322166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3.1761666666666666</v>
      </c>
      <c r="GU34" s="13">
        <f>IF('Données projet'!$A$270&gt;35,GU33+GT34-HC33,IF(A34&lt;'Données projet'!$A$270,$GR$205^A34,IF(A34='Données projet'!$A$270,'Données projet'!$B$270,GU33+GT34-HC33)))</f>
        <v>98.4611666666666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3.887142857142857</v>
      </c>
      <c r="N35" s="14">
        <f>IF('Données projet'!$A$36&gt;35,N34+M35-V34,IF(A35&lt;'Données projet'!$A$36,$K$205^A35,IF(A35='Données projet'!$A$36,'Données projet'!$B$36,N34+M35-V34)))</f>
        <v>124.38857142857148</v>
      </c>
      <c r="O35" s="14">
        <f>N35*VLOOKUP('Données projet'!$B$9,Paramètres!$A$1:$I$89,3,0)*VLOOKUP('Données projet'!$B$9,Paramètres!$A$1:$I$89,5,0)</f>
        <v>112.54677942857147</v>
      </c>
      <c r="P35" s="14">
        <f t="shared" si="33"/>
        <v>29.930224010130704</v>
      </c>
      <c r="Q35" s="22">
        <f t="shared" ref="Q35:Q66" si="53">(O35+P35)*0.475*44/12</f>
        <v>248.14744765573963</v>
      </c>
      <c r="R35" s="62">
        <f t="shared" si="0"/>
        <v>541.48078098907297</v>
      </c>
      <c r="S35" s="62">
        <f ca="1">AVERAGE(OFFSET($R$3,0,0,'Données projet'!$E$9+1,1))-AVERAGE(OFFSET($H$3,0,0,'Données projet'!$E$9+1,1))</f>
        <v>452.54136967045082</v>
      </c>
      <c r="T35" s="62">
        <f t="shared" si="34"/>
        <v>269.67340993773422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16.614999999999998</v>
      </c>
      <c r="AI35" s="14">
        <f>IF('Données projet'!$A$62&gt;35,AI34+AH35-AQ34,IF(A35&lt;'Données projet'!$A$62,$AF$205^A35,IF(A35='Données projet'!$A$62,'Données projet'!$B$62,AI34+AH35-AQ34)))</f>
        <v>200.72500000000005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3.887142857142857</v>
      </c>
      <c r="BD35" s="13">
        <f>IF('Données projet'!$A$88&gt;35,BD34+BC35-BL34,IF(A35&lt;'Données projet'!$A$88,$BA$205^A35,IF(A35='Données projet'!$A$88,'Données projet'!$B$88,BD34+BC35-BL34)))</f>
        <v>124.38857142857148</v>
      </c>
      <c r="BE35" s="14">
        <f>BD35*VLOOKUP('Données projet'!$B$11,Paramètres!$A$1:$I$89,3,0)*VLOOKUP('Données projet'!$B$11,Paramètres!$A$1:$I$89,5,0)</f>
        <v>126.13001142857149</v>
      </c>
      <c r="BF35" s="14">
        <f t="shared" si="37"/>
        <v>33.100551830676153</v>
      </c>
      <c r="BG35" s="22">
        <f t="shared" si="7"/>
        <v>277.32656434318966</v>
      </c>
      <c r="BH35" s="62">
        <f t="shared" si="8"/>
        <v>570.65989767652297</v>
      </c>
      <c r="BI35" s="62">
        <f ca="1">AVERAGE(OFFSET($BH$3,0,0,'Données projet'!$E$11+1,1))-AVERAGE(OFFSET($H$3,0,0,'Données projet'!$E$11+1,1))</f>
        <v>502.06005292569733</v>
      </c>
      <c r="BJ35" s="62">
        <f t="shared" si="38"/>
        <v>297.06786598620607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73.459999999999994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3.7180000000000009</v>
      </c>
      <c r="CT35" s="13">
        <f>IF('Données projet'!$A$140&gt;35,CT34+CS35-DB34,IF(A35&lt;'Données projet'!$A$140,$CQ$205^A35,IF(A35='Données projet'!$A$140,'Données projet'!$B$140,CT34+CS35-DB34)))</f>
        <v>127.30600000000001</v>
      </c>
      <c r="CU35" s="18">
        <f>CT35*VLOOKUP('Données projet'!$B$13,Paramètres!$A$1:$I$89,3,0)*VLOOKUP('Données projet'!$B$13,Paramètres!$A$1:$I$89,5,0)</f>
        <v>115.1864688</v>
      </c>
      <c r="CV35" s="14">
        <f t="shared" si="41"/>
        <v>30.549661253317964</v>
      </c>
      <c r="CW35" s="22">
        <f t="shared" si="13"/>
        <v>253.82375984286207</v>
      </c>
      <c r="CX35" s="62">
        <f t="shared" si="14"/>
        <v>547.15709317619542</v>
      </c>
      <c r="CY35" s="62">
        <f ca="1">AVERAGE(OFFSET($CX$3,0,0,'Données projet'!$E$13+1,1))-AVERAGE(OFFSET($H$3,0,0,'Données projet'!$E$13+1,1))</f>
        <v>204.787338911576</v>
      </c>
      <c r="CZ35" s="62">
        <f t="shared" si="42"/>
        <v>287.24932051638558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1.325</v>
      </c>
      <c r="DO35" s="13">
        <f>IF('Données projet'!$A$166&gt;35,DO34+DN35-DW34,IF(A35&lt;'Données projet'!$A$166,$DL$205^A35,IF(A35='Données projet'!$A$166,'Données projet'!$B$166,DO34+DN35-DW34)))</f>
        <v>42.400000000000013</v>
      </c>
      <c r="DP35" s="18">
        <f>DO35*VLOOKUP('Données projet'!$B$14,Paramètres!$A$1:$I$89,3,0)*VLOOKUP('Données projet'!$B$14,Paramètres!$A$1:$I$89,5,0)</f>
        <v>40.347840000000012</v>
      </c>
      <c r="DQ35" s="14">
        <f t="shared" si="43"/>
        <v>12.090795426754962</v>
      </c>
      <c r="DR35" s="22">
        <f t="shared" si="16"/>
        <v>91.330623368264909</v>
      </c>
      <c r="DS35" s="62">
        <f t="shared" si="17"/>
        <v>384.66395670159824</v>
      </c>
      <c r="DT35" s="62">
        <f ca="1">AVERAGE(OFFSET($DS$3,0,0,'Données projet'!$E$14+1,1))-AVERAGE(OFFSET($H$3,0,0,'Données projet'!$E$14+1,1))</f>
        <v>309.55876703480277</v>
      </c>
      <c r="DU35" s="62">
        <f t="shared" si="44"/>
        <v>122.43799205838684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10.725999999999999</v>
      </c>
      <c r="EJ35" s="13">
        <f>IF('Données projet'!$A$192&gt;35,EJ34+EI35-ER34,IF(A35&lt;'Données projet'!$A$192,$EG$205^A35,IF(A35='Données projet'!$A$192,'Données projet'!$B$192,EJ34+EI35-ER34)))</f>
        <v>142.88200000000001</v>
      </c>
      <c r="EK35" s="18">
        <f>EJ35*VLOOKUP('Données projet'!$B$15,Paramètres!$A$1:$I$89,3,0)*VLOOKUP('Données projet'!$B$15,Paramètres!$A$1:$I$89,5,0)</f>
        <v>66.868775999999997</v>
      </c>
      <c r="EL35" s="14">
        <f t="shared" si="45"/>
        <v>18.89380539745444</v>
      </c>
      <c r="EM35" s="22">
        <f t="shared" si="19"/>
        <v>149.36982926723314</v>
      </c>
      <c r="EN35" s="62">
        <f t="shared" si="20"/>
        <v>442.70316260056643</v>
      </c>
      <c r="EO35" s="62">
        <f ca="1">AVERAGE(OFFSET($EN$3,0,0,'Données projet'!$E$15+1,1))-AVERAGE(OFFSET($H$3,0,0,'Données projet'!$E$15+1,1))</f>
        <v>301.04834785168049</v>
      </c>
      <c r="EP35" s="62">
        <f t="shared" si="46"/>
        <v>164.1450425611464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3.1761666666666666</v>
      </c>
      <c r="FE35" s="13">
        <f>IF('Données projet'!$A$218&gt;35,FE34+FD35-FM34,IF(A35&lt;'Données projet'!$A$218,$FB$205^A35,IF(A35='Données projet'!$A$218,'Données projet'!$B$218,FE34+FD35-FM34)))</f>
        <v>101.63733333333326</v>
      </c>
      <c r="FF35" s="18">
        <f>FE35*VLOOKUP('Données projet'!$B$16,Paramètres!$A$1:$I$89,3,0)*VLOOKUP('Données projet'!$B$16,Paramètres!$A$1:$I$89,5,0)</f>
        <v>91.961459199999936</v>
      </c>
      <c r="FG35" s="14">
        <f t="shared" si="47"/>
        <v>25.03768650213679</v>
      </c>
      <c r="FH35" s="22">
        <f t="shared" si="22"/>
        <v>203.77351209788813</v>
      </c>
      <c r="FI35" s="62">
        <f t="shared" si="23"/>
        <v>497.10684543122147</v>
      </c>
      <c r="FJ35" s="62">
        <f ca="1">AVERAGE(OFFSET($FI$3,0,0,'Données projet'!$E$16+1,1))-AVERAGE(OFFSET($H$3,0,0,'Données projet'!$E$16+1,1))</f>
        <v>330.53726676433649</v>
      </c>
      <c r="FK35" s="62">
        <f t="shared" si="48"/>
        <v>228.01260676706528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3.1761666666666666</v>
      </c>
      <c r="FZ35" s="13">
        <f>IF('Données projet'!$A$244&gt;35,FZ34+FY35-GH34,IF(A35&lt;'Données projet'!$A$244,$FW$205^A35,IF(A35='Données projet'!$A$244,'Données projet'!$B$244,FZ34+FY35-GH34)))</f>
        <v>101.63733333333326</v>
      </c>
      <c r="GA35" s="18">
        <f>FZ35*VLOOKUP('Données projet'!$B$17,Paramètres!$A$1:$I$89,3,0)*VLOOKUP('Données projet'!$B$17,Paramètres!$A$1:$I$89,5,0)</f>
        <v>115.74459519999992</v>
      </c>
      <c r="GB35" s="14">
        <f t="shared" si="49"/>
        <v>30.680420056780779</v>
      </c>
      <c r="GC35" s="22">
        <f t="shared" si="25"/>
        <v>255.02356823889306</v>
      </c>
      <c r="GD35" s="62">
        <f t="shared" si="26"/>
        <v>548.35690157222643</v>
      </c>
      <c r="GE35" s="62">
        <f ca="1">AVERAGE(OFFSET($GD$3,0,0,'Données projet'!$E$17+1,1))-AVERAGE(OFFSET($H$3,0,0,'Données projet'!$E$17+1,1))</f>
        <v>405.71017054131318</v>
      </c>
      <c r="GF35" s="62">
        <f t="shared" si="50"/>
        <v>276.12900965322166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3.1761666666666666</v>
      </c>
      <c r="GU35" s="13">
        <f>IF('Données projet'!$A$270&gt;35,GU34+GT35-HC34,IF(A35&lt;'Données projet'!$A$270,$GR$205^A35,IF(A35='Données projet'!$A$270,'Données projet'!$B$270,GU34+GT35-HC34)))</f>
        <v>101.63733333333326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3.887142857142857</v>
      </c>
      <c r="N36" s="14">
        <f>IF('Données projet'!$A$36&gt;35,N35+M36-V35,IF(A36&lt;'Données projet'!$A$36,$K$205^A36,IF(A36='Données projet'!$A$36,'Données projet'!$B$36,N35+M36-V35)))</f>
        <v>128.27571428571434</v>
      </c>
      <c r="O36" s="14">
        <f>N36*VLOOKUP('Données projet'!$B$9,Paramètres!$A$1:$I$89,3,0)*VLOOKUP('Données projet'!$B$9,Paramètres!$A$1:$I$89,5,0)</f>
        <v>116.06386628571434</v>
      </c>
      <c r="P36" s="14">
        <f t="shared" si="33"/>
        <v>30.755186414072718</v>
      </c>
      <c r="Q36" s="22">
        <f t="shared" si="53"/>
        <v>255.70985011879577</v>
      </c>
      <c r="R36" s="62">
        <f t="shared" si="0"/>
        <v>549.04318345212914</v>
      </c>
      <c r="S36" s="62">
        <f ca="1">AVERAGE(OFFSET($R$3,0,0,'Données projet'!$E$9+1,1))-AVERAGE(OFFSET($H$3,0,0,'Données projet'!$E$9+1,1))</f>
        <v>452.54136967045082</v>
      </c>
      <c r="T36" s="62">
        <f t="shared" si="34"/>
        <v>269.67340993773422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217.34</v>
      </c>
      <c r="AG36" s="13">
        <f>VLOOKUP(A36,'Données projet'!$A$61:$I$81,9,0)</f>
        <v>16.614999999999998</v>
      </c>
      <c r="AH36" s="13">
        <f t="array" ref="AH36">INDEX(AG:AG,MIN(IF(ISNUMBER(AG36:AG232),ROW(AG36:AG232),"")))</f>
        <v>16.614999999999998</v>
      </c>
      <c r="AI36" s="14">
        <f>IF('Données projet'!$A$62&gt;35,AI35+AH36-AQ35,IF(A36&lt;'Données projet'!$A$62,$AF$205^A36,IF(A36='Données projet'!$A$62,'Données projet'!$B$62,AI35+AH36-AQ35)))</f>
        <v>217.34000000000006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50.41</v>
      </c>
      <c r="AR36" s="17" t="e">
        <f>IF(ISNA(VLOOKUP(A36,'Données projet'!$A$61:$I$81,5,0)),0%,VLOOKUP(A36,'Données projet'!$A$61:$I$81,5,0)*VLOOKUP('Données projet'!$B$10,Paramètres!$A$1:$I$89,7,0))</f>
        <v>#N/A</v>
      </c>
      <c r="AS36" s="17" t="e">
        <f>IF(ISNA(VLOOKUP(A36,'Données projet'!$A$61:$I$81,6,0)),0%,VLOOKUP(A36,'Données projet'!$A$61:$I$81,6,0)*VLOOKUP('Données projet'!$B$10,Paramètres!$A$1:$I$89,7,0))</f>
        <v>#N/A</v>
      </c>
      <c r="AT36" s="17">
        <f>IF(ISNA(VLOOKUP(A36,'Données projet'!$A$61:$I$81,7,0)),0%,VLOOKUP(A36,'Données projet'!$A$61:$I$81,7,0))</f>
        <v>0.31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3.887142857142857</v>
      </c>
      <c r="BD36" s="13">
        <f>IF('Données projet'!$A$88&gt;35,BD35+BC36-BL35,IF(A36&lt;'Données projet'!$A$88,$BA$205^A36,IF(A36='Données projet'!$A$88,'Données projet'!$B$88,BD35+BC36-BL35)))</f>
        <v>128.27571428571434</v>
      </c>
      <c r="BE36" s="14">
        <f>BD36*VLOOKUP('Données projet'!$B$11,Paramètres!$A$1:$I$89,3,0)*VLOOKUP('Données projet'!$B$11,Paramètres!$A$1:$I$89,5,0)</f>
        <v>130.07157428571435</v>
      </c>
      <c r="BF36" s="14">
        <f t="shared" si="37"/>
        <v>34.012897518459816</v>
      </c>
      <c r="BG36" s="22">
        <f t="shared" si="7"/>
        <v>285.78045505893664</v>
      </c>
      <c r="BH36" s="62">
        <f t="shared" si="8"/>
        <v>579.11378839226995</v>
      </c>
      <c r="BI36" s="62">
        <f ca="1">AVERAGE(OFFSET($BH$3,0,0,'Données projet'!$E$11+1,1))-AVERAGE(OFFSET($H$3,0,0,'Données projet'!$E$11+1,1))</f>
        <v>502.06005292569733</v>
      </c>
      <c r="BJ36" s="62">
        <f t="shared" si="38"/>
        <v>297.06786598620607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78.459999999999994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3.7180000000000009</v>
      </c>
      <c r="CT36" s="13">
        <f>IF('Données projet'!$A$140&gt;35,CT35+CS36-DB35,IF(A36&lt;'Données projet'!$A$140,$CQ$205^A36,IF(A36='Données projet'!$A$140,'Données projet'!$B$140,CT35+CS36-DB35)))</f>
        <v>131.024</v>
      </c>
      <c r="CU36" s="18">
        <f>CT36*VLOOKUP('Données projet'!$B$13,Paramètres!$A$1:$I$89,3,0)*VLOOKUP('Données projet'!$B$13,Paramètres!$A$1:$I$89,5,0)</f>
        <v>118.55051519999999</v>
      </c>
      <c r="CV36" s="14">
        <f t="shared" si="41"/>
        <v>31.336692030374227</v>
      </c>
      <c r="CW36" s="22">
        <f t="shared" si="13"/>
        <v>261.05355259290178</v>
      </c>
      <c r="CX36" s="62">
        <f t="shared" si="14"/>
        <v>554.3868859262351</v>
      </c>
      <c r="CY36" s="62">
        <f ca="1">AVERAGE(OFFSET($CX$3,0,0,'Données projet'!$E$13+1,1))-AVERAGE(OFFSET($H$3,0,0,'Données projet'!$E$13+1,1))</f>
        <v>204.787338911576</v>
      </c>
      <c r="CZ36" s="62">
        <f t="shared" si="42"/>
        <v>287.24932051638558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1.325</v>
      </c>
      <c r="DO36" s="13">
        <f>IF('Données projet'!$A$166&gt;35,DO35+DN36-DW35,IF(A36&lt;'Données projet'!$A$166,$DL$205^A36,IF(A36='Données projet'!$A$166,'Données projet'!$B$166,DO35+DN36-DW35)))</f>
        <v>43.725000000000016</v>
      </c>
      <c r="DP36" s="18">
        <f>DO36*VLOOKUP('Données projet'!$B$14,Paramètres!$A$1:$I$89,3,0)*VLOOKUP('Données projet'!$B$14,Paramètres!$A$1:$I$89,5,0)</f>
        <v>41.608710000000016</v>
      </c>
      <c r="DQ36" s="14">
        <f t="shared" si="43"/>
        <v>12.424052259629008</v>
      </c>
      <c r="DR36" s="22">
        <f t="shared" si="16"/>
        <v>94.107060935520551</v>
      </c>
      <c r="DS36" s="62">
        <f t="shared" si="17"/>
        <v>387.44039426885388</v>
      </c>
      <c r="DT36" s="62">
        <f ca="1">AVERAGE(OFFSET($DS$3,0,0,'Données projet'!$E$14+1,1))-AVERAGE(OFFSET($H$3,0,0,'Données projet'!$E$14+1,1))</f>
        <v>309.55876703480277</v>
      </c>
      <c r="DU36" s="62">
        <f t="shared" si="44"/>
        <v>122.43799205838684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10.725999999999999</v>
      </c>
      <c r="EJ36" s="13">
        <f>IF('Données projet'!$A$192&gt;35,EJ35+EI36-ER35,IF(A36&lt;'Données projet'!$A$192,$EG$205^A36,IF(A36='Données projet'!$A$192,'Données projet'!$B$192,EJ35+EI36-ER35)))</f>
        <v>153.608</v>
      </c>
      <c r="EK36" s="18">
        <f>EJ36*VLOOKUP('Données projet'!$B$15,Paramètres!$A$1:$I$89,3,0)*VLOOKUP('Données projet'!$B$15,Paramètres!$A$1:$I$89,5,0)</f>
        <v>71.888543999999996</v>
      </c>
      <c r="EL36" s="14">
        <f t="shared" si="45"/>
        <v>20.141720490512927</v>
      </c>
      <c r="EM36" s="22">
        <f t="shared" si="19"/>
        <v>160.28604398764332</v>
      </c>
      <c r="EN36" s="62">
        <f t="shared" si="20"/>
        <v>453.61937732097664</v>
      </c>
      <c r="EO36" s="62">
        <f ca="1">AVERAGE(OFFSET($EN$3,0,0,'Données projet'!$E$15+1,1))-AVERAGE(OFFSET($H$3,0,0,'Données projet'!$E$15+1,1))</f>
        <v>301.04834785168049</v>
      </c>
      <c r="EP36" s="62">
        <f t="shared" si="46"/>
        <v>164.1450425611464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3.1761666666666666</v>
      </c>
      <c r="FE36" s="13">
        <f>IF('Données projet'!$A$218&gt;35,FE35+FD36-FM35,IF(A36&lt;'Données projet'!$A$218,$FB$205^A36,IF(A36='Données projet'!$A$218,'Données projet'!$B$218,FE35+FD36-FM35)))</f>
        <v>104.81349999999992</v>
      </c>
      <c r="FF36" s="18">
        <f>FE36*VLOOKUP('Données projet'!$B$16,Paramètres!$A$1:$I$89,3,0)*VLOOKUP('Données projet'!$B$16,Paramètres!$A$1:$I$89,5,0)</f>
        <v>94.835254799999916</v>
      </c>
      <c r="FG36" s="14">
        <f t="shared" si="47"/>
        <v>25.727796607525843</v>
      </c>
      <c r="FH36" s="22">
        <f t="shared" si="22"/>
        <v>209.98064786810735</v>
      </c>
      <c r="FI36" s="62">
        <f t="shared" si="23"/>
        <v>503.3139812014407</v>
      </c>
      <c r="FJ36" s="62">
        <f ca="1">AVERAGE(OFFSET($FI$3,0,0,'Données projet'!$E$16+1,1))-AVERAGE(OFFSET($H$3,0,0,'Données projet'!$E$16+1,1))</f>
        <v>330.53726676433649</v>
      </c>
      <c r="FK36" s="62">
        <f t="shared" si="48"/>
        <v>228.01260676706528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3.1761666666666666</v>
      </c>
      <c r="FZ36" s="13">
        <f>IF('Données projet'!$A$244&gt;35,FZ35+FY36-GH35,IF(A36&lt;'Données projet'!$A$244,$FW$205^A36,IF(A36='Données projet'!$A$244,'Données projet'!$B$244,FZ35+FY36-GH35)))</f>
        <v>104.81349999999992</v>
      </c>
      <c r="GA36" s="18">
        <f>FZ36*VLOOKUP('Données projet'!$B$17,Paramètres!$A$1:$I$89,3,0)*VLOOKUP('Données projet'!$B$17,Paramètres!$A$1:$I$89,5,0)</f>
        <v>119.3616137999999</v>
      </c>
      <c r="GB36" s="14">
        <f t="shared" si="49"/>
        <v>31.526060005062654</v>
      </c>
      <c r="GC36" s="22">
        <f t="shared" si="25"/>
        <v>262.7960318771506</v>
      </c>
      <c r="GD36" s="62">
        <f t="shared" si="26"/>
        <v>556.12936521048391</v>
      </c>
      <c r="GE36" s="62">
        <f ca="1">AVERAGE(OFFSET($GD$3,0,0,'Données projet'!$E$17+1,1))-AVERAGE(OFFSET($H$3,0,0,'Données projet'!$E$17+1,1))</f>
        <v>405.71017054131318</v>
      </c>
      <c r="GF36" s="62">
        <f t="shared" si="50"/>
        <v>276.12900965322166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3.1761666666666666</v>
      </c>
      <c r="GU36" s="13">
        <f>IF('Données projet'!$A$270&gt;35,GU35+GT36-HC35,IF(A36&lt;'Données projet'!$A$270,$GR$205^A36,IF(A36='Données projet'!$A$270,'Données projet'!$B$270,GU35+GT36-HC35)))</f>
        <v>104.81349999999992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3.887142857142857</v>
      </c>
      <c r="N37" s="14">
        <f>IF('Données projet'!$A$36&gt;35,N36+M37-V36,IF(A37&lt;'Données projet'!$A$36,$K$205^A37,IF(A37='Données projet'!$A$36,'Données projet'!$B$36,N36+M37-V36)))</f>
        <v>132.16285714285721</v>
      </c>
      <c r="O37" s="14">
        <f>N37*VLOOKUP('Données projet'!$B$9,Paramètres!$A$1:$I$89,3,0)*VLOOKUP('Données projet'!$B$9,Paramètres!$A$1:$I$89,5,0)</f>
        <v>119.58095314285718</v>
      </c>
      <c r="P37" s="14">
        <f t="shared" si="33"/>
        <v>31.577243606763055</v>
      </c>
      <c r="Q37" s="22">
        <f t="shared" si="53"/>
        <v>263.26719267225525</v>
      </c>
      <c r="R37" s="62">
        <f t="shared" si="0"/>
        <v>556.60052600558856</v>
      </c>
      <c r="S37" s="62">
        <f ca="1">AVERAGE(OFFSET($R$3,0,0,'Données projet'!$E$9+1,1))-AVERAGE(OFFSET($H$3,0,0,'Données projet'!$E$9+1,1))</f>
        <v>452.54136967045082</v>
      </c>
      <c r="T37" s="62">
        <f t="shared" si="34"/>
        <v>269.67340993773422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16.701250000000002</v>
      </c>
      <c r="AI37" s="14">
        <f>IF('Données projet'!$A$62&gt;35,AI36+AH37-AQ36,IF(A37&lt;'Données projet'!$A$62,$AF$205^A37,IF(A37='Données projet'!$A$62,'Données projet'!$B$62,AI36+AH37-AQ36)))</f>
        <v>183.63125000000005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3.887142857142857</v>
      </c>
      <c r="BD37" s="13">
        <f>IF('Données projet'!$A$88&gt;35,BD36+BC37-BL36,IF(A37&lt;'Données projet'!$A$88,$BA$205^A37,IF(A37='Données projet'!$A$88,'Données projet'!$B$88,BD36+BC37-BL36)))</f>
        <v>132.16285714285721</v>
      </c>
      <c r="BE37" s="14">
        <f>BD37*VLOOKUP('Données projet'!$B$11,Paramètres!$A$1:$I$89,3,0)*VLOOKUP('Données projet'!$B$11,Paramètres!$A$1:$I$89,5,0)</f>
        <v>134.0131371428572</v>
      </c>
      <c r="BF37" s="14">
        <f t="shared" si="37"/>
        <v>34.92203026351433</v>
      </c>
      <c r="BG37" s="22">
        <f t="shared" si="7"/>
        <v>294.2287498994304</v>
      </c>
      <c r="BH37" s="62">
        <f t="shared" si="8"/>
        <v>587.56208323276371</v>
      </c>
      <c r="BI37" s="62">
        <f ca="1">AVERAGE(OFFSET($BH$3,0,0,'Données projet'!$E$11+1,1))-AVERAGE(OFFSET($H$3,0,0,'Données projet'!$E$11+1,1))</f>
        <v>502.06005292569733</v>
      </c>
      <c r="BJ37" s="62">
        <f t="shared" si="38"/>
        <v>297.06786598620607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83.46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3.7180000000000009</v>
      </c>
      <c r="CT37" s="13">
        <f>IF('Données projet'!$A$140&gt;35,CT36+CS37-DB36,IF(A37&lt;'Données projet'!$A$140,$CQ$205^A37,IF(A37='Données projet'!$A$140,'Données projet'!$B$140,CT36+CS37-DB36)))</f>
        <v>134.74199999999999</v>
      </c>
      <c r="CU37" s="18">
        <f>CT37*VLOOKUP('Données projet'!$B$13,Paramètres!$A$1:$I$89,3,0)*VLOOKUP('Données projet'!$B$13,Paramètres!$A$1:$I$89,5,0)</f>
        <v>121.91456159999998</v>
      </c>
      <c r="CV37" s="14">
        <f t="shared" si="41"/>
        <v>32.121127147613379</v>
      </c>
      <c r="CW37" s="22">
        <f t="shared" si="13"/>
        <v>268.27882456875994</v>
      </c>
      <c r="CX37" s="62">
        <f t="shared" si="14"/>
        <v>561.61215790209326</v>
      </c>
      <c r="CY37" s="62">
        <f ca="1">AVERAGE(OFFSET($CX$3,0,0,'Données projet'!$E$13+1,1))-AVERAGE(OFFSET($H$3,0,0,'Données projet'!$E$13+1,1))</f>
        <v>204.787338911576</v>
      </c>
      <c r="CZ37" s="62">
        <f t="shared" si="42"/>
        <v>287.24932051638558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1.325</v>
      </c>
      <c r="DO37" s="13">
        <f>IF('Données projet'!$A$166&gt;35,DO36+DN37-DW36,IF(A37&lt;'Données projet'!$A$166,$DL$205^A37,IF(A37='Données projet'!$A$166,'Données projet'!$B$166,DO36+DN37-DW36)))</f>
        <v>45.050000000000018</v>
      </c>
      <c r="DP37" s="18">
        <f>DO37*VLOOKUP('Données projet'!$B$14,Paramètres!$A$1:$I$89,3,0)*VLOOKUP('Données projet'!$B$14,Paramètres!$A$1:$I$89,5,0)</f>
        <v>42.86958000000002</v>
      </c>
      <c r="DQ37" s="14">
        <f t="shared" si="43"/>
        <v>12.756135485686624</v>
      </c>
      <c r="DR37" s="22">
        <f t="shared" si="16"/>
        <v>96.881454470904217</v>
      </c>
      <c r="DS37" s="62">
        <f t="shared" si="17"/>
        <v>390.21478780423752</v>
      </c>
      <c r="DT37" s="62">
        <f ca="1">AVERAGE(OFFSET($DS$3,0,0,'Données projet'!$E$14+1,1))-AVERAGE(OFFSET($H$3,0,0,'Données projet'!$E$14+1,1))</f>
        <v>309.55876703480277</v>
      </c>
      <c r="DU37" s="62">
        <f t="shared" si="44"/>
        <v>122.43799205838684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10.725999999999999</v>
      </c>
      <c r="EJ37" s="13">
        <f>IF('Données projet'!$A$192&gt;35,EJ36+EI37-ER36,IF(A37&lt;'Données projet'!$A$192,$EG$205^A37,IF(A37='Données projet'!$A$192,'Données projet'!$B$192,EJ36+EI37-ER36)))</f>
        <v>164.334</v>
      </c>
      <c r="EK37" s="18">
        <f>EJ37*VLOOKUP('Données projet'!$B$15,Paramètres!$A$1:$I$89,3,0)*VLOOKUP('Données projet'!$B$15,Paramètres!$A$1:$I$89,5,0)</f>
        <v>76.908312000000009</v>
      </c>
      <c r="EL37" s="14">
        <f t="shared" si="45"/>
        <v>21.379525126850339</v>
      </c>
      <c r="EM37" s="22">
        <f t="shared" si="19"/>
        <v>171.18464966259771</v>
      </c>
      <c r="EN37" s="62">
        <f t="shared" si="20"/>
        <v>464.51798299593099</v>
      </c>
      <c r="EO37" s="62">
        <f ca="1">AVERAGE(OFFSET($EN$3,0,0,'Données projet'!$E$15+1,1))-AVERAGE(OFFSET($H$3,0,0,'Données projet'!$E$15+1,1))</f>
        <v>301.04834785168049</v>
      </c>
      <c r="EP37" s="62">
        <f t="shared" si="46"/>
        <v>164.1450425611464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3.1761666666666666</v>
      </c>
      <c r="FE37" s="13">
        <f>IF('Données projet'!$A$218&gt;35,FE36+FD37-FM36,IF(A37&lt;'Données projet'!$A$218,$FB$205^A37,IF(A37='Données projet'!$A$218,'Données projet'!$B$218,FE36+FD37-FM36)))</f>
        <v>107.98966666666658</v>
      </c>
      <c r="FF37" s="18">
        <f>FE37*VLOOKUP('Données projet'!$B$16,Paramètres!$A$1:$I$89,3,0)*VLOOKUP('Données projet'!$B$16,Paramètres!$A$1:$I$89,5,0)</f>
        <v>97.709050399999924</v>
      </c>
      <c r="FG37" s="14">
        <f t="shared" si="47"/>
        <v>26.415476401383739</v>
      </c>
      <c r="FH37" s="22">
        <f t="shared" si="22"/>
        <v>216.18355084574318</v>
      </c>
      <c r="FI37" s="62">
        <f t="shared" si="23"/>
        <v>509.5168841790765</v>
      </c>
      <c r="FJ37" s="62">
        <f ca="1">AVERAGE(OFFSET($FI$3,0,0,'Données projet'!$E$16+1,1))-AVERAGE(OFFSET($H$3,0,0,'Données projet'!$E$16+1,1))</f>
        <v>330.53726676433649</v>
      </c>
      <c r="FK37" s="62">
        <f t="shared" si="48"/>
        <v>228.01260676706528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3.1761666666666666</v>
      </c>
      <c r="FZ37" s="13">
        <f>IF('Données projet'!$A$244&gt;35,FZ36+FY37-GH36,IF(A37&lt;'Données projet'!$A$244,$FW$205^A37,IF(A37='Données projet'!$A$244,'Données projet'!$B$244,FZ36+FY37-GH36)))</f>
        <v>107.98966666666658</v>
      </c>
      <c r="GA37" s="18">
        <f>FZ37*VLOOKUP('Données projet'!$B$17,Paramètres!$A$1:$I$89,3,0)*VLOOKUP('Données projet'!$B$17,Paramètres!$A$1:$I$89,5,0)</f>
        <v>122.9786323999999</v>
      </c>
      <c r="GB37" s="14">
        <f t="shared" si="49"/>
        <v>32.368721923459951</v>
      </c>
      <c r="GC37" s="22">
        <f t="shared" si="25"/>
        <v>270.56330878002592</v>
      </c>
      <c r="GD37" s="62">
        <f t="shared" si="26"/>
        <v>563.89664211335923</v>
      </c>
      <c r="GE37" s="62">
        <f ca="1">AVERAGE(OFFSET($GD$3,0,0,'Données projet'!$E$17+1,1))-AVERAGE(OFFSET($H$3,0,0,'Données projet'!$E$17+1,1))</f>
        <v>405.71017054131318</v>
      </c>
      <c r="GF37" s="62">
        <f t="shared" si="50"/>
        <v>276.12900965322166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3.1761666666666666</v>
      </c>
      <c r="GU37" s="13">
        <f>IF('Données projet'!$A$270&gt;35,GU36+GT37-HC36,IF(A37&lt;'Données projet'!$A$270,$GR$205^A37,IF(A37='Données projet'!$A$270,'Données projet'!$B$270,GU36+GT37-HC36)))</f>
        <v>107.98966666666658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3.887142857142857</v>
      </c>
      <c r="N38" s="14">
        <f>IF('Données projet'!$A$36&gt;35,N37+M38-V37,IF(A38&lt;'Données projet'!$A$36,$K$205^A38,IF(A38='Données projet'!$A$36,'Données projet'!$B$36,N37+M38-V37)))</f>
        <v>136.05000000000007</v>
      </c>
      <c r="O38" s="14">
        <f>N38*VLOOKUP('Données projet'!$B$9,Paramètres!$A$1:$I$89,3,0)*VLOOKUP('Données projet'!$B$9,Paramètres!$A$1:$I$89,5,0)</f>
        <v>123.09804000000005</v>
      </c>
      <c r="P38" s="14">
        <f t="shared" si="33"/>
        <v>32.396490846405321</v>
      </c>
      <c r="Q38" s="22">
        <f t="shared" si="53"/>
        <v>270.81964122415599</v>
      </c>
      <c r="R38" s="62">
        <f t="shared" si="0"/>
        <v>564.1529745574893</v>
      </c>
      <c r="S38" s="62">
        <f ca="1">AVERAGE(OFFSET($R$3,0,0,'Données projet'!$E$9+1,1))-AVERAGE(OFFSET($H$3,0,0,'Données projet'!$E$9+1,1))</f>
        <v>452.54136967045082</v>
      </c>
      <c r="T38" s="62">
        <f t="shared" si="34"/>
        <v>269.67340993773422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16.701250000000002</v>
      </c>
      <c r="AI38" s="14">
        <f>IF('Données projet'!$A$62&gt;35,AI37+AH38-AQ37,IF(A38&lt;'Données projet'!$A$62,$AF$205^A38,IF(A38='Données projet'!$A$62,'Données projet'!$B$62,AI37+AH38-AQ37)))</f>
        <v>200.33250000000004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3.887142857142857</v>
      </c>
      <c r="BD38" s="13">
        <f>IF('Données projet'!$A$88&gt;35,BD37+BC38-BL37,IF(A38&lt;'Données projet'!$A$88,$BA$205^A38,IF(A38='Données projet'!$A$88,'Données projet'!$B$88,BD37+BC38-BL37)))</f>
        <v>136.05000000000007</v>
      </c>
      <c r="BE38" s="14">
        <f>BD38*VLOOKUP('Données projet'!$B$11,Paramètres!$A$1:$I$89,3,0)*VLOOKUP('Données projet'!$B$11,Paramètres!$A$1:$I$89,5,0)</f>
        <v>137.95470000000009</v>
      </c>
      <c r="BF38" s="14">
        <f t="shared" si="37"/>
        <v>35.828055414169384</v>
      </c>
      <c r="BG38" s="22">
        <f t="shared" si="7"/>
        <v>302.67163234634512</v>
      </c>
      <c r="BH38" s="62">
        <f t="shared" si="8"/>
        <v>596.00496567967843</v>
      </c>
      <c r="BI38" s="62">
        <f ca="1">AVERAGE(OFFSET($BH$3,0,0,'Données projet'!$E$11+1,1))-AVERAGE(OFFSET($H$3,0,0,'Données projet'!$E$11+1,1))</f>
        <v>502.06005292569733</v>
      </c>
      <c r="BJ38" s="62">
        <f t="shared" si="38"/>
        <v>297.06786598620607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88.46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88.46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16.03</v>
      </c>
      <c r="CH38" s="17" t="e">
        <f>IF(ISNA(VLOOKUP(A38,'Données projet'!$A$113:$I$133,5,0)),0%,VLOOKUP(A38,'Données projet'!$A$113:$I$133,5,0)*VLOOKUP('Données projet'!$B$12,Paramètres!$A$1:$I$89,7,0))</f>
        <v>#N/A</v>
      </c>
      <c r="CI38" s="17" t="e">
        <f>IF(ISNA(VLOOKUP(A38,'Données projet'!$A$113:$I$133,6,0)),0%,VLOOKUP(A38,'Données projet'!$A$113:$I$133,6,0)*VLOOKUP('Données projet'!$B$12,Paramètres!$A$1:$I$89,7,0))</f>
        <v>#N/A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138.46</v>
      </c>
      <c r="CR38" s="13">
        <f>VLOOKUP(A38,'Données projet'!$A$139:$I$159,9,0)</f>
        <v>3.7180000000000009</v>
      </c>
      <c r="CS38" s="13">
        <f t="array" ref="CS38">INDEX(CR:CR,MIN(IF(ISNUMBER(CR38:CR234),ROW(CR38:CR234),"")))</f>
        <v>3.7180000000000009</v>
      </c>
      <c r="CT38" s="13">
        <f>IF('Données projet'!$A$140&gt;35,CT37+CS38-DB37,IF(A38&lt;'Données projet'!$A$140,$CQ$205^A38,IF(A38='Données projet'!$A$140,'Données projet'!$B$140,CT37+CS38-DB37)))</f>
        <v>138.45999999999998</v>
      </c>
      <c r="CU38" s="18">
        <f>CT38*VLOOKUP('Données projet'!$B$13,Paramètres!$A$1:$I$89,3,0)*VLOOKUP('Données projet'!$B$13,Paramètres!$A$1:$I$89,5,0)</f>
        <v>125.27860799999998</v>
      </c>
      <c r="CV38" s="14">
        <f t="shared" si="41"/>
        <v>32.903046457509902</v>
      </c>
      <c r="CW38" s="22">
        <f t="shared" si="13"/>
        <v>275.4997148468297</v>
      </c>
      <c r="CX38" s="62">
        <f t="shared" si="14"/>
        <v>568.83304818016302</v>
      </c>
      <c r="CY38" s="62">
        <f ca="1">AVERAGE(OFFSET($CX$3,0,0,'Données projet'!$E$13+1,1))-AVERAGE(OFFSET($H$3,0,0,'Données projet'!$E$13+1,1))</f>
        <v>204.787338911576</v>
      </c>
      <c r="CZ38" s="62">
        <f t="shared" si="42"/>
        <v>287.24932051638558</v>
      </c>
      <c r="DA38" s="16">
        <f>IF(ISNA(VLOOKUP(A38,'Données projet'!$A$139:$I$159,3,0)),0,VLOOKUP(A38,'Données projet'!$A$139:$I$159,3,0))</f>
        <v>7</v>
      </c>
      <c r="DB38" s="16">
        <f>IF(ISNA(VLOOKUP(A38,'Données projet'!$A$139:$I$159,4,0)),0,VLOOKUP(A38,'Données projet'!$A$139:$I$159,4,0))</f>
        <v>4.49</v>
      </c>
      <c r="DC38" s="17">
        <f>IF(ISNA(VLOOKUP(A38,'Données projet'!$A$139:$I$159,5,0)),0%,VLOOKUP(A38,'Données projet'!$A$139:$I$159,5,0)*VLOOKUP('Données projet'!$B$13,Paramètres!$A$1:$I$89,7,0))</f>
        <v>0.09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0.40419278111811113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0.40419278111811113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1.325</v>
      </c>
      <c r="DO38" s="13">
        <f>IF('Données projet'!$A$166&gt;35,DO37+DN38-DW37,IF(A38&lt;'Données projet'!$A$166,$DL$205^A38,IF(A38='Données projet'!$A$166,'Données projet'!$B$166,DO37+DN38-DW37)))</f>
        <v>46.375000000000021</v>
      </c>
      <c r="DP38" s="18">
        <f>DO38*VLOOKUP('Données projet'!$B$14,Paramètres!$A$1:$I$89,3,0)*VLOOKUP('Données projet'!$B$14,Paramètres!$A$1:$I$89,5,0)</f>
        <v>44.130450000000017</v>
      </c>
      <c r="DQ38" s="14">
        <f t="shared" si="43"/>
        <v>13.087083586011426</v>
      </c>
      <c r="DR38" s="22">
        <f t="shared" si="16"/>
        <v>99.653870995636581</v>
      </c>
      <c r="DS38" s="62">
        <f t="shared" si="17"/>
        <v>392.98720432896988</v>
      </c>
      <c r="DT38" s="62">
        <f ca="1">AVERAGE(OFFSET($DS$3,0,0,'Données projet'!$E$14+1,1))-AVERAGE(OFFSET($H$3,0,0,'Données projet'!$E$14+1,1))</f>
        <v>309.55876703480277</v>
      </c>
      <c r="DU38" s="62">
        <f t="shared" si="44"/>
        <v>122.43799205838684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175.06</v>
      </c>
      <c r="EH38" s="13">
        <f>VLOOKUP(A38,'Données projet'!$A$191:$I$211,9,0)</f>
        <v>10.725999999999999</v>
      </c>
      <c r="EI38" s="13">
        <f t="array" ref="EI38">INDEX(EH:EH,MIN(IF(ISNUMBER(EH38:EH234),ROW(EH38:EH234),"")))</f>
        <v>10.725999999999999</v>
      </c>
      <c r="EJ38" s="13">
        <f>IF('Données projet'!$A$192&gt;35,EJ37+EI38-ER37,IF(A38&lt;'Données projet'!$A$192,$EG$205^A38,IF(A38='Données projet'!$A$192,'Données projet'!$B$192,EJ37+EI38-ER37)))</f>
        <v>175.06</v>
      </c>
      <c r="EK38" s="18">
        <f>EJ38*VLOOKUP('Données projet'!$B$15,Paramètres!$A$1:$I$89,3,0)*VLOOKUP('Données projet'!$B$15,Paramètres!$A$1:$I$89,5,0)</f>
        <v>81.928080000000008</v>
      </c>
      <c r="EL38" s="14">
        <f t="shared" si="45"/>
        <v>22.607954309959062</v>
      </c>
      <c r="EM38" s="22">
        <f t="shared" si="19"/>
        <v>182.06692642317867</v>
      </c>
      <c r="EN38" s="62">
        <f t="shared" si="20"/>
        <v>475.40025975651201</v>
      </c>
      <c r="EO38" s="62">
        <f ca="1">AVERAGE(OFFSET($EN$3,0,0,'Données projet'!$E$15+1,1))-AVERAGE(OFFSET($H$3,0,0,'Données projet'!$E$15+1,1))</f>
        <v>301.04834785168049</v>
      </c>
      <c r="EP38" s="62">
        <f t="shared" si="46"/>
        <v>164.1450425611464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3.1761666666666666</v>
      </c>
      <c r="FE38" s="13">
        <f>IF('Données projet'!$A$218&gt;35,FE37+FD38-FM37,IF(A38&lt;'Données projet'!$A$218,$FB$205^A38,IF(A38='Données projet'!$A$218,'Données projet'!$B$218,FE37+FD38-FM37)))</f>
        <v>111.16583333333324</v>
      </c>
      <c r="FF38" s="18">
        <f>FE38*VLOOKUP('Données projet'!$B$16,Paramètres!$A$1:$I$89,3,0)*VLOOKUP('Données projet'!$B$16,Paramètres!$A$1:$I$89,5,0)</f>
        <v>100.5828459999999</v>
      </c>
      <c r="FG38" s="14">
        <f t="shared" si="47"/>
        <v>27.100805570552705</v>
      </c>
      <c r="FH38" s="22">
        <f t="shared" si="22"/>
        <v>222.38235981871244</v>
      </c>
      <c r="FI38" s="62">
        <f t="shared" si="23"/>
        <v>515.71569315204579</v>
      </c>
      <c r="FJ38" s="62">
        <f ca="1">AVERAGE(OFFSET($FI$3,0,0,'Données projet'!$E$16+1,1))-AVERAGE(OFFSET($H$3,0,0,'Données projet'!$E$16+1,1))</f>
        <v>330.53726676433649</v>
      </c>
      <c r="FK38" s="62">
        <f t="shared" si="48"/>
        <v>228.01260676706528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3.1761666666666666</v>
      </c>
      <c r="FZ38" s="13">
        <f>IF('Données projet'!$A$244&gt;35,FZ37+FY38-GH37,IF(A38&lt;'Données projet'!$A$244,$FW$205^A38,IF(A38='Données projet'!$A$244,'Données projet'!$B$244,FZ37+FY38-GH37)))</f>
        <v>111.16583333333324</v>
      </c>
      <c r="GA38" s="18">
        <f>FZ38*VLOOKUP('Données projet'!$B$17,Paramètres!$A$1:$I$89,3,0)*VLOOKUP('Données projet'!$B$17,Paramètres!$A$1:$I$89,5,0)</f>
        <v>126.5956509999999</v>
      </c>
      <c r="GB38" s="14">
        <f t="shared" si="49"/>
        <v>33.208503457807176</v>
      </c>
      <c r="GC38" s="22">
        <f t="shared" si="25"/>
        <v>278.32556901401398</v>
      </c>
      <c r="GD38" s="62">
        <f t="shared" si="26"/>
        <v>571.65890234734729</v>
      </c>
      <c r="GE38" s="62">
        <f ca="1">AVERAGE(OFFSET($GD$3,0,0,'Données projet'!$E$17+1,1))-AVERAGE(OFFSET($H$3,0,0,'Données projet'!$E$17+1,1))</f>
        <v>405.71017054131318</v>
      </c>
      <c r="GF38" s="62">
        <f t="shared" si="50"/>
        <v>276.12900965322166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3.1761666666666666</v>
      </c>
      <c r="GU38" s="13">
        <f>IF('Données projet'!$A$270&gt;35,GU37+GT38-HC37,IF(A38&lt;'Données projet'!$A$270,$GR$205^A38,IF(A38='Données projet'!$A$270,'Données projet'!$B$270,GU37+GT38-HC37)))</f>
        <v>111.16583333333324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3.887142857142857</v>
      </c>
      <c r="N39" s="14">
        <f>IF('Données projet'!$A$36&gt;35,N38+M39-V38,IF(A39&lt;'Données projet'!$A$36,$K$205^A39,IF(A39='Données projet'!$A$36,'Données projet'!$B$36,N38+M39-V38)))</f>
        <v>139.93714285714293</v>
      </c>
      <c r="O39" s="14">
        <f>N39*VLOOKUP('Données projet'!$B$9,Paramètres!$A$1:$I$89,3,0)*VLOOKUP('Données projet'!$B$9,Paramètres!$A$1:$I$89,5,0)</f>
        <v>126.61512685714293</v>
      </c>
      <c r="P39" s="14">
        <f t="shared" si="33"/>
        <v>33.213017638275041</v>
      </c>
      <c r="Q39" s="22">
        <f t="shared" si="53"/>
        <v>278.36735166285297</v>
      </c>
      <c r="R39" s="62">
        <f t="shared" si="0"/>
        <v>571.70068499618628</v>
      </c>
      <c r="S39" s="62">
        <f ca="1">AVERAGE(OFFSET($R$3,0,0,'Données projet'!$E$9+1,1))-AVERAGE(OFFSET($H$3,0,0,'Données projet'!$E$9+1,1))</f>
        <v>452.54136967045082</v>
      </c>
      <c r="T39" s="62">
        <f t="shared" si="34"/>
        <v>269.67340993773422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16.701250000000002</v>
      </c>
      <c r="AI39" s="14">
        <f>IF('Données projet'!$A$62&gt;35,AI38+AH39-AQ38,IF(A39&lt;'Données projet'!$A$62,$AF$205^A39,IF(A39='Données projet'!$A$62,'Données projet'!$B$62,AI38+AH39-AQ38)))</f>
        <v>217.03375000000005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3.887142857142857</v>
      </c>
      <c r="BD39" s="13">
        <f>IF('Données projet'!$A$88&gt;35,BD38+BC39-BL38,IF(A39&lt;'Données projet'!$A$88,$BA$205^A39,IF(A39='Données projet'!$A$88,'Données projet'!$B$88,BD38+BC39-BL38)))</f>
        <v>139.93714285714293</v>
      </c>
      <c r="BE39" s="14">
        <f>BD39*VLOOKUP('Données projet'!$B$11,Paramètres!$A$1:$I$89,3,0)*VLOOKUP('Données projet'!$B$11,Paramètres!$A$1:$I$89,5,0)</f>
        <v>141.89626285714294</v>
      </c>
      <c r="BF39" s="14">
        <f t="shared" si="37"/>
        <v>36.73107195645354</v>
      </c>
      <c r="BG39" s="22">
        <f t="shared" si="7"/>
        <v>311.10927480034724</v>
      </c>
      <c r="BH39" s="62">
        <f t="shared" si="8"/>
        <v>604.44260813368055</v>
      </c>
      <c r="BI39" s="62">
        <f ca="1">AVERAGE(OFFSET($BH$3,0,0,'Données projet'!$E$11+1,1))-AVERAGE(OFFSET($H$3,0,0,'Données projet'!$E$11+1,1))</f>
        <v>502.06005292569733</v>
      </c>
      <c r="BJ39" s="62">
        <f t="shared" si="38"/>
        <v>297.06786598620607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4.7440000000000024</v>
      </c>
      <c r="BY39" s="13">
        <f>IF('Données projet'!$A$114&gt;35,BY38+BX39-CG38,IF(A39&lt;'Données projet'!$A$114,$BV$205^A39,IF(A39='Données projet'!$A$114,'Données projet'!$B$114,BY38+BX39-CG38)))</f>
        <v>77.173999999999992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3.078000000000003</v>
      </c>
      <c r="CT39" s="13">
        <f>IF('Données projet'!$A$140&gt;35,CT38+CS39-DB38,IF(A39&lt;'Données projet'!$A$140,$CQ$205^A39,IF(A39='Données projet'!$A$140,'Données projet'!$B$140,CT38+CS39-DB38)))</f>
        <v>137.04799999999997</v>
      </c>
      <c r="CU39" s="18">
        <f>CT39*VLOOKUP('Données projet'!$B$13,Paramètres!$A$1:$I$89,3,0)*VLOOKUP('Données projet'!$B$13,Paramètres!$A$1:$I$89,5,0)</f>
        <v>124.00103039999996</v>
      </c>
      <c r="CV39" s="14">
        <f t="shared" si="41"/>
        <v>32.606385185157123</v>
      </c>
      <c r="CW39" s="22">
        <f t="shared" si="13"/>
        <v>272.7579154774819</v>
      </c>
      <c r="CX39" s="62">
        <f t="shared" si="14"/>
        <v>566.09124881081516</v>
      </c>
      <c r="CY39" s="62">
        <f ca="1">AVERAGE(OFFSET($CX$3,0,0,'Données projet'!$E$13+1,1))-AVERAGE(OFFSET($H$3,0,0,'Données projet'!$E$13+1,1))</f>
        <v>204.787338911576</v>
      </c>
      <c r="CZ39" s="62">
        <f t="shared" si="42"/>
        <v>287.24932051638558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0.39626680721363833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0.39626680721363833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1.325</v>
      </c>
      <c r="DO39" s="13">
        <f>IF('Données projet'!$A$166&gt;35,DO38+DN39-DW38,IF(A39&lt;'Données projet'!$A$166,$DL$205^A39,IF(A39='Données projet'!$A$166,'Données projet'!$B$166,DO38+DN39-DW38)))</f>
        <v>47.700000000000024</v>
      </c>
      <c r="DP39" s="18">
        <f>DO39*VLOOKUP('Données projet'!$B$14,Paramètres!$A$1:$I$89,3,0)*VLOOKUP('Données projet'!$B$14,Paramètres!$A$1:$I$89,5,0)</f>
        <v>45.391320000000029</v>
      </c>
      <c r="DQ39" s="14">
        <f t="shared" si="43"/>
        <v>13.416932717699165</v>
      </c>
      <c r="DR39" s="22">
        <f t="shared" si="16"/>
        <v>102.42437348332608</v>
      </c>
      <c r="DS39" s="62">
        <f t="shared" si="17"/>
        <v>395.75770681665938</v>
      </c>
      <c r="DT39" s="62">
        <f ca="1">AVERAGE(OFFSET($DS$3,0,0,'Données projet'!$E$14+1,1))-AVERAGE(OFFSET($H$3,0,0,'Données projet'!$E$14+1,1))</f>
        <v>309.55876703480277</v>
      </c>
      <c r="DU39" s="62">
        <f t="shared" si="44"/>
        <v>122.43799205838684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12.236000000000001</v>
      </c>
      <c r="EJ39" s="13">
        <f>IF('Données projet'!$A$192&gt;35,EJ38+EI39-ER38,IF(A39&lt;'Données projet'!$A$192,$EG$205^A39,IF(A39='Données projet'!$A$192,'Données projet'!$B$192,EJ38+EI39-ER38)))</f>
        <v>187.29599999999999</v>
      </c>
      <c r="EK39" s="18">
        <f>EJ39*VLOOKUP('Données projet'!$B$15,Paramètres!$A$1:$I$89,3,0)*VLOOKUP('Données projet'!$B$15,Paramètres!$A$1:$I$89,5,0)</f>
        <v>87.654527999999999</v>
      </c>
      <c r="EL39" s="14">
        <f t="shared" si="45"/>
        <v>23.998687213422837</v>
      </c>
      <c r="EM39" s="22">
        <f t="shared" si="19"/>
        <v>194.4626831633781</v>
      </c>
      <c r="EN39" s="62">
        <f t="shared" si="20"/>
        <v>487.79601649671145</v>
      </c>
      <c r="EO39" s="62">
        <f ca="1">AVERAGE(OFFSET($EN$3,0,0,'Données projet'!$E$15+1,1))-AVERAGE(OFFSET($H$3,0,0,'Données projet'!$E$15+1,1))</f>
        <v>301.04834785168049</v>
      </c>
      <c r="EP39" s="62">
        <f t="shared" si="46"/>
        <v>164.1450425611464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3.1761666666666666</v>
      </c>
      <c r="FE39" s="13">
        <f>IF('Données projet'!$A$218&gt;35,FE38+FD39-FM38,IF(A39&lt;'Données projet'!$A$218,$FB$205^A39,IF(A39='Données projet'!$A$218,'Données projet'!$B$218,FE38+FD39-FM38)))</f>
        <v>114.3419999999999</v>
      </c>
      <c r="FF39" s="18">
        <f>FE39*VLOOKUP('Données projet'!$B$16,Paramètres!$A$1:$I$89,3,0)*VLOOKUP('Données projet'!$B$16,Paramètres!$A$1:$I$89,5,0)</f>
        <v>103.45664159999991</v>
      </c>
      <c r="FG39" s="14">
        <f t="shared" si="47"/>
        <v>27.783858989348001</v>
      </c>
      <c r="FH39" s="22">
        <f t="shared" si="22"/>
        <v>228.57720519311422</v>
      </c>
      <c r="FI39" s="62">
        <f t="shared" si="23"/>
        <v>521.91053852644757</v>
      </c>
      <c r="FJ39" s="62">
        <f ca="1">AVERAGE(OFFSET($FI$3,0,0,'Données projet'!$E$16+1,1))-AVERAGE(OFFSET($H$3,0,0,'Données projet'!$E$16+1,1))</f>
        <v>330.53726676433649</v>
      </c>
      <c r="FK39" s="62">
        <f t="shared" si="48"/>
        <v>228.01260676706528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3.1761666666666666</v>
      </c>
      <c r="FZ39" s="13">
        <f>IF('Données projet'!$A$244&gt;35,FZ38+FY39-GH38,IF(A39&lt;'Données projet'!$A$244,$FW$205^A39,IF(A39='Données projet'!$A$244,'Données projet'!$B$244,FZ38+FY39-GH38)))</f>
        <v>114.3419999999999</v>
      </c>
      <c r="GA39" s="18">
        <f>FZ39*VLOOKUP('Données projet'!$B$17,Paramètres!$A$1:$I$89,3,0)*VLOOKUP('Données projet'!$B$17,Paramètres!$A$1:$I$89,5,0)</f>
        <v>130.21266959999988</v>
      </c>
      <c r="GB39" s="14">
        <f t="shared" si="49"/>
        <v>34.045496356814461</v>
      </c>
      <c r="GC39" s="22">
        <f t="shared" si="25"/>
        <v>286.08297237478496</v>
      </c>
      <c r="GD39" s="62">
        <f t="shared" si="26"/>
        <v>579.41630570811822</v>
      </c>
      <c r="GE39" s="62">
        <f ca="1">AVERAGE(OFFSET($GD$3,0,0,'Données projet'!$E$17+1,1))-AVERAGE(OFFSET($H$3,0,0,'Données projet'!$E$17+1,1))</f>
        <v>405.71017054131318</v>
      </c>
      <c r="GF39" s="62">
        <f t="shared" si="50"/>
        <v>276.12900965322166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3.1761666666666666</v>
      </c>
      <c r="GU39" s="13">
        <f>IF('Données projet'!$A$270&gt;35,GU38+GT39-HC38,IF(A39&lt;'Données projet'!$A$270,$GR$205^A39,IF(A39='Données projet'!$A$270,'Données projet'!$B$270,GU38+GT39-HC38)))</f>
        <v>114.3419999999999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3.887142857142857</v>
      </c>
      <c r="N40" s="14">
        <f>IF('Données projet'!$A$36&gt;35,N39+M40-V39,IF(A40&lt;'Données projet'!$A$36,$K$205^A40,IF(A40='Données projet'!$A$36,'Données projet'!$B$36,N39+M40-V39)))</f>
        <v>143.82428571428579</v>
      </c>
      <c r="O40" s="14">
        <f>N40*VLOOKUP('Données projet'!$B$9,Paramètres!$A$1:$I$89,3,0)*VLOOKUP('Données projet'!$B$9,Paramètres!$A$1:$I$89,5,0)</f>
        <v>130.13221371428577</v>
      </c>
      <c r="P40" s="14">
        <f t="shared" si="33"/>
        <v>34.026908232186209</v>
      </c>
      <c r="Q40" s="22">
        <f t="shared" si="53"/>
        <v>285.91047072343866</v>
      </c>
      <c r="R40" s="62">
        <f t="shared" si="0"/>
        <v>579.24380405677198</v>
      </c>
      <c r="S40" s="62">
        <f ca="1">AVERAGE(OFFSET($R$3,0,0,'Données projet'!$E$9+1,1))-AVERAGE(OFFSET($H$3,0,0,'Données projet'!$E$9+1,1))</f>
        <v>452.54136967045082</v>
      </c>
      <c r="T40" s="62">
        <f t="shared" si="34"/>
        <v>269.67340993773422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16.701250000000002</v>
      </c>
      <c r="AI40" s="14">
        <f>IF('Données projet'!$A$62&gt;35,AI39+AH40-AQ39,IF(A40&lt;'Données projet'!$A$62,$AF$205^A40,IF(A40='Données projet'!$A$62,'Données projet'!$B$62,AI39+AH40-AQ39)))</f>
        <v>233.73500000000007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3.887142857142857</v>
      </c>
      <c r="BD40" s="13">
        <f>IF('Données projet'!$A$88&gt;35,BD39+BC40-BL39,IF(A40&lt;'Données projet'!$A$88,$BA$205^A40,IF(A40='Données projet'!$A$88,'Données projet'!$B$88,BD39+BC40-BL39)))</f>
        <v>143.82428571428579</v>
      </c>
      <c r="BE40" s="14">
        <f>BD40*VLOOKUP('Données projet'!$B$11,Paramètres!$A$1:$I$89,3,0)*VLOOKUP('Données projet'!$B$11,Paramètres!$A$1:$I$89,5,0)</f>
        <v>145.8378257142858</v>
      </c>
      <c r="BF40" s="14">
        <f t="shared" si="37"/>
        <v>37.631173064254732</v>
      </c>
      <c r="BG40" s="22">
        <f t="shared" si="7"/>
        <v>319.5418395392914</v>
      </c>
      <c r="BH40" s="62">
        <f t="shared" si="8"/>
        <v>612.87517287262472</v>
      </c>
      <c r="BI40" s="62">
        <f ca="1">AVERAGE(OFFSET($BH$3,0,0,'Données projet'!$E$11+1,1))-AVERAGE(OFFSET($H$3,0,0,'Données projet'!$E$11+1,1))</f>
        <v>502.06005292569733</v>
      </c>
      <c r="BJ40" s="62">
        <f t="shared" si="38"/>
        <v>297.06786598620607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4.7440000000000024</v>
      </c>
      <c r="BY40" s="13">
        <f>IF('Données projet'!$A$114&gt;35,BY39+BX40-CG39,IF(A40&lt;'Données projet'!$A$114,$BV$205^A40,IF(A40='Données projet'!$A$114,'Données projet'!$B$114,BY39+BX40-CG39)))</f>
        <v>81.917999999999992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3.078000000000003</v>
      </c>
      <c r="CT40" s="13">
        <f>IF('Données projet'!$A$140&gt;35,CT39+CS40-DB39,IF(A40&lt;'Données projet'!$A$140,$CQ$205^A40,IF(A40='Données projet'!$A$140,'Données projet'!$B$140,CT39+CS40-DB39)))</f>
        <v>140.12599999999998</v>
      </c>
      <c r="CU40" s="18">
        <f>CT40*VLOOKUP('Données projet'!$B$13,Paramètres!$A$1:$I$89,3,0)*VLOOKUP('Données projet'!$B$13,Paramètres!$A$1:$I$89,5,0)</f>
        <v>126.78600479999997</v>
      </c>
      <c r="CV40" s="14">
        <f t="shared" si="41"/>
        <v>33.252620845630076</v>
      </c>
      <c r="CW40" s="22">
        <f t="shared" si="13"/>
        <v>278.73393966613901</v>
      </c>
      <c r="CX40" s="62">
        <f t="shared" si="14"/>
        <v>572.06727299947238</v>
      </c>
      <c r="CY40" s="62">
        <f ca="1">AVERAGE(OFFSET($CX$3,0,0,'Données projet'!$E$13+1,1))-AVERAGE(OFFSET($H$3,0,0,'Données projet'!$E$13+1,1))</f>
        <v>204.787338911576</v>
      </c>
      <c r="CZ40" s="62">
        <f t="shared" si="42"/>
        <v>287.24932051638558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0.38849625682306549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0.38849625682306549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1.325</v>
      </c>
      <c r="DO40" s="13">
        <f>IF('Données projet'!$A$166&gt;35,DO39+DN40-DW39,IF(A40&lt;'Données projet'!$A$166,$DL$205^A40,IF(A40='Données projet'!$A$166,'Données projet'!$B$166,DO39+DN40-DW39)))</f>
        <v>49.025000000000027</v>
      </c>
      <c r="DP40" s="18">
        <f>DO40*VLOOKUP('Données projet'!$B$14,Paramètres!$A$1:$I$89,3,0)*VLOOKUP('Données projet'!$B$14,Paramètres!$A$1:$I$89,5,0)</f>
        <v>46.652190000000026</v>
      </c>
      <c r="DQ40" s="14">
        <f t="shared" si="43"/>
        <v>13.745716914817409</v>
      </c>
      <c r="DR40" s="22">
        <f t="shared" si="16"/>
        <v>105.19302120997368</v>
      </c>
      <c r="DS40" s="62">
        <f t="shared" si="17"/>
        <v>398.52635454330698</v>
      </c>
      <c r="DT40" s="62">
        <f ca="1">AVERAGE(OFFSET($DS$3,0,0,'Données projet'!$E$14+1,1))-AVERAGE(OFFSET($H$3,0,0,'Données projet'!$E$14+1,1))</f>
        <v>309.55876703480277</v>
      </c>
      <c r="DU40" s="62">
        <f t="shared" si="44"/>
        <v>122.43799205838684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12.236000000000001</v>
      </c>
      <c r="EJ40" s="13">
        <f>IF('Données projet'!$A$192&gt;35,EJ39+EI40-ER39,IF(A40&lt;'Données projet'!$A$192,$EG$205^A40,IF(A40='Données projet'!$A$192,'Données projet'!$B$192,EJ39+EI40-ER39)))</f>
        <v>199.53199999999998</v>
      </c>
      <c r="EK40" s="18">
        <f>EJ40*VLOOKUP('Données projet'!$B$15,Paramètres!$A$1:$I$89,3,0)*VLOOKUP('Données projet'!$B$15,Paramètres!$A$1:$I$89,5,0)</f>
        <v>93.380976000000004</v>
      </c>
      <c r="EL40" s="14">
        <f t="shared" si="45"/>
        <v>25.378876646653783</v>
      </c>
      <c r="EM40" s="22">
        <f t="shared" si="19"/>
        <v>206.840076692922</v>
      </c>
      <c r="EN40" s="62">
        <f t="shared" si="20"/>
        <v>500.17341002625528</v>
      </c>
      <c r="EO40" s="62">
        <f ca="1">AVERAGE(OFFSET($EN$3,0,0,'Données projet'!$E$15+1,1))-AVERAGE(OFFSET($H$3,0,0,'Données projet'!$E$15+1,1))</f>
        <v>301.04834785168049</v>
      </c>
      <c r="EP40" s="62">
        <f t="shared" si="46"/>
        <v>164.1450425611464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3.1761666666666666</v>
      </c>
      <c r="FE40" s="13">
        <f>IF('Données projet'!$A$218&gt;35,FE39+FD40-FM39,IF(A40&lt;'Données projet'!$A$218,$FB$205^A40,IF(A40='Données projet'!$A$218,'Données projet'!$B$218,FE39+FD40-FM39)))</f>
        <v>117.51816666666656</v>
      </c>
      <c r="FF40" s="18">
        <f>FE40*VLOOKUP('Données projet'!$B$16,Paramètres!$A$1:$I$89,3,0)*VLOOKUP('Données projet'!$B$16,Paramètres!$A$1:$I$89,5,0)</f>
        <v>106.33043719999991</v>
      </c>
      <c r="FG40" s="14">
        <f t="shared" si="47"/>
        <v>28.464707135706313</v>
      </c>
      <c r="FH40" s="22">
        <f t="shared" si="22"/>
        <v>234.76820971802169</v>
      </c>
      <c r="FI40" s="62">
        <f t="shared" si="23"/>
        <v>528.10154305135507</v>
      </c>
      <c r="FJ40" s="62">
        <f ca="1">AVERAGE(OFFSET($FI$3,0,0,'Données projet'!$E$16+1,1))-AVERAGE(OFFSET($H$3,0,0,'Données projet'!$E$16+1,1))</f>
        <v>330.53726676433649</v>
      </c>
      <c r="FK40" s="62">
        <f t="shared" si="48"/>
        <v>228.01260676706528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3.1761666666666666</v>
      </c>
      <c r="FZ40" s="13">
        <f>IF('Données projet'!$A$244&gt;35,FZ39+FY40-GH39,IF(A40&lt;'Données projet'!$A$244,$FW$205^A40,IF(A40='Données projet'!$A$244,'Données projet'!$B$244,FZ39+FY40-GH39)))</f>
        <v>117.51816666666656</v>
      </c>
      <c r="GA40" s="18">
        <f>FZ40*VLOOKUP('Données projet'!$B$17,Paramètres!$A$1:$I$89,3,0)*VLOOKUP('Données projet'!$B$17,Paramètres!$A$1:$I$89,5,0)</f>
        <v>133.82968819999988</v>
      </c>
      <c r="GB40" s="14">
        <f t="shared" si="49"/>
        <v>34.879786982003445</v>
      </c>
      <c r="GC40" s="22">
        <f t="shared" si="25"/>
        <v>293.83566927532246</v>
      </c>
      <c r="GD40" s="62">
        <f t="shared" si="26"/>
        <v>587.16900260865577</v>
      </c>
      <c r="GE40" s="62">
        <f ca="1">AVERAGE(OFFSET($GD$3,0,0,'Données projet'!$E$17+1,1))-AVERAGE(OFFSET($H$3,0,0,'Données projet'!$E$17+1,1))</f>
        <v>405.71017054131318</v>
      </c>
      <c r="GF40" s="62">
        <f t="shared" si="50"/>
        <v>276.12900965322166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3.1761666666666666</v>
      </c>
      <c r="GU40" s="13">
        <f>IF('Données projet'!$A$270&gt;35,GU39+GT40-HC39,IF(A40&lt;'Données projet'!$A$270,$GR$205^A40,IF(A40='Données projet'!$A$270,'Données projet'!$B$270,GU39+GT40-HC39)))</f>
        <v>117.51816666666656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3.887142857142857</v>
      </c>
      <c r="N41" s="14">
        <f>IF('Données projet'!$A$36&gt;35,N40+M41-V40,IF(A41&lt;'Données projet'!$A$36,$K$205^A41,IF(A41='Données projet'!$A$36,'Données projet'!$B$36,N40+M41-V40)))</f>
        <v>147.71142857142866</v>
      </c>
      <c r="O41" s="14">
        <f>N41*VLOOKUP('Données projet'!$B$9,Paramètres!$A$1:$I$89,3,0)*VLOOKUP('Données projet'!$B$9,Paramètres!$A$1:$I$89,5,0)</f>
        <v>133.64930057142865</v>
      </c>
      <c r="P41" s="14">
        <f t="shared" si="33"/>
        <v>34.8382420646657</v>
      </c>
      <c r="Q41" s="22">
        <f t="shared" si="53"/>
        <v>293.44913675786432</v>
      </c>
      <c r="R41" s="62">
        <f t="shared" si="0"/>
        <v>586.78247009119764</v>
      </c>
      <c r="S41" s="62">
        <f ca="1">AVERAGE(OFFSET($R$3,0,0,'Données projet'!$E$9+1,1))-AVERAGE(OFFSET($H$3,0,0,'Données projet'!$E$9+1,1))</f>
        <v>452.54136967045082</v>
      </c>
      <c r="T41" s="62">
        <f t="shared" si="34"/>
        <v>269.67340993773422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16.701250000000002</v>
      </c>
      <c r="AI41" s="14">
        <f>IF('Données projet'!$A$62&gt;35,AI40+AH41-AQ40,IF(A41&lt;'Données projet'!$A$62,$AF$205^A41,IF(A41='Données projet'!$A$62,'Données projet'!$B$62,AI40+AH41-AQ40)))</f>
        <v>250.43625000000009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3.887142857142857</v>
      </c>
      <c r="BD41" s="13">
        <f>IF('Données projet'!$A$88&gt;35,BD40+BC41-BL40,IF(A41&lt;'Données projet'!$A$88,$BA$205^A41,IF(A41='Données projet'!$A$88,'Données projet'!$B$88,BD40+BC41-BL40)))</f>
        <v>147.71142857142866</v>
      </c>
      <c r="BE41" s="14">
        <f>BD41*VLOOKUP('Données projet'!$B$11,Paramètres!$A$1:$I$89,3,0)*VLOOKUP('Données projet'!$B$11,Paramètres!$A$1:$I$89,5,0)</f>
        <v>149.77938857142865</v>
      </c>
      <c r="BF41" s="14">
        <f t="shared" si="37"/>
        <v>38.528446588331214</v>
      </c>
      <c r="BG41" s="22">
        <f t="shared" si="7"/>
        <v>327.96947956991511</v>
      </c>
      <c r="BH41" s="62">
        <f t="shared" si="8"/>
        <v>621.30281290324842</v>
      </c>
      <c r="BI41" s="62">
        <f ca="1">AVERAGE(OFFSET($BH$3,0,0,'Données projet'!$E$11+1,1))-AVERAGE(OFFSET($H$3,0,0,'Données projet'!$E$11+1,1))</f>
        <v>502.06005292569733</v>
      </c>
      <c r="BJ41" s="62">
        <f t="shared" si="38"/>
        <v>297.06786598620607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4.7440000000000024</v>
      </c>
      <c r="BY41" s="13">
        <f>IF('Données projet'!$A$114&gt;35,BY40+BX41-CG40,IF(A41&lt;'Données projet'!$A$114,$BV$205^A41,IF(A41='Données projet'!$A$114,'Données projet'!$B$114,BY40+BX41-CG40)))</f>
        <v>86.661999999999992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3.078000000000003</v>
      </c>
      <c r="CT41" s="13">
        <f>IF('Données projet'!$A$140&gt;35,CT40+CS41-DB40,IF(A41&lt;'Données projet'!$A$140,$CQ$205^A41,IF(A41='Données projet'!$A$140,'Données projet'!$B$140,CT40+CS41-DB40)))</f>
        <v>143.20399999999998</v>
      </c>
      <c r="CU41" s="18">
        <f>CT41*VLOOKUP('Données projet'!$B$13,Paramètres!$A$1:$I$89,3,0)*VLOOKUP('Données projet'!$B$13,Paramètres!$A$1:$I$89,5,0)</f>
        <v>129.57097919999998</v>
      </c>
      <c r="CV41" s="14">
        <f t="shared" si="41"/>
        <v>33.897206157785369</v>
      </c>
      <c r="CW41" s="22">
        <f t="shared" si="13"/>
        <v>284.70708949814281</v>
      </c>
      <c r="CX41" s="62">
        <f t="shared" si="14"/>
        <v>578.04042283147612</v>
      </c>
      <c r="CY41" s="62">
        <f ca="1">AVERAGE(OFFSET($CX$3,0,0,'Données projet'!$E$13+1,1))-AVERAGE(OFFSET($H$3,0,0,'Données projet'!$E$13+1,1))</f>
        <v>204.787338911576</v>
      </c>
      <c r="CZ41" s="62">
        <f t="shared" si="42"/>
        <v>287.24932051638558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0.38087808218608404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0.38087808218608404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1.325</v>
      </c>
      <c r="DO41" s="13">
        <f>IF('Données projet'!$A$166&gt;35,DO40+DN41-DW40,IF(A41&lt;'Données projet'!$A$166,$DL$205^A41,IF(A41='Données projet'!$A$166,'Données projet'!$B$166,DO40+DN41-DW40)))</f>
        <v>50.35000000000003</v>
      </c>
      <c r="DP41" s="18">
        <f>DO41*VLOOKUP('Données projet'!$B$14,Paramètres!$A$1:$I$89,3,0)*VLOOKUP('Données projet'!$B$14,Paramètres!$A$1:$I$89,5,0)</f>
        <v>47.91306000000003</v>
      </c>
      <c r="DQ41" s="14">
        <f t="shared" si="43"/>
        <v>14.073468267028948</v>
      </c>
      <c r="DR41" s="22">
        <f t="shared" si="16"/>
        <v>107.95987006507546</v>
      </c>
      <c r="DS41" s="62">
        <f t="shared" si="17"/>
        <v>401.29320339840876</v>
      </c>
      <c r="DT41" s="62">
        <f ca="1">AVERAGE(OFFSET($DS$3,0,0,'Données projet'!$E$14+1,1))-AVERAGE(OFFSET($H$3,0,0,'Données projet'!$E$14+1,1))</f>
        <v>309.55876703480277</v>
      </c>
      <c r="DU41" s="62">
        <f t="shared" si="44"/>
        <v>122.43799205838684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12.236000000000001</v>
      </c>
      <c r="EJ41" s="13">
        <f>IF('Données projet'!$A$192&gt;35,EJ40+EI41-ER40,IF(A41&lt;'Données projet'!$A$192,$EG$205^A41,IF(A41='Données projet'!$A$192,'Données projet'!$B$192,EJ40+EI41-ER40)))</f>
        <v>211.76799999999997</v>
      </c>
      <c r="EK41" s="18">
        <f>EJ41*VLOOKUP('Données projet'!$B$15,Paramètres!$A$1:$I$89,3,0)*VLOOKUP('Données projet'!$B$15,Paramètres!$A$1:$I$89,5,0)</f>
        <v>99.10742399999998</v>
      </c>
      <c r="EL41" s="14">
        <f t="shared" si="45"/>
        <v>26.749242791913794</v>
      </c>
      <c r="EM41" s="22">
        <f t="shared" si="19"/>
        <v>219.20036132924983</v>
      </c>
      <c r="EN41" s="62">
        <f t="shared" si="20"/>
        <v>512.53369466258312</v>
      </c>
      <c r="EO41" s="62">
        <f ca="1">AVERAGE(OFFSET($EN$3,0,0,'Données projet'!$E$15+1,1))-AVERAGE(OFFSET($H$3,0,0,'Données projet'!$E$15+1,1))</f>
        <v>301.04834785168049</v>
      </c>
      <c r="EP41" s="62">
        <f t="shared" si="46"/>
        <v>164.1450425611464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3.1761666666666666</v>
      </c>
      <c r="FE41" s="13">
        <f>IF('Données projet'!$A$218&gt;35,FE40+FD41-FM40,IF(A41&lt;'Données projet'!$A$218,$FB$205^A41,IF(A41='Données projet'!$A$218,'Données projet'!$B$218,FE40+FD41-FM40)))</f>
        <v>120.69433333333322</v>
      </c>
      <c r="FF41" s="18">
        <f>FE41*VLOOKUP('Données projet'!$B$16,Paramètres!$A$1:$I$89,3,0)*VLOOKUP('Données projet'!$B$16,Paramètres!$A$1:$I$89,5,0)</f>
        <v>109.20423279999989</v>
      </c>
      <c r="FG41" s="14">
        <f t="shared" si="47"/>
        <v>29.143416461079958</v>
      </c>
      <c r="FH41" s="22">
        <f t="shared" si="22"/>
        <v>240.95548912971404</v>
      </c>
      <c r="FI41" s="62">
        <f t="shared" si="23"/>
        <v>534.28882246304738</v>
      </c>
      <c r="FJ41" s="62">
        <f ca="1">AVERAGE(OFFSET($FI$3,0,0,'Données projet'!$E$16+1,1))-AVERAGE(OFFSET($H$3,0,0,'Données projet'!$E$16+1,1))</f>
        <v>330.53726676433649</v>
      </c>
      <c r="FK41" s="62">
        <f t="shared" si="48"/>
        <v>228.01260676706528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3.1761666666666666</v>
      </c>
      <c r="FZ41" s="13">
        <f>IF('Données projet'!$A$244&gt;35,FZ40+FY41-GH40,IF(A41&lt;'Données projet'!$A$244,$FW$205^A41,IF(A41='Données projet'!$A$244,'Données projet'!$B$244,FZ40+FY41-GH40)))</f>
        <v>120.69433333333322</v>
      </c>
      <c r="GA41" s="18">
        <f>FZ41*VLOOKUP('Données projet'!$B$17,Paramètres!$A$1:$I$89,3,0)*VLOOKUP('Données projet'!$B$17,Paramètres!$A$1:$I$89,5,0)</f>
        <v>137.44670679999987</v>
      </c>
      <c r="GB41" s="14">
        <f t="shared" si="49"/>
        <v>35.711456760964083</v>
      </c>
      <c r="GC41" s="22">
        <f t="shared" si="25"/>
        <v>301.58380153534546</v>
      </c>
      <c r="GD41" s="62">
        <f t="shared" si="26"/>
        <v>594.91713486867877</v>
      </c>
      <c r="GE41" s="62">
        <f ca="1">AVERAGE(OFFSET($GD$3,0,0,'Données projet'!$E$17+1,1))-AVERAGE(OFFSET($H$3,0,0,'Données projet'!$E$17+1,1))</f>
        <v>405.71017054131318</v>
      </c>
      <c r="GF41" s="62">
        <f t="shared" si="50"/>
        <v>276.12900965322166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3.1761666666666666</v>
      </c>
      <c r="GU41" s="13">
        <f>IF('Données projet'!$A$270&gt;35,GU40+GT41-HC40,IF(A41&lt;'Données projet'!$A$270,$GR$205^A41,IF(A41='Données projet'!$A$270,'Données projet'!$B$270,GU40+GT41-HC40)))</f>
        <v>120.69433333333322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3.887142857142857</v>
      </c>
      <c r="N42" s="14">
        <f>IF('Données projet'!$A$36&gt;35,N41+M42-V41,IF(A42&lt;'Données projet'!$A$36,$K$205^A42,IF(A42='Données projet'!$A$36,'Données projet'!$B$36,N41+M42-V41)))</f>
        <v>151.59857142857152</v>
      </c>
      <c r="O42" s="14">
        <f>N42*VLOOKUP('Données projet'!$B$9,Paramètres!$A$1:$I$89,3,0)*VLOOKUP('Données projet'!$B$9,Paramètres!$A$1:$I$89,5,0)</f>
        <v>137.16638742857151</v>
      </c>
      <c r="P42" s="14">
        <f t="shared" si="33"/>
        <v>35.647094153273272</v>
      </c>
      <c r="Q42" s="22">
        <f t="shared" si="53"/>
        <v>300.98348042171295</v>
      </c>
      <c r="R42" s="62">
        <f t="shared" si="0"/>
        <v>594.31681375504627</v>
      </c>
      <c r="S42" s="62">
        <f ca="1">AVERAGE(OFFSET($R$3,0,0,'Données projet'!$E$9+1,1))-AVERAGE(OFFSET($H$3,0,0,'Données projet'!$E$9+1,1))</f>
        <v>452.54136967045082</v>
      </c>
      <c r="T42" s="62">
        <f t="shared" si="34"/>
        <v>269.67340993773422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16.701250000000002</v>
      </c>
      <c r="AI42" s="14">
        <f>IF('Données projet'!$A$62&gt;35,AI41+AH42-AQ41,IF(A42&lt;'Données projet'!$A$62,$AF$205^A42,IF(A42='Données projet'!$A$62,'Données projet'!$B$62,AI41+AH42-AQ41)))</f>
        <v>267.1375000000001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3.887142857142857</v>
      </c>
      <c r="BD42" s="13">
        <f>IF('Données projet'!$A$88&gt;35,BD41+BC42-BL41,IF(A42&lt;'Données projet'!$A$88,$BA$205^A42,IF(A42='Données projet'!$A$88,'Données projet'!$B$88,BD41+BC42-BL41)))</f>
        <v>151.59857142857152</v>
      </c>
      <c r="BE42" s="14">
        <f>BD42*VLOOKUP('Données projet'!$B$11,Paramètres!$A$1:$I$89,3,0)*VLOOKUP('Données projet'!$B$11,Paramètres!$A$1:$I$89,5,0)</f>
        <v>153.72095142857154</v>
      </c>
      <c r="BF42" s="14">
        <f t="shared" si="37"/>
        <v>39.422975492399672</v>
      </c>
      <c r="BG42" s="22">
        <f t="shared" si="7"/>
        <v>336.39233938735816</v>
      </c>
      <c r="BH42" s="62">
        <f t="shared" si="8"/>
        <v>629.72567272069148</v>
      </c>
      <c r="BI42" s="62">
        <f ca="1">AVERAGE(OFFSET($BH$3,0,0,'Données projet'!$E$11+1,1))-AVERAGE(OFFSET($H$3,0,0,'Données projet'!$E$11+1,1))</f>
        <v>502.06005292569733</v>
      </c>
      <c r="BJ42" s="62">
        <f t="shared" si="38"/>
        <v>297.06786598620607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4.7440000000000024</v>
      </c>
      <c r="BY42" s="13">
        <f>IF('Données projet'!$A$114&gt;35,BY41+BX42-CG41,IF(A42&lt;'Données projet'!$A$114,$BV$205^A42,IF(A42='Données projet'!$A$114,'Données projet'!$B$114,BY41+BX42-CG41)))</f>
        <v>91.405999999999992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3.078000000000003</v>
      </c>
      <c r="CT42" s="13">
        <f>IF('Données projet'!$A$140&gt;35,CT41+CS42-DB41,IF(A42&lt;'Données projet'!$A$140,$CQ$205^A42,IF(A42='Données projet'!$A$140,'Données projet'!$B$140,CT41+CS42-DB41)))</f>
        <v>146.28199999999998</v>
      </c>
      <c r="CU42" s="18">
        <f>CT42*VLOOKUP('Données projet'!$B$13,Paramètres!$A$1:$I$89,3,0)*VLOOKUP('Données projet'!$B$13,Paramètres!$A$1:$I$89,5,0)</f>
        <v>132.35595359999996</v>
      </c>
      <c r="CV42" s="14">
        <f t="shared" si="41"/>
        <v>34.540180679528447</v>
      </c>
      <c r="CW42" s="22">
        <f t="shared" si="13"/>
        <v>290.67743387017862</v>
      </c>
      <c r="CX42" s="62">
        <f t="shared" si="14"/>
        <v>584.01076720351193</v>
      </c>
      <c r="CY42" s="62">
        <f ca="1">AVERAGE(OFFSET($CX$3,0,0,'Données projet'!$E$13+1,1))-AVERAGE(OFFSET($H$3,0,0,'Données projet'!$E$13+1,1))</f>
        <v>204.787338911576</v>
      </c>
      <c r="CZ42" s="62">
        <f t="shared" si="42"/>
        <v>287.24932051638558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0.37340929530710609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0.37340929530710609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1.325</v>
      </c>
      <c r="DO42" s="13">
        <f>IF('Données projet'!$A$166&gt;35,DO41+DN42-DW41,IF(A42&lt;'Données projet'!$A$166,$DL$205^A42,IF(A42='Données projet'!$A$166,'Données projet'!$B$166,DO41+DN42-DW41)))</f>
        <v>51.675000000000033</v>
      </c>
      <c r="DP42" s="18">
        <f>DO42*VLOOKUP('Données projet'!$B$14,Paramètres!$A$1:$I$89,3,0)*VLOOKUP('Données projet'!$B$14,Paramètres!$A$1:$I$89,5,0)</f>
        <v>49.173930000000034</v>
      </c>
      <c r="DQ42" s="14">
        <f t="shared" si="43"/>
        <v>14.400217078883729</v>
      </c>
      <c r="DR42" s="22">
        <f t="shared" si="16"/>
        <v>110.72497282905589</v>
      </c>
      <c r="DS42" s="62">
        <f t="shared" si="17"/>
        <v>404.05830616238921</v>
      </c>
      <c r="DT42" s="62">
        <f ca="1">AVERAGE(OFFSET($DS$3,0,0,'Données projet'!$E$14+1,1))-AVERAGE(OFFSET($H$3,0,0,'Données projet'!$E$14+1,1))</f>
        <v>309.55876703480277</v>
      </c>
      <c r="DU42" s="62">
        <f t="shared" si="44"/>
        <v>122.43799205838684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12.236000000000001</v>
      </c>
      <c r="EJ42" s="13">
        <f>IF('Données projet'!$A$192&gt;35,EJ41+EI42-ER41,IF(A42&lt;'Données projet'!$A$192,$EG$205^A42,IF(A42='Données projet'!$A$192,'Données projet'!$B$192,EJ41+EI42-ER41)))</f>
        <v>224.00399999999996</v>
      </c>
      <c r="EK42" s="18">
        <f>EJ42*VLOOKUP('Données projet'!$B$15,Paramètres!$A$1:$I$89,3,0)*VLOOKUP('Données projet'!$B$15,Paramètres!$A$1:$I$89,5,0)</f>
        <v>104.83387199999999</v>
      </c>
      <c r="EL42" s="14">
        <f t="shared" si="45"/>
        <v>28.11041790591522</v>
      </c>
      <c r="EM42" s="22">
        <f t="shared" si="19"/>
        <v>231.54463825280232</v>
      </c>
      <c r="EN42" s="62">
        <f t="shared" si="20"/>
        <v>524.87797158613557</v>
      </c>
      <c r="EO42" s="62">
        <f ca="1">AVERAGE(OFFSET($EN$3,0,0,'Données projet'!$E$15+1,1))-AVERAGE(OFFSET($H$3,0,0,'Données projet'!$E$15+1,1))</f>
        <v>301.04834785168049</v>
      </c>
      <c r="EP42" s="62">
        <f t="shared" si="46"/>
        <v>164.1450425611464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3.1761666666666666</v>
      </c>
      <c r="FE42" s="13">
        <f>IF('Données projet'!$A$218&gt;35,FE41+FD42-FM41,IF(A42&lt;'Données projet'!$A$218,$FB$205^A42,IF(A42='Données projet'!$A$218,'Données projet'!$B$218,FE41+FD42-FM41)))</f>
        <v>123.87049999999988</v>
      </c>
      <c r="FF42" s="18">
        <f>FE42*VLOOKUP('Données projet'!$B$16,Paramètres!$A$1:$I$89,3,0)*VLOOKUP('Données projet'!$B$16,Paramètres!$A$1:$I$89,5,0)</f>
        <v>112.07802839999988</v>
      </c>
      <c r="FG42" s="14">
        <f t="shared" si="47"/>
        <v>29.82004972029981</v>
      </c>
      <c r="FH42" s="22">
        <f t="shared" si="22"/>
        <v>247.1391527261886</v>
      </c>
      <c r="FI42" s="62">
        <f t="shared" si="23"/>
        <v>540.47248605952188</v>
      </c>
      <c r="FJ42" s="62">
        <f ca="1">AVERAGE(OFFSET($FI$3,0,0,'Données projet'!$E$16+1,1))-AVERAGE(OFFSET($H$3,0,0,'Données projet'!$E$16+1,1))</f>
        <v>330.53726676433649</v>
      </c>
      <c r="FK42" s="62">
        <f t="shared" si="48"/>
        <v>228.01260676706528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3.1761666666666666</v>
      </c>
      <c r="FZ42" s="13">
        <f>IF('Données projet'!$A$244&gt;35,FZ41+FY42-GH41,IF(A42&lt;'Données projet'!$A$244,$FW$205^A42,IF(A42='Données projet'!$A$244,'Données projet'!$B$244,FZ41+FY42-GH41)))</f>
        <v>123.87049999999988</v>
      </c>
      <c r="GA42" s="18">
        <f>FZ42*VLOOKUP('Données projet'!$B$17,Paramètres!$A$1:$I$89,3,0)*VLOOKUP('Données projet'!$B$17,Paramètres!$A$1:$I$89,5,0)</f>
        <v>141.06372539999987</v>
      </c>
      <c r="GB42" s="14">
        <f t="shared" si="49"/>
        <v>36.540582591558803</v>
      </c>
      <c r="GC42" s="22">
        <f t="shared" si="25"/>
        <v>309.32750308529802</v>
      </c>
      <c r="GD42" s="62">
        <f t="shared" si="26"/>
        <v>602.66083641863133</v>
      </c>
      <c r="GE42" s="62">
        <f ca="1">AVERAGE(OFFSET($GD$3,0,0,'Données projet'!$E$17+1,1))-AVERAGE(OFFSET($H$3,0,0,'Données projet'!$E$17+1,1))</f>
        <v>405.71017054131318</v>
      </c>
      <c r="GF42" s="62">
        <f t="shared" si="50"/>
        <v>276.12900965322166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3.1761666666666666</v>
      </c>
      <c r="GU42" s="13">
        <f>IF('Données projet'!$A$270&gt;35,GU41+GT42-HC41,IF(A42&lt;'Données projet'!$A$270,$GR$205^A42,IF(A42='Données projet'!$A$270,'Données projet'!$B$270,GU41+GT42-HC41)))</f>
        <v>123.87049999999988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3.887142857142857</v>
      </c>
      <c r="N43" s="14">
        <f>IF('Données projet'!$A$36&gt;35,N42+M43-V42,IF(A43&lt;'Données projet'!$A$36,$K$205^A43,IF(A43='Données projet'!$A$36,'Données projet'!$B$36,N42+M43-V42)))</f>
        <v>155.48571428571438</v>
      </c>
      <c r="O43" s="14">
        <f>N43*VLOOKUP('Données projet'!$B$9,Paramètres!$A$1:$I$89,3,0)*VLOOKUP('Données projet'!$B$9,Paramètres!$A$1:$I$89,5,0)</f>
        <v>140.68347428571437</v>
      </c>
      <c r="P43" s="14">
        <f t="shared" si="33"/>
        <v>36.453535449340755</v>
      </c>
      <c r="Q43" s="22">
        <f t="shared" si="53"/>
        <v>308.51362528855435</v>
      </c>
      <c r="R43" s="62">
        <f t="shared" si="0"/>
        <v>601.84695862188767</v>
      </c>
      <c r="S43" s="62">
        <f ca="1">AVERAGE(OFFSET($R$3,0,0,'Données projet'!$E$9+1,1))-AVERAGE(OFFSET($H$3,0,0,'Données projet'!$E$9+1,1))</f>
        <v>452.54136967045082</v>
      </c>
      <c r="T43" s="62">
        <f t="shared" si="34"/>
        <v>269.67340993773422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16.701250000000002</v>
      </c>
      <c r="AI43" s="14">
        <f>IF('Données projet'!$A$62&gt;35,AI42+AH43-AQ42,IF(A43&lt;'Données projet'!$A$62,$AF$205^A43,IF(A43='Données projet'!$A$62,'Données projet'!$B$62,AI42+AH43-AQ42)))</f>
        <v>283.83875000000012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3.887142857142857</v>
      </c>
      <c r="BD43" s="13">
        <f>IF('Données projet'!$A$88&gt;35,BD42+BC43-BL42,IF(A43&lt;'Données projet'!$A$88,$BA$205^A43,IF(A43='Données projet'!$A$88,'Données projet'!$B$88,BD42+BC43-BL42)))</f>
        <v>155.48571428571438</v>
      </c>
      <c r="BE43" s="14">
        <f>BD43*VLOOKUP('Données projet'!$B$11,Paramètres!$A$1:$I$89,3,0)*VLOOKUP('Données projet'!$B$11,Paramètres!$A$1:$I$89,5,0)</f>
        <v>157.66251428571439</v>
      </c>
      <c r="BF43" s="14">
        <f t="shared" si="37"/>
        <v>40.314838243237894</v>
      </c>
      <c r="BG43" s="22">
        <f t="shared" si="7"/>
        <v>344.81055565459184</v>
      </c>
      <c r="BH43" s="62">
        <f t="shared" si="8"/>
        <v>638.14388898792515</v>
      </c>
      <c r="BI43" s="62">
        <f ca="1">AVERAGE(OFFSET($BH$3,0,0,'Données projet'!$E$11+1,1))-AVERAGE(OFFSET($H$3,0,0,'Données projet'!$E$11+1,1))</f>
        <v>502.06005292569733</v>
      </c>
      <c r="BJ43" s="62">
        <f t="shared" si="38"/>
        <v>297.06786598620607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96.15</v>
      </c>
      <c r="BW43" s="13">
        <f>VLOOKUP(A43,'Données projet'!$A$113:$I$133,9,0)</f>
        <v>4.7440000000000024</v>
      </c>
      <c r="BX43" s="13">
        <f t="array" ref="BX43">INDEX(BW:BW,MIN(IF(ISNUMBER(BW43:BW239),ROW(BW43:BW239),"")))</f>
        <v>4.7440000000000024</v>
      </c>
      <c r="BY43" s="13">
        <f>IF('Données projet'!$A$114&gt;35,BY42+BX43-CG42,IF(A43&lt;'Données projet'!$A$114,$BV$205^A43,IF(A43='Données projet'!$A$114,'Données projet'!$B$114,BY42+BX43-CG42)))</f>
        <v>96.149999999999991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14.74</v>
      </c>
      <c r="CH43" s="17" t="e">
        <f>IF(ISNA(VLOOKUP(A43,'Données projet'!$A$113:$I$133,5,0)),0%,VLOOKUP(A43,'Données projet'!$A$113:$I$133,5,0)*VLOOKUP('Données projet'!$B$12,Paramètres!$A$1:$I$89,7,0))</f>
        <v>#N/A</v>
      </c>
      <c r="CI43" s="17" t="e">
        <f>IF(ISNA(VLOOKUP(A43,'Données projet'!$A$113:$I$133,6,0)),0%,VLOOKUP(A43,'Données projet'!$A$113:$I$133,6,0)*VLOOKUP('Données projet'!$B$12,Paramètres!$A$1:$I$89,7,0))</f>
        <v>#N/A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149.36000000000001</v>
      </c>
      <c r="CR43" s="13">
        <f>VLOOKUP(A43,'Données projet'!$A$139:$I$159,9,0)</f>
        <v>3.078000000000003</v>
      </c>
      <c r="CS43" s="13">
        <f t="array" ref="CS43">INDEX(CR:CR,MIN(IF(ISNUMBER(CR43:CR239),ROW(CR43:CR239),"")))</f>
        <v>3.078000000000003</v>
      </c>
      <c r="CT43" s="13">
        <f>IF('Données projet'!$A$140&gt;35,CT42+CS43-DB42,IF(A43&lt;'Données projet'!$A$140,$CQ$205^A43,IF(A43='Données projet'!$A$140,'Données projet'!$B$140,CT42+CS43-DB42)))</f>
        <v>149.35999999999999</v>
      </c>
      <c r="CU43" s="18">
        <f>CT43*VLOOKUP('Données projet'!$B$13,Paramètres!$A$1:$I$89,3,0)*VLOOKUP('Données projet'!$B$13,Paramètres!$A$1:$I$89,5,0)</f>
        <v>135.14092799999997</v>
      </c>
      <c r="CV43" s="14">
        <f t="shared" si="41"/>
        <v>35.181582208924432</v>
      </c>
      <c r="CW43" s="22">
        <f t="shared" si="13"/>
        <v>296.64503861387669</v>
      </c>
      <c r="CX43" s="62">
        <f t="shared" si="14"/>
        <v>589.97837194721001</v>
      </c>
      <c r="CY43" s="62">
        <f ca="1">AVERAGE(OFFSET($CX$3,0,0,'Données projet'!$E$13+1,1))-AVERAGE(OFFSET($H$3,0,0,'Données projet'!$E$13+1,1))</f>
        <v>204.787338911576</v>
      </c>
      <c r="CZ43" s="62">
        <f t="shared" si="42"/>
        <v>287.24932051638558</v>
      </c>
      <c r="DA43" s="16">
        <f>IF(ISNA(VLOOKUP(A43,'Données projet'!$A$139:$I$159,3,0)),0,VLOOKUP(A43,'Données projet'!$A$139:$I$159,3,0))</f>
        <v>8</v>
      </c>
      <c r="DB43" s="16">
        <f>IF(ISNA(VLOOKUP(A43,'Données projet'!$A$139:$I$159,4,0)),0,VLOOKUP(A43,'Données projet'!$A$139:$I$159,4,0))</f>
        <v>3.85</v>
      </c>
      <c r="DC43" s="17">
        <f>IF(ISNA(VLOOKUP(A43,'Données projet'!$A$139:$I$159,5,0)),0%,VLOOKUP(A43,'Données projet'!$A$139:$I$159,5,0)*VLOOKUP('Données projet'!$B$13,Paramètres!$A$1:$I$89,7,0))</f>
        <v>0.15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0.94371956043763094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0.94371956043763094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53</v>
      </c>
      <c r="DM43" s="13">
        <f>VLOOKUP(A43,'Données projet'!$A$165:$I$185,9,0)</f>
        <v>1.325</v>
      </c>
      <c r="DN43" s="13">
        <f t="array" ref="DN43">INDEX(DM:DM,MIN(IF(ISNUMBER(DM43:DM239),ROW(DM43:DM239),"")))</f>
        <v>1.325</v>
      </c>
      <c r="DO43" s="13">
        <f>IF('Données projet'!$A$166&gt;35,DO42+DN43-DW42,IF(A43&lt;'Données projet'!$A$166,$DL$205^A43,IF(A43='Données projet'!$A$166,'Données projet'!$B$166,DO42+DN43-DW42)))</f>
        <v>53.000000000000036</v>
      </c>
      <c r="DP43" s="18">
        <f>DO43*VLOOKUP('Données projet'!$B$14,Paramètres!$A$1:$I$89,3,0)*VLOOKUP('Données projet'!$B$14,Paramètres!$A$1:$I$89,5,0)</f>
        <v>50.434800000000031</v>
      </c>
      <c r="DQ43" s="14">
        <f t="shared" si="43"/>
        <v>14.725992012313528</v>
      </c>
      <c r="DR43" s="22">
        <f t="shared" si="16"/>
        <v>113.48837942144611</v>
      </c>
      <c r="DS43" s="62">
        <f t="shared" si="17"/>
        <v>406.82171275477941</v>
      </c>
      <c r="DT43" s="62">
        <f ca="1">AVERAGE(OFFSET($DS$3,0,0,'Données projet'!$E$14+1,1))-AVERAGE(OFFSET($H$3,0,0,'Données projet'!$E$14+1,1))</f>
        <v>309.55876703480277</v>
      </c>
      <c r="DU43" s="62">
        <f t="shared" si="44"/>
        <v>122.43799205838684</v>
      </c>
      <c r="DV43" s="16">
        <f>IF(ISNA(VLOOKUP(A43,'Données projet'!$A$165:$I$185,3,0)),0,VLOOKUP(A43,'Données projet'!$A$165:$I$185,3,0))</f>
        <v>1</v>
      </c>
      <c r="DW43" s="16">
        <f>IF(ISNA(VLOOKUP(A43,'Données projet'!$A$165:$I$185,4,0)),0,VLOOKUP(A43,'Données projet'!$A$165:$I$185,4,0))</f>
        <v>6</v>
      </c>
      <c r="DX43" s="17">
        <f>IF(ISNA(VLOOKUP(A43,'Données projet'!$A$165:$I$185,5,0)),0%,VLOOKUP(A43,'Données projet'!$A$165:$I$185,5,0)*VLOOKUP('Données projet'!$B$14,Paramètres!$A$1:$I$89,7,0))</f>
        <v>8.6000000000000007E-2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0.54281425639239467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0.54281425639239467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236.24</v>
      </c>
      <c r="EH43" s="13">
        <f>VLOOKUP(A43,'Données projet'!$A$191:$I$211,9,0)</f>
        <v>12.236000000000001</v>
      </c>
      <c r="EI43" s="13">
        <f t="array" ref="EI43">INDEX(EH:EH,MIN(IF(ISNUMBER(EH43:EH239),ROW(EH43:EH239),"")))</f>
        <v>12.236000000000001</v>
      </c>
      <c r="EJ43" s="13">
        <f>IF('Données projet'!$A$192&gt;35,EJ42+EI43-ER42,IF(A43&lt;'Données projet'!$A$192,$EG$205^A43,IF(A43='Données projet'!$A$192,'Données projet'!$B$192,EJ42+EI43-ER42)))</f>
        <v>236.23999999999995</v>
      </c>
      <c r="EK43" s="18">
        <f>EJ43*VLOOKUP('Données projet'!$B$15,Paramètres!$A$1:$I$89,3,0)*VLOOKUP('Données projet'!$B$15,Paramètres!$A$1:$I$89,5,0)</f>
        <v>110.56031999999998</v>
      </c>
      <c r="EL43" s="14">
        <f t="shared" si="45"/>
        <v>29.462961271460717</v>
      </c>
      <c r="EM43" s="22">
        <f t="shared" si="19"/>
        <v>243.87388154779401</v>
      </c>
      <c r="EN43" s="62">
        <f t="shared" si="20"/>
        <v>537.20721488112736</v>
      </c>
      <c r="EO43" s="62">
        <f ca="1">AVERAGE(OFFSET($EN$3,0,0,'Données projet'!$E$15+1,1))-AVERAGE(OFFSET($H$3,0,0,'Données projet'!$E$15+1,1))</f>
        <v>301.04834785168049</v>
      </c>
      <c r="EP43" s="62">
        <f t="shared" si="46"/>
        <v>164.1450425611464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3.1761666666666666</v>
      </c>
      <c r="FE43" s="13">
        <f>IF('Données projet'!$A$218&gt;35,FE42+FD43-FM42,IF(A43&lt;'Données projet'!$A$218,$FB$205^A43,IF(A43='Données projet'!$A$218,'Données projet'!$B$218,FE42+FD43-FM42)))</f>
        <v>127.04666666666654</v>
      </c>
      <c r="FF43" s="18">
        <f>FE43*VLOOKUP('Données projet'!$B$16,Paramètres!$A$1:$I$89,3,0)*VLOOKUP('Données projet'!$B$16,Paramètres!$A$1:$I$89,5,0)</f>
        <v>114.95182399999987</v>
      </c>
      <c r="FG43" s="14">
        <f t="shared" si="47"/>
        <v>30.494666266653788</v>
      </c>
      <c r="FH43" s="22">
        <f t="shared" si="22"/>
        <v>253.31930388108844</v>
      </c>
      <c r="FI43" s="62">
        <f t="shared" si="23"/>
        <v>546.6526372144217</v>
      </c>
      <c r="FJ43" s="62">
        <f ca="1">AVERAGE(OFFSET($FI$3,0,0,'Données projet'!$E$16+1,1))-AVERAGE(OFFSET($H$3,0,0,'Données projet'!$E$16+1,1))</f>
        <v>330.53726676433649</v>
      </c>
      <c r="FK43" s="62">
        <f t="shared" si="48"/>
        <v>228.01260676706528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3.1761666666666666</v>
      </c>
      <c r="FZ43" s="13">
        <f>IF('Données projet'!$A$244&gt;35,FZ42+FY43-GH42,IF(A43&lt;'Données projet'!$A$244,$FW$205^A43,IF(A43='Données projet'!$A$244,'Données projet'!$B$244,FZ42+FY43-GH42)))</f>
        <v>127.04666666666654</v>
      </c>
      <c r="GA43" s="18">
        <f>FZ43*VLOOKUP('Données projet'!$B$17,Paramètres!$A$1:$I$89,3,0)*VLOOKUP('Données projet'!$B$17,Paramètres!$A$1:$I$89,5,0)</f>
        <v>144.68074399999986</v>
      </c>
      <c r="GB43" s="14">
        <f t="shared" si="49"/>
        <v>37.36723720350259</v>
      </c>
      <c r="GC43" s="22">
        <f t="shared" si="25"/>
        <v>317.06690059610008</v>
      </c>
      <c r="GD43" s="62">
        <f t="shared" si="26"/>
        <v>610.4002339294334</v>
      </c>
      <c r="GE43" s="62">
        <f ca="1">AVERAGE(OFFSET($GD$3,0,0,'Données projet'!$E$17+1,1))-AVERAGE(OFFSET($H$3,0,0,'Données projet'!$E$17+1,1))</f>
        <v>405.71017054131318</v>
      </c>
      <c r="GF43" s="62">
        <f t="shared" si="50"/>
        <v>276.12900965322166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3.1761666666666666</v>
      </c>
      <c r="GU43" s="13">
        <f>IF('Données projet'!$A$270&gt;35,GU42+GT43-HC42,IF(A43&lt;'Données projet'!$A$270,$GR$205^A43,IF(A43='Données projet'!$A$270,'Données projet'!$B$270,GU42+GT43-HC42)))</f>
        <v>127.04666666666654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3.887142857142857</v>
      </c>
      <c r="N44" s="14">
        <f>IF('Données projet'!$A$36&gt;35,N43+M44-V43,IF(A44&lt;'Données projet'!$A$36,$K$205^A44,IF(A44='Données projet'!$A$36,'Données projet'!$B$36,N43+M44-V43)))</f>
        <v>159.37285714285724</v>
      </c>
      <c r="O44" s="14">
        <f>N44*VLOOKUP('Données projet'!$B$9,Paramètres!$A$1:$I$89,3,0)*VLOOKUP('Données projet'!$B$9,Paramètres!$A$1:$I$89,5,0)</f>
        <v>144.20056114285723</v>
      </c>
      <c r="P44" s="14">
        <f t="shared" si="33"/>
        <v>37.257633154444321</v>
      </c>
      <c r="Q44" s="22">
        <f t="shared" si="53"/>
        <v>316.03968840113345</v>
      </c>
      <c r="R44" s="62">
        <f t="shared" si="0"/>
        <v>609.37302173446676</v>
      </c>
      <c r="S44" s="62">
        <f ca="1">AVERAGE(OFFSET($R$3,0,0,'Données projet'!$E$9+1,1))-AVERAGE(OFFSET($H$3,0,0,'Données projet'!$E$9+1,1))</f>
        <v>452.54136967045082</v>
      </c>
      <c r="T44" s="62">
        <f t="shared" si="34"/>
        <v>269.67340993773422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300.54000000000002</v>
      </c>
      <c r="AG44" s="13">
        <f>VLOOKUP(A44,'Données projet'!$A$61:$I$81,9,0)</f>
        <v>16.701250000000002</v>
      </c>
      <c r="AH44" s="13">
        <f t="array" ref="AH44">INDEX(AG:AG,MIN(IF(ISNUMBER(AG44:AG240),ROW(AG44:AG240),"")))</f>
        <v>16.701250000000002</v>
      </c>
      <c r="AI44" s="14">
        <f>IF('Données projet'!$A$62&gt;35,AI43+AH44-AQ43,IF(A44&lt;'Données projet'!$A$62,$AF$205^A44,IF(A44='Données projet'!$A$62,'Données projet'!$B$62,AI43+AH44-AQ43)))</f>
        <v>300.54000000000013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72.13</v>
      </c>
      <c r="AR44" s="17" t="e">
        <f>IF(ISNA(VLOOKUP(A44,'Données projet'!$A$61:$I$81,5,0)),0%,VLOOKUP(A44,'Données projet'!$A$61:$I$81,5,0)*VLOOKUP('Données projet'!$B$10,Paramètres!$A$1:$I$89,7,0))</f>
        <v>#N/A</v>
      </c>
      <c r="AS44" s="17" t="e">
        <f>IF(ISNA(VLOOKUP(A44,'Données projet'!$A$61:$I$81,6,0)),0%,VLOOKUP(A44,'Données projet'!$A$61:$I$81,6,0)*VLOOKUP('Données projet'!$B$10,Paramètres!$A$1:$I$89,7,0))</f>
        <v>#N/A</v>
      </c>
      <c r="AT44" s="17">
        <f>IF(ISNA(VLOOKUP(A44,'Données projet'!$A$61:$I$81,7,0)),0%,VLOOKUP(A44,'Données projet'!$A$61:$I$81,7,0))</f>
        <v>0.26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3.887142857142857</v>
      </c>
      <c r="BD44" s="13">
        <f>IF('Données projet'!$A$88&gt;35,BD43+BC44-BL43,IF(A44&lt;'Données projet'!$A$88,$BA$205^A44,IF(A44='Données projet'!$A$88,'Données projet'!$B$88,BD43+BC44-BL43)))</f>
        <v>159.37285714285724</v>
      </c>
      <c r="BE44" s="14">
        <f>BD44*VLOOKUP('Données projet'!$B$11,Paramètres!$A$1:$I$89,3,0)*VLOOKUP('Données projet'!$B$11,Paramètres!$A$1:$I$89,5,0)</f>
        <v>161.60407714285725</v>
      </c>
      <c r="BF44" s="14">
        <f t="shared" si="37"/>
        <v>41.204109160679089</v>
      </c>
      <c r="BG44" s="22">
        <f t="shared" si="7"/>
        <v>353.2242578119924</v>
      </c>
      <c r="BH44" s="62">
        <f t="shared" si="8"/>
        <v>646.55759114532566</v>
      </c>
      <c r="BI44" s="62">
        <f ca="1">AVERAGE(OFFSET($BH$3,0,0,'Données projet'!$E$11+1,1))-AVERAGE(OFFSET($H$3,0,0,'Données projet'!$E$11+1,1))</f>
        <v>502.06005292569733</v>
      </c>
      <c r="BJ44" s="62">
        <f t="shared" si="38"/>
        <v>297.06786598620607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4.1019999999999985</v>
      </c>
      <c r="BY44" s="13">
        <f>IF('Données projet'!$A$114&gt;35,BY43+BX44-CG43,IF(A44&lt;'Données projet'!$A$114,$BV$205^A44,IF(A44='Données projet'!$A$114,'Données projet'!$B$114,BY43+BX44-CG43)))</f>
        <v>85.512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3.2059999999999946</v>
      </c>
      <c r="CT44" s="13">
        <f>IF('Données projet'!$A$140&gt;35,CT43+CS44-DB43,IF(A44&lt;'Données projet'!$A$140,$CQ$205^A44,IF(A44='Données projet'!$A$140,'Données projet'!$B$140,CT43+CS44-DB43)))</f>
        <v>148.71599999999998</v>
      </c>
      <c r="CU44" s="18">
        <f>CT44*VLOOKUP('Données projet'!$B$13,Paramètres!$A$1:$I$89,3,0)*VLOOKUP('Données projet'!$B$13,Paramètres!$A$1:$I$89,5,0)</f>
        <v>134.55823679999997</v>
      </c>
      <c r="CV44" s="14">
        <f t="shared" si="41"/>
        <v>35.0475121559044</v>
      </c>
      <c r="CW44" s="22">
        <f t="shared" si="13"/>
        <v>295.39667943153341</v>
      </c>
      <c r="CX44" s="62">
        <f t="shared" si="14"/>
        <v>588.73001276486673</v>
      </c>
      <c r="CY44" s="62">
        <f ca="1">AVERAGE(OFFSET($CX$3,0,0,'Données projet'!$E$13+1,1))-AVERAGE(OFFSET($H$3,0,0,'Données projet'!$E$13+1,1))</f>
        <v>204.787338911576</v>
      </c>
      <c r="CZ44" s="62">
        <f t="shared" si="42"/>
        <v>287.24932051638558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0.92521379546954385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0.92521379546954385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9.6</v>
      </c>
      <c r="DO44" s="13">
        <f>IF('Données projet'!$A$166&gt;35,DO43+DN44-DW43,IF(A44&lt;'Données projet'!$A$166,$DL$205^A44,IF(A44='Données projet'!$A$166,'Données projet'!$B$166,DO43+DN44-DW43)))</f>
        <v>56.600000000000037</v>
      </c>
      <c r="DP44" s="18">
        <f>DO44*VLOOKUP('Données projet'!$B$14,Paramètres!$A$1:$I$89,3,0)*VLOOKUP('Données projet'!$B$14,Paramètres!$A$1:$I$89,5,0)</f>
        <v>53.860560000000042</v>
      </c>
      <c r="DQ44" s="14">
        <f t="shared" si="43"/>
        <v>15.606409590264832</v>
      </c>
      <c r="DR44" s="22">
        <f t="shared" si="16"/>
        <v>120.98830536971133</v>
      </c>
      <c r="DS44" s="62">
        <f t="shared" si="17"/>
        <v>414.32163870304464</v>
      </c>
      <c r="DT44" s="62">
        <f ca="1">AVERAGE(OFFSET($DS$3,0,0,'Données projet'!$E$14+1,1))-AVERAGE(OFFSET($H$3,0,0,'Données projet'!$E$14+1,1))</f>
        <v>309.55876703480277</v>
      </c>
      <c r="DU44" s="62">
        <f t="shared" si="44"/>
        <v>122.43799205838684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0.53216999990854441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0.53216999990854441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13.453999999999997</v>
      </c>
      <c r="EJ44" s="13">
        <f>IF('Données projet'!$A$192&gt;35,EJ43+EI44-ER43,IF(A44&lt;'Données projet'!$A$192,$EG$205^A44,IF(A44='Données projet'!$A$192,'Données projet'!$B$192,EJ43+EI44-ER43)))</f>
        <v>249.69399999999996</v>
      </c>
      <c r="EK44" s="18">
        <f>EJ44*VLOOKUP('Données projet'!$B$15,Paramètres!$A$1:$I$89,3,0)*VLOOKUP('Données projet'!$B$15,Paramètres!$A$1:$I$89,5,0)</f>
        <v>116.85679199999997</v>
      </c>
      <c r="EL44" s="14">
        <f t="shared" si="45"/>
        <v>30.94076901730454</v>
      </c>
      <c r="EM44" s="22">
        <f t="shared" si="19"/>
        <v>257.414085438472</v>
      </c>
      <c r="EN44" s="62">
        <f t="shared" si="20"/>
        <v>550.74741877180531</v>
      </c>
      <c r="EO44" s="62">
        <f ca="1">AVERAGE(OFFSET($EN$3,0,0,'Données projet'!$E$15+1,1))-AVERAGE(OFFSET($H$3,0,0,'Données projet'!$E$15+1,1))</f>
        <v>301.04834785168049</v>
      </c>
      <c r="EP44" s="62">
        <f t="shared" si="46"/>
        <v>164.1450425611464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3.1761666666666666</v>
      </c>
      <c r="FE44" s="13">
        <f>IF('Données projet'!$A$218&gt;35,FE43+FD44-FM43,IF(A44&lt;'Données projet'!$A$218,$FB$205^A44,IF(A44='Données projet'!$A$218,'Données projet'!$B$218,FE43+FD44-FM43)))</f>
        <v>130.2228333333332</v>
      </c>
      <c r="FF44" s="18">
        <f>FE44*VLOOKUP('Données projet'!$B$16,Paramètres!$A$1:$I$89,3,0)*VLOOKUP('Données projet'!$B$16,Paramètres!$A$1:$I$89,5,0)</f>
        <v>117.82561959999988</v>
      </c>
      <c r="FG44" s="14">
        <f t="shared" si="47"/>
        <v>31.167322316627093</v>
      </c>
      <c r="FH44" s="22">
        <f t="shared" si="22"/>
        <v>259.49604050479201</v>
      </c>
      <c r="FI44" s="62">
        <f t="shared" si="23"/>
        <v>552.82937383812532</v>
      </c>
      <c r="FJ44" s="62">
        <f ca="1">AVERAGE(OFFSET($FI$3,0,0,'Données projet'!$E$16+1,1))-AVERAGE(OFFSET($H$3,0,0,'Données projet'!$E$16+1,1))</f>
        <v>330.53726676433649</v>
      </c>
      <c r="FK44" s="62">
        <f t="shared" si="48"/>
        <v>228.01260676706528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3.1761666666666666</v>
      </c>
      <c r="FZ44" s="13">
        <f>IF('Données projet'!$A$244&gt;35,FZ43+FY44-GH43,IF(A44&lt;'Données projet'!$A$244,$FW$205^A44,IF(A44='Données projet'!$A$244,'Données projet'!$B$244,FZ43+FY44-GH43)))</f>
        <v>130.2228333333332</v>
      </c>
      <c r="GA44" s="18">
        <f>FZ44*VLOOKUP('Données projet'!$B$17,Paramètres!$A$1:$I$89,3,0)*VLOOKUP('Données projet'!$B$17,Paramètres!$A$1:$I$89,5,0)</f>
        <v>148.29776259999986</v>
      </c>
      <c r="GB44" s="14">
        <f t="shared" si="49"/>
        <v>38.191489482767871</v>
      </c>
      <c r="GC44" s="22">
        <f t="shared" si="25"/>
        <v>324.80211404415377</v>
      </c>
      <c r="GD44" s="62">
        <f t="shared" si="26"/>
        <v>618.13544737748703</v>
      </c>
      <c r="GE44" s="62">
        <f ca="1">AVERAGE(OFFSET($GD$3,0,0,'Données projet'!$E$17+1,1))-AVERAGE(OFFSET($H$3,0,0,'Données projet'!$E$17+1,1))</f>
        <v>405.71017054131318</v>
      </c>
      <c r="GF44" s="62">
        <f t="shared" si="50"/>
        <v>276.12900965322166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3.1761666666666666</v>
      </c>
      <c r="GU44" s="13">
        <f>IF('Données projet'!$A$270&gt;35,GU43+GT44-HC43,IF(A44&lt;'Données projet'!$A$270,$GR$205^A44,IF(A44='Données projet'!$A$270,'Données projet'!$B$270,GU43+GT44-HC43)))</f>
        <v>130.2228333333332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163.26</v>
      </c>
      <c r="L45" s="13">
        <f>VLOOKUP(A45,'Données projet'!$A$35:$I$55,9,0)</f>
        <v>3.887142857142857</v>
      </c>
      <c r="M45" s="13">
        <f t="array" ref="M45">INDEX(L:L,MIN(IF(ISNUMBER(L45:L241),ROW(L45:L241),"")))</f>
        <v>3.887142857142857</v>
      </c>
      <c r="N45" s="14">
        <f>IF('Données projet'!$A$36&gt;35,N44+M45-V44,IF(A45&lt;'Données projet'!$A$36,$K$205^A45,IF(A45='Données projet'!$A$36,'Données projet'!$B$36,N44+M45-V44)))</f>
        <v>163.2600000000001</v>
      </c>
      <c r="O45" s="14">
        <f>N45*VLOOKUP('Données projet'!$B$9,Paramètres!$A$1:$I$89,3,0)*VLOOKUP('Données projet'!$B$9,Paramètres!$A$1:$I$89,5,0)</f>
        <v>147.71764800000008</v>
      </c>
      <c r="P45" s="14">
        <f t="shared" si="33"/>
        <v>38.059451005131997</v>
      </c>
      <c r="Q45" s="22">
        <f t="shared" si="53"/>
        <v>323.56178076727167</v>
      </c>
      <c r="R45" s="62">
        <f t="shared" si="0"/>
        <v>616.89511410060504</v>
      </c>
      <c r="S45" s="62">
        <f ca="1">AVERAGE(OFFSET($R$3,0,0,'Données projet'!$E$9+1,1))-AVERAGE(OFFSET($H$3,0,0,'Données projet'!$E$9+1,1))</f>
        <v>452.54136967045082</v>
      </c>
      <c r="T45" s="62">
        <f t="shared" si="34"/>
        <v>269.67340993773422</v>
      </c>
      <c r="U45" s="16">
        <f>IF(ISNA(VLOOKUP(A45,'Données projet'!$A$35:$I$55,3,0)),0,VLOOKUP(A45,'Données projet'!$A$35:$I$55,3,0))</f>
        <v>1</v>
      </c>
      <c r="V45" s="16">
        <f>IF(ISNA(VLOOKUP(A45,'Données projet'!$A$35:$I$55,4,0)),0,VLOOKUP(A45,'Données projet'!$A$35:$I$55,4,0))</f>
        <v>43.21</v>
      </c>
      <c r="W45" s="17">
        <f>IF(ISNA(VLOOKUP(A45,'Données projet'!$A$35:$I$55,5,0)),0%,VLOOKUP(A45,'Données projet'!$A$35:$I$55,5,0)*VLOOKUP('Données projet'!$B$9,Paramètres!$A$1:$I$89,7,0))</f>
        <v>8.6000000000000007E-2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3.7169132051516152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3.7169132051516152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15.725555555555552</v>
      </c>
      <c r="AI45" s="14">
        <f>IF('Données projet'!$A$62&gt;35,AI44+AH45-AQ44,IF(A45&lt;'Données projet'!$A$62,$AF$205^A45,IF(A45='Données projet'!$A$62,'Données projet'!$B$62,AI44+AH45-AQ44)))</f>
        <v>244.1355555555557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163.26</v>
      </c>
      <c r="BB45" s="13">
        <f>VLOOKUP(A45,'Données projet'!$A$87:$I$107,9,0)</f>
        <v>3.887142857142857</v>
      </c>
      <c r="BC45" s="13">
        <f t="array" ref="BC45">INDEX(BB:BB,MIN(IF(ISNUMBER(BB45:BB241),ROW(BB45:BB241),"")))</f>
        <v>3.887142857142857</v>
      </c>
      <c r="BD45" s="13">
        <f>IF('Données projet'!$A$88&gt;35,BD44+BC45-BL44,IF(A45&lt;'Données projet'!$A$88,$BA$205^A45,IF(A45='Données projet'!$A$88,'Données projet'!$B$88,BD44+BC45-BL44)))</f>
        <v>163.2600000000001</v>
      </c>
      <c r="BE45" s="14">
        <f>BD45*VLOOKUP('Données projet'!$B$11,Paramètres!$A$1:$I$89,3,0)*VLOOKUP('Données projet'!$B$11,Paramètres!$A$1:$I$89,5,0)</f>
        <v>165.54564000000011</v>
      </c>
      <c r="BF45" s="14">
        <f t="shared" si="37"/>
        <v>42.090858732498674</v>
      </c>
      <c r="BG45" s="22">
        <f t="shared" si="7"/>
        <v>361.6335686257687</v>
      </c>
      <c r="BH45" s="62">
        <f t="shared" si="8"/>
        <v>654.96690195910196</v>
      </c>
      <c r="BI45" s="62">
        <f ca="1">AVERAGE(OFFSET($BH$3,0,0,'Données projet'!$E$11+1,1))-AVERAGE(OFFSET($H$3,0,0,'Données projet'!$E$11+1,1))</f>
        <v>502.06005292569733</v>
      </c>
      <c r="BJ45" s="62">
        <f t="shared" si="38"/>
        <v>297.06786598620607</v>
      </c>
      <c r="BK45" s="16">
        <f>IF(ISNA(VLOOKUP(A45,'Données projet'!$A$87:$I$107,3,0)),0,VLOOKUP(A45,'Données projet'!$A$87:$I$107,3,0))</f>
        <v>1</v>
      </c>
      <c r="BL45" s="16">
        <f>IF(ISNA(VLOOKUP(A45,'Données projet'!$A$87:$I$107,4,0)),0,VLOOKUP(A45,'Données projet'!$A$87:$I$107,4,0))</f>
        <v>43.21</v>
      </c>
      <c r="BM45" s="17">
        <f>IF(ISNA(VLOOKUP(A45,'Données projet'!$A$87:$I$107,5,0)),0%,VLOOKUP(A45,'Données projet'!$A$87:$I$107,5,0)*VLOOKUP('Données projet'!$B$11,Paramètres!$A$1:$I$89,7,0))</f>
        <v>8.6000000000000007E-2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4.1655061781871554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4.1655061781871554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4.1019999999999985</v>
      </c>
      <c r="BY45" s="13">
        <f>IF('Données projet'!$A$114&gt;35,BY44+BX45-CG44,IF(A45&lt;'Données projet'!$A$114,$BV$205^A45,IF(A45='Données projet'!$A$114,'Données projet'!$B$114,BY44+BX45-CG44)))</f>
        <v>89.614000000000004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3.2059999999999946</v>
      </c>
      <c r="CT45" s="13">
        <f>IF('Données projet'!$A$140&gt;35,CT44+CS45-DB44,IF(A45&lt;'Données projet'!$A$140,$CQ$205^A45,IF(A45='Données projet'!$A$140,'Données projet'!$B$140,CT44+CS45-DB44)))</f>
        <v>151.92199999999997</v>
      </c>
      <c r="CU45" s="18">
        <f>CT45*VLOOKUP('Données projet'!$B$13,Paramètres!$A$1:$I$89,3,0)*VLOOKUP('Données projet'!$B$13,Paramètres!$A$1:$I$89,5,0)</f>
        <v>137.45902559999996</v>
      </c>
      <c r="CV45" s="14">
        <f t="shared" si="41"/>
        <v>35.714284862997744</v>
      </c>
      <c r="CW45" s="22">
        <f t="shared" si="13"/>
        <v>301.61018238972099</v>
      </c>
      <c r="CX45" s="62">
        <f t="shared" si="14"/>
        <v>594.94351572305436</v>
      </c>
      <c r="CY45" s="62">
        <f ca="1">AVERAGE(OFFSET($CX$3,0,0,'Données projet'!$E$13+1,1))-AVERAGE(OFFSET($H$3,0,0,'Données projet'!$E$13+1,1))</f>
        <v>204.787338911576</v>
      </c>
      <c r="CZ45" s="62">
        <f t="shared" si="42"/>
        <v>287.24932051638558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0.90707091726507894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0.90707091726507894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9.6</v>
      </c>
      <c r="DO45" s="13">
        <f>IF('Données projet'!$A$166&gt;35,DO44+DN45-DW44,IF(A45&lt;'Données projet'!$A$166,$DL$205^A45,IF(A45='Données projet'!$A$166,'Données projet'!$B$166,DO44+DN45-DW44)))</f>
        <v>66.200000000000031</v>
      </c>
      <c r="DP45" s="18">
        <f>DO45*VLOOKUP('Données projet'!$B$14,Paramètres!$A$1:$I$89,3,0)*VLOOKUP('Données projet'!$B$14,Paramètres!$A$1:$I$89,5,0)</f>
        <v>62.995920000000034</v>
      </c>
      <c r="DQ45" s="14">
        <f t="shared" si="43"/>
        <v>17.923570220677</v>
      </c>
      <c r="DR45" s="22">
        <f t="shared" si="16"/>
        <v>140.93477880101247</v>
      </c>
      <c r="DS45" s="62">
        <f t="shared" si="17"/>
        <v>434.26811213434576</v>
      </c>
      <c r="DT45" s="62">
        <f ca="1">AVERAGE(OFFSET($DS$3,0,0,'Données projet'!$E$14+1,1))-AVERAGE(OFFSET($H$3,0,0,'Données projet'!$E$14+1,1))</f>
        <v>309.55876703480277</v>
      </c>
      <c r="DU45" s="62">
        <f t="shared" si="44"/>
        <v>122.43799205838684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0.52173447080198698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0.52173447080198698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13.453999999999997</v>
      </c>
      <c r="EJ45" s="13">
        <f>IF('Données projet'!$A$192&gt;35,EJ44+EI45-ER44,IF(A45&lt;'Données projet'!$A$192,$EG$205^A45,IF(A45='Données projet'!$A$192,'Données projet'!$B$192,EJ44+EI45-ER44)))</f>
        <v>263.14799999999997</v>
      </c>
      <c r="EK45" s="18">
        <f>EJ45*VLOOKUP('Données projet'!$B$15,Paramètres!$A$1:$I$89,3,0)*VLOOKUP('Données projet'!$B$15,Paramètres!$A$1:$I$89,5,0)</f>
        <v>123.15326399999998</v>
      </c>
      <c r="EL45" s="14">
        <f t="shared" si="45"/>
        <v>32.409332444170843</v>
      </c>
      <c r="EM45" s="22">
        <f t="shared" si="19"/>
        <v>270.93818880693084</v>
      </c>
      <c r="EN45" s="62">
        <f t="shared" si="20"/>
        <v>564.2715221402641</v>
      </c>
      <c r="EO45" s="62">
        <f ca="1">AVERAGE(OFFSET($EN$3,0,0,'Données projet'!$E$15+1,1))-AVERAGE(OFFSET($H$3,0,0,'Données projet'!$E$15+1,1))</f>
        <v>301.04834785168049</v>
      </c>
      <c r="EP45" s="62">
        <f t="shared" si="46"/>
        <v>164.1450425611464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3.1761666666666666</v>
      </c>
      <c r="FE45" s="13">
        <f>IF('Données projet'!$A$218&gt;35,FE44+FD45-FM44,IF(A45&lt;'Données projet'!$A$218,$FB$205^A45,IF(A45='Données projet'!$A$218,'Données projet'!$B$218,FE44+FD45-FM44)))</f>
        <v>133.39899999999986</v>
      </c>
      <c r="FF45" s="18">
        <f>FE45*VLOOKUP('Données projet'!$B$16,Paramètres!$A$1:$I$89,3,0)*VLOOKUP('Données projet'!$B$16,Paramètres!$A$1:$I$89,5,0)</f>
        <v>120.69941519999988</v>
      </c>
      <c r="FG45" s="14">
        <f t="shared" si="47"/>
        <v>31.838071188086897</v>
      </c>
      <c r="FH45" s="22">
        <f t="shared" si="22"/>
        <v>265.66945545925108</v>
      </c>
      <c r="FI45" s="62">
        <f t="shared" si="23"/>
        <v>559.0027887925844</v>
      </c>
      <c r="FJ45" s="62">
        <f ca="1">AVERAGE(OFFSET($FI$3,0,0,'Données projet'!$E$16+1,1))-AVERAGE(OFFSET($H$3,0,0,'Données projet'!$E$16+1,1))</f>
        <v>330.53726676433649</v>
      </c>
      <c r="FK45" s="62">
        <f t="shared" si="48"/>
        <v>228.01260676706528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3.1761666666666666</v>
      </c>
      <c r="FZ45" s="13">
        <f>IF('Données projet'!$A$244&gt;35,FZ44+FY45-GH44,IF(A45&lt;'Données projet'!$A$244,$FW$205^A45,IF(A45='Données projet'!$A$244,'Données projet'!$B$244,FZ44+FY45-GH44)))</f>
        <v>133.39899999999986</v>
      </c>
      <c r="GA45" s="18">
        <f>FZ45*VLOOKUP('Données projet'!$B$17,Paramètres!$A$1:$I$89,3,0)*VLOOKUP('Données projet'!$B$17,Paramètres!$A$1:$I$89,5,0)</f>
        <v>151.91478119999985</v>
      </c>
      <c r="GB45" s="14">
        <f t="shared" si="49"/>
        <v>39.013404763448541</v>
      </c>
      <c r="GC45" s="22">
        <f t="shared" si="25"/>
        <v>332.53325721967263</v>
      </c>
      <c r="GD45" s="62">
        <f t="shared" si="26"/>
        <v>625.86659055300595</v>
      </c>
      <c r="GE45" s="62">
        <f ca="1">AVERAGE(OFFSET($GD$3,0,0,'Données projet'!$E$17+1,1))-AVERAGE(OFFSET($H$3,0,0,'Données projet'!$E$17+1,1))</f>
        <v>405.71017054131318</v>
      </c>
      <c r="GF45" s="62">
        <f t="shared" si="50"/>
        <v>276.12900965322166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3.1761666666666666</v>
      </c>
      <c r="GU45" s="13">
        <f>IF('Données projet'!$A$270&gt;35,GU44+GT45-HC44,IF(A45&lt;'Données projet'!$A$270,$GR$205^A45,IF(A45='Données projet'!$A$270,'Données projet'!$B$270,GU44+GT45-HC44)))</f>
        <v>133.39899999999986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9.3712500000000034</v>
      </c>
      <c r="N46" s="14">
        <f>IF('Données projet'!$A$36&gt;35,N45+M46-V45,IF(A46&lt;'Données projet'!$A$36,$K$205^A46,IF(A46='Données projet'!$A$36,'Données projet'!$B$36,N45+M46-V45)))</f>
        <v>129.4212500000001</v>
      </c>
      <c r="O46" s="14">
        <f>N46*VLOOKUP('Données projet'!$B$9,Paramètres!$A$1:$I$89,3,0)*VLOOKUP('Données projet'!$B$9,Paramètres!$A$1:$I$89,5,0)</f>
        <v>117.10034700000008</v>
      </c>
      <c r="P46" s="14">
        <f t="shared" si="33"/>
        <v>30.997743089027207</v>
      </c>
      <c r="Q46" s="22">
        <f t="shared" si="53"/>
        <v>257.93750690505584</v>
      </c>
      <c r="R46" s="62">
        <f t="shared" si="0"/>
        <v>551.27084023838916</v>
      </c>
      <c r="S46" s="62">
        <f ca="1">AVERAGE(OFFSET($R$3,0,0,'Données projet'!$E$9+1,1))-AVERAGE(OFFSET($H$3,0,0,'Données projet'!$E$9+1,1))</f>
        <v>452.54136967045082</v>
      </c>
      <c r="T46" s="62">
        <f t="shared" si="34"/>
        <v>269.67340993773422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3.6440268042917903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3.6440268042917903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15.725555555555552</v>
      </c>
      <c r="AI46" s="14">
        <f>IF('Données projet'!$A$62&gt;35,AI45+AH46-AQ45,IF(A46&lt;'Données projet'!$A$62,$AF$205^A46,IF(A46='Données projet'!$A$62,'Données projet'!$B$62,AI45+AH46-AQ45)))</f>
        <v>259.86111111111126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9.3712500000000034</v>
      </c>
      <c r="BD46" s="13">
        <f>IF('Données projet'!$A$88&gt;35,BD45+BC46-BL45,IF(A46&lt;'Données projet'!$A$88,$BA$205^A46,IF(A46='Données projet'!$A$88,'Données projet'!$B$88,BD45+BC46-BL45)))</f>
        <v>129.4212500000001</v>
      </c>
      <c r="BE46" s="14">
        <f>BD46*VLOOKUP('Données projet'!$B$11,Paramètres!$A$1:$I$89,3,0)*VLOOKUP('Données projet'!$B$11,Paramètres!$A$1:$I$89,5,0)</f>
        <v>131.23314750000011</v>
      </c>
      <c r="BF46" s="14">
        <f t="shared" si="37"/>
        <v>34.281146756704409</v>
      </c>
      <c r="BG46" s="22">
        <f t="shared" si="7"/>
        <v>288.27072916376034</v>
      </c>
      <c r="BH46" s="62">
        <f t="shared" si="8"/>
        <v>581.60406249709365</v>
      </c>
      <c r="BI46" s="62">
        <f ca="1">AVERAGE(OFFSET($BH$3,0,0,'Données projet'!$E$11+1,1))-AVERAGE(OFFSET($H$3,0,0,'Données projet'!$E$11+1,1))</f>
        <v>502.06005292569733</v>
      </c>
      <c r="BJ46" s="62">
        <f t="shared" si="38"/>
        <v>297.06786598620607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4.0838231427408003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4.0838231427408003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4.1019999999999985</v>
      </c>
      <c r="BY46" s="13">
        <f>IF('Données projet'!$A$114&gt;35,BY45+BX46-CG45,IF(A46&lt;'Données projet'!$A$114,$BV$205^A46,IF(A46='Données projet'!$A$114,'Données projet'!$B$114,BY45+BX46-CG45)))</f>
        <v>93.716000000000008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3.2059999999999946</v>
      </c>
      <c r="CT46" s="13">
        <f>IF('Données projet'!$A$140&gt;35,CT45+CS46-DB45,IF(A46&lt;'Données projet'!$A$140,$CQ$205^A46,IF(A46='Données projet'!$A$140,'Données projet'!$B$140,CT45+CS46-DB45)))</f>
        <v>155.12799999999996</v>
      </c>
      <c r="CU46" s="18">
        <f>CT46*VLOOKUP('Données projet'!$B$13,Paramètres!$A$1:$I$89,3,0)*VLOOKUP('Données projet'!$B$13,Paramètres!$A$1:$I$89,5,0)</f>
        <v>140.35981439999995</v>
      </c>
      <c r="CV46" s="14">
        <f t="shared" si="41"/>
        <v>36.379421603501548</v>
      </c>
      <c r="CW46" s="22">
        <f t="shared" si="13"/>
        <v>307.82083603943175</v>
      </c>
      <c r="CX46" s="62">
        <f t="shared" si="14"/>
        <v>601.15416937276507</v>
      </c>
      <c r="CY46" s="62">
        <f ca="1">AVERAGE(OFFSET($CX$3,0,0,'Données projet'!$E$13+1,1))-AVERAGE(OFFSET($H$3,0,0,'Données projet'!$E$13+1,1))</f>
        <v>204.787338911576</v>
      </c>
      <c r="CZ46" s="62">
        <f t="shared" si="42"/>
        <v>287.24932051638558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0.88928380983614053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0.88928380983614053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9.6</v>
      </c>
      <c r="DO46" s="13">
        <f>IF('Données projet'!$A$166&gt;35,DO45+DN46-DW45,IF(A46&lt;'Données projet'!$A$166,$DL$205^A46,IF(A46='Données projet'!$A$166,'Données projet'!$B$166,DO45+DN46-DW45)))</f>
        <v>75.800000000000026</v>
      </c>
      <c r="DP46" s="18">
        <f>DO46*VLOOKUP('Données projet'!$B$14,Paramètres!$A$1:$I$89,3,0)*VLOOKUP('Données projet'!$B$14,Paramètres!$A$1:$I$89,5,0)</f>
        <v>72.131280000000018</v>
      </c>
      <c r="DQ46" s="14">
        <f t="shared" si="43"/>
        <v>20.201802095877213</v>
      </c>
      <c r="DR46" s="22">
        <f t="shared" si="16"/>
        <v>160.81345131698617</v>
      </c>
      <c r="DS46" s="62">
        <f t="shared" si="17"/>
        <v>454.14678465031949</v>
      </c>
      <c r="DT46" s="62">
        <f ca="1">AVERAGE(OFFSET($DS$3,0,0,'Données projet'!$E$14+1,1))-AVERAGE(OFFSET($H$3,0,0,'Données projet'!$E$14+1,1))</f>
        <v>309.55876703480277</v>
      </c>
      <c r="DU46" s="62">
        <f t="shared" si="44"/>
        <v>122.43799205838684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0.51150357605616492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0.51150357605616492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13.453999999999997</v>
      </c>
      <c r="EJ46" s="13">
        <f>IF('Données projet'!$A$192&gt;35,EJ45+EI46-ER45,IF(A46&lt;'Données projet'!$A$192,$EG$205^A46,IF(A46='Données projet'!$A$192,'Données projet'!$B$192,EJ45+EI46-ER45)))</f>
        <v>276.60199999999998</v>
      </c>
      <c r="EK46" s="18">
        <f>EJ46*VLOOKUP('Données projet'!$B$15,Paramètres!$A$1:$I$89,3,0)*VLOOKUP('Données projet'!$B$15,Paramètres!$A$1:$I$89,5,0)</f>
        <v>129.449736</v>
      </c>
      <c r="EL46" s="14">
        <f t="shared" si="45"/>
        <v>33.86917810541398</v>
      </c>
      <c r="EM46" s="22">
        <f t="shared" si="19"/>
        <v>284.447108733596</v>
      </c>
      <c r="EN46" s="62">
        <f t="shared" si="20"/>
        <v>577.78044206692925</v>
      </c>
      <c r="EO46" s="62">
        <f ca="1">AVERAGE(OFFSET($EN$3,0,0,'Données projet'!$E$15+1,1))-AVERAGE(OFFSET($H$3,0,0,'Données projet'!$E$15+1,1))</f>
        <v>301.04834785168049</v>
      </c>
      <c r="EP46" s="62">
        <f t="shared" si="46"/>
        <v>164.1450425611464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3.1761666666666666</v>
      </c>
      <c r="FE46" s="13">
        <f>IF('Données projet'!$A$218&gt;35,FE45+FD46-FM45,IF(A46&lt;'Données projet'!$A$218,$FB$205^A46,IF(A46='Données projet'!$A$218,'Données projet'!$B$218,FE45+FD46-FM45)))</f>
        <v>136.57516666666652</v>
      </c>
      <c r="FF46" s="18">
        <f>FE46*VLOOKUP('Données projet'!$B$16,Paramètres!$A$1:$I$89,3,0)*VLOOKUP('Données projet'!$B$16,Paramètres!$A$1:$I$89,5,0)</f>
        <v>123.57321079999986</v>
      </c>
      <c r="FG46" s="14">
        <f t="shared" si="47"/>
        <v>32.506963515143731</v>
      </c>
      <c r="FH46" s="22">
        <f t="shared" si="22"/>
        <v>271.83963693220841</v>
      </c>
      <c r="FI46" s="62">
        <f t="shared" si="23"/>
        <v>565.17297026554172</v>
      </c>
      <c r="FJ46" s="62">
        <f ca="1">AVERAGE(OFFSET($FI$3,0,0,'Données projet'!$E$16+1,1))-AVERAGE(OFFSET($H$3,0,0,'Données projet'!$E$16+1,1))</f>
        <v>330.53726676433649</v>
      </c>
      <c r="FK46" s="62">
        <f t="shared" si="48"/>
        <v>228.01260676706528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3.1761666666666666</v>
      </c>
      <c r="FZ46" s="13">
        <f>IF('Données projet'!$A$244&gt;35,FZ45+FY46-GH45,IF(A46&lt;'Données projet'!$A$244,$FW$205^A46,IF(A46='Données projet'!$A$244,'Données projet'!$B$244,FZ45+FY46-GH45)))</f>
        <v>136.57516666666652</v>
      </c>
      <c r="GA46" s="18">
        <f>FZ46*VLOOKUP('Données projet'!$B$17,Paramètres!$A$1:$I$89,3,0)*VLOOKUP('Données projet'!$B$17,Paramètres!$A$1:$I$89,5,0)</f>
        <v>155.53179979999982</v>
      </c>
      <c r="GB46" s="14">
        <f t="shared" si="49"/>
        <v>39.833045091044738</v>
      </c>
      <c r="GC46" s="22">
        <f t="shared" si="25"/>
        <v>340.26043818523596</v>
      </c>
      <c r="GD46" s="62">
        <f t="shared" si="26"/>
        <v>633.59377151856927</v>
      </c>
      <c r="GE46" s="62">
        <f ca="1">AVERAGE(OFFSET($GD$3,0,0,'Données projet'!$E$17+1,1))-AVERAGE(OFFSET($H$3,0,0,'Données projet'!$E$17+1,1))</f>
        <v>405.71017054131318</v>
      </c>
      <c r="GF46" s="62">
        <f t="shared" si="50"/>
        <v>276.12900965322166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3.1761666666666666</v>
      </c>
      <c r="GU46" s="13">
        <f>IF('Données projet'!$A$270&gt;35,GU45+GT46-HC45,IF(A46&lt;'Données projet'!$A$270,$GR$205^A46,IF(A46='Données projet'!$A$270,'Données projet'!$B$270,GU45+GT46-HC45)))</f>
        <v>136.57516666666652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9.3712500000000034</v>
      </c>
      <c r="N47" s="14">
        <f>IF('Données projet'!$A$36&gt;35,N46+M47-V46,IF(A47&lt;'Données projet'!$A$36,$K$205^A47,IF(A47='Données projet'!$A$36,'Données projet'!$B$36,N46+M47-V46)))</f>
        <v>138.7925000000001</v>
      </c>
      <c r="O47" s="14">
        <f>N47*VLOOKUP('Données projet'!$B$9,Paramètres!$A$1:$I$89,3,0)*VLOOKUP('Données projet'!$B$9,Paramètres!$A$1:$I$89,5,0)</f>
        <v>125.5794540000001</v>
      </c>
      <c r="P47" s="14">
        <f t="shared" si="33"/>
        <v>32.97285338000448</v>
      </c>
      <c r="Q47" s="22">
        <f t="shared" si="53"/>
        <v>276.14526868684135</v>
      </c>
      <c r="R47" s="62">
        <f t="shared" si="0"/>
        <v>569.47860202017466</v>
      </c>
      <c r="S47" s="62">
        <f ca="1">AVERAGE(OFFSET($R$3,0,0,'Données projet'!$E$9+1,1))-AVERAGE(OFFSET($H$3,0,0,'Données projet'!$E$9+1,1))</f>
        <v>452.54136967045082</v>
      </c>
      <c r="T47" s="62">
        <f t="shared" si="34"/>
        <v>269.67340993773422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3.5725696612965119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3.5725696612965119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15.725555555555552</v>
      </c>
      <c r="AI47" s="14">
        <f>IF('Données projet'!$A$62&gt;35,AI46+AH47-AQ46,IF(A47&lt;'Données projet'!$A$62,$AF$205^A47,IF(A47='Données projet'!$A$62,'Données projet'!$B$62,AI46+AH47-AQ46)))</f>
        <v>275.58666666666682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9.3712500000000034</v>
      </c>
      <c r="BD47" s="13">
        <f>IF('Données projet'!$A$88&gt;35,BD46+BC47-BL46,IF(A47&lt;'Données projet'!$A$88,$BA$205^A47,IF(A47='Données projet'!$A$88,'Données projet'!$B$88,BD46+BC47-BL46)))</f>
        <v>138.7925000000001</v>
      </c>
      <c r="BE47" s="14">
        <f>BD47*VLOOKUP('Données projet'!$B$11,Paramètres!$A$1:$I$89,3,0)*VLOOKUP('Données projet'!$B$11,Paramètres!$A$1:$I$89,5,0)</f>
        <v>140.7355950000001</v>
      </c>
      <c r="BF47" s="14">
        <f t="shared" si="37"/>
        <v>36.465468549139587</v>
      </c>
      <c r="BG47" s="22">
        <f t="shared" si="7"/>
        <v>308.62518568141826</v>
      </c>
      <c r="BH47" s="62">
        <f t="shared" si="8"/>
        <v>601.95851901475157</v>
      </c>
      <c r="BI47" s="62">
        <f ca="1">AVERAGE(OFFSET($BH$3,0,0,'Données projet'!$E$11+1,1))-AVERAGE(OFFSET($H$3,0,0,'Données projet'!$E$11+1,1))</f>
        <v>502.06005292569733</v>
      </c>
      <c r="BJ47" s="62">
        <f t="shared" si="38"/>
        <v>297.06786598620607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4.003741861797816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4.003741861797816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4.1019999999999985</v>
      </c>
      <c r="BY47" s="13">
        <f>IF('Données projet'!$A$114&gt;35,BY46+BX47-CG46,IF(A47&lt;'Données projet'!$A$114,$BV$205^A47,IF(A47='Données projet'!$A$114,'Données projet'!$B$114,BY46+BX47-CG46)))</f>
        <v>97.818000000000012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3.2059999999999946</v>
      </c>
      <c r="CT47" s="13">
        <f>IF('Données projet'!$A$140&gt;35,CT46+CS47-DB46,IF(A47&lt;'Données projet'!$A$140,$CQ$205^A47,IF(A47='Données projet'!$A$140,'Données projet'!$B$140,CT46+CS47-DB46)))</f>
        <v>158.33399999999995</v>
      </c>
      <c r="CU47" s="18">
        <f>CT47*VLOOKUP('Données projet'!$B$13,Paramètres!$A$1:$I$89,3,0)*VLOOKUP('Données projet'!$B$13,Paramètres!$A$1:$I$89,5,0)</f>
        <v>143.26060319999993</v>
      </c>
      <c r="CV47" s="14">
        <f t="shared" si="41"/>
        <v>37.04296008317889</v>
      </c>
      <c r="CW47" s="22">
        <f t="shared" si="13"/>
        <v>314.0287060515364</v>
      </c>
      <c r="CX47" s="62">
        <f t="shared" si="14"/>
        <v>607.36203938486972</v>
      </c>
      <c r="CY47" s="62">
        <f ca="1">AVERAGE(OFFSET($CX$3,0,0,'Données projet'!$E$13+1,1))-AVERAGE(OFFSET($H$3,0,0,'Données projet'!$E$13+1,1))</f>
        <v>204.787338911576</v>
      </c>
      <c r="CZ47" s="62">
        <f t="shared" si="42"/>
        <v>287.24932051638558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0.87184549673481937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0.87184549673481937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9.6</v>
      </c>
      <c r="DO47" s="13">
        <f>IF('Données projet'!$A$166&gt;35,DO46+DN47-DW46,IF(A47&lt;'Données projet'!$A$166,$DL$205^A47,IF(A47='Données projet'!$A$166,'Données projet'!$B$166,DO46+DN47-DW46)))</f>
        <v>85.40000000000002</v>
      </c>
      <c r="DP47" s="18">
        <f>DO47*VLOOKUP('Données projet'!$B$14,Paramètres!$A$1:$I$89,3,0)*VLOOKUP('Données projet'!$B$14,Paramètres!$A$1:$I$89,5,0)</f>
        <v>81.26664000000001</v>
      </c>
      <c r="DQ47" s="14">
        <f t="shared" si="43"/>
        <v>22.446600478464493</v>
      </c>
      <c r="DR47" s="22">
        <f t="shared" si="16"/>
        <v>180.63389383332569</v>
      </c>
      <c r="DS47" s="62">
        <f t="shared" si="17"/>
        <v>473.96722716665897</v>
      </c>
      <c r="DT47" s="62">
        <f ca="1">AVERAGE(OFFSET($DS$3,0,0,'Données projet'!$E$14+1,1))-AVERAGE(OFFSET($H$3,0,0,'Données projet'!$E$14+1,1))</f>
        <v>309.55876703480277</v>
      </c>
      <c r="DU47" s="62">
        <f t="shared" si="44"/>
        <v>122.43799205838684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0.50147330291607883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0.50147330291607883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13.453999999999997</v>
      </c>
      <c r="EJ47" s="13">
        <f>IF('Données projet'!$A$192&gt;35,EJ46+EI47-ER46,IF(A47&lt;'Données projet'!$A$192,$EG$205^A47,IF(A47='Données projet'!$A$192,'Données projet'!$B$192,EJ46+EI47-ER46)))</f>
        <v>290.05599999999998</v>
      </c>
      <c r="EK47" s="18">
        <f>EJ47*VLOOKUP('Données projet'!$B$15,Paramètres!$A$1:$I$89,3,0)*VLOOKUP('Données projet'!$B$15,Paramètres!$A$1:$I$89,5,0)</f>
        <v>135.746208</v>
      </c>
      <c r="EL47" s="14">
        <f t="shared" si="45"/>
        <v>35.320778436965128</v>
      </c>
      <c r="EM47" s="22">
        <f t="shared" si="19"/>
        <v>297.94166804438095</v>
      </c>
      <c r="EN47" s="62">
        <f t="shared" si="20"/>
        <v>591.27500137771426</v>
      </c>
      <c r="EO47" s="62">
        <f ca="1">AVERAGE(OFFSET($EN$3,0,0,'Données projet'!$E$15+1,1))-AVERAGE(OFFSET($H$3,0,0,'Données projet'!$E$15+1,1))</f>
        <v>301.04834785168049</v>
      </c>
      <c r="EP47" s="62">
        <f t="shared" si="46"/>
        <v>164.1450425611464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3.1761666666666666</v>
      </c>
      <c r="FE47" s="13">
        <f>IF('Données projet'!$A$218&gt;35,FE46+FD47-FM46,IF(A47&lt;'Données projet'!$A$218,$FB$205^A47,IF(A47='Données projet'!$A$218,'Données projet'!$B$218,FE46+FD47-FM46)))</f>
        <v>139.75133333333318</v>
      </c>
      <c r="FF47" s="18">
        <f>FE47*VLOOKUP('Données projet'!$B$16,Paramètres!$A$1:$I$89,3,0)*VLOOKUP('Données projet'!$B$16,Paramètres!$A$1:$I$89,5,0)</f>
        <v>126.44700639999985</v>
      </c>
      <c r="FG47" s="14">
        <f t="shared" si="47"/>
        <v>33.174047442462701</v>
      </c>
      <c r="FH47" s="22">
        <f t="shared" si="22"/>
        <v>278.00666877562224</v>
      </c>
      <c r="FI47" s="62">
        <f t="shared" si="23"/>
        <v>571.34000210895556</v>
      </c>
      <c r="FJ47" s="62">
        <f ca="1">AVERAGE(OFFSET($FI$3,0,0,'Données projet'!$E$16+1,1))-AVERAGE(OFFSET($H$3,0,0,'Données projet'!$E$16+1,1))</f>
        <v>330.53726676433649</v>
      </c>
      <c r="FK47" s="62">
        <f t="shared" si="48"/>
        <v>228.01260676706528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3.1761666666666666</v>
      </c>
      <c r="FZ47" s="13">
        <f>IF('Données projet'!$A$244&gt;35,FZ46+FY47-GH46,IF(A47&lt;'Données projet'!$A$244,$FW$205^A47,IF(A47='Données projet'!$A$244,'Données projet'!$B$244,FZ46+FY47-GH46)))</f>
        <v>139.75133333333318</v>
      </c>
      <c r="GA47" s="18">
        <f>FZ47*VLOOKUP('Données projet'!$B$17,Paramètres!$A$1:$I$89,3,0)*VLOOKUP('Données projet'!$B$17,Paramètres!$A$1:$I$89,5,0)</f>
        <v>159.14881839999984</v>
      </c>
      <c r="GB47" s="14">
        <f t="shared" si="49"/>
        <v>40.650469460565674</v>
      </c>
      <c r="GC47" s="22">
        <f t="shared" si="25"/>
        <v>347.98375969048493</v>
      </c>
      <c r="GD47" s="62">
        <f t="shared" si="26"/>
        <v>641.31709302381819</v>
      </c>
      <c r="GE47" s="62">
        <f ca="1">AVERAGE(OFFSET($GD$3,0,0,'Données projet'!$E$17+1,1))-AVERAGE(OFFSET($H$3,0,0,'Données projet'!$E$17+1,1))</f>
        <v>405.71017054131318</v>
      </c>
      <c r="GF47" s="62">
        <f t="shared" si="50"/>
        <v>276.12900965322166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3.1761666666666666</v>
      </c>
      <c r="GU47" s="13">
        <f>IF('Données projet'!$A$270&gt;35,GU46+GT47-HC46,IF(A47&lt;'Données projet'!$A$270,$GR$205^A47,IF(A47='Données projet'!$A$270,'Données projet'!$B$270,GU46+GT47-HC46)))</f>
        <v>139.75133333333318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9.3712500000000034</v>
      </c>
      <c r="N48" s="14">
        <f>IF('Données projet'!$A$36&gt;35,N47+M48-V47,IF(A48&lt;'Données projet'!$A$36,$K$205^A48,IF(A48='Données projet'!$A$36,'Données projet'!$B$36,N47+M48-V47)))</f>
        <v>148.16375000000011</v>
      </c>
      <c r="O48" s="14">
        <f>N48*VLOOKUP('Données projet'!$B$9,Paramètres!$A$1:$I$89,3,0)*VLOOKUP('Données projet'!$B$9,Paramètres!$A$1:$I$89,5,0)</f>
        <v>134.05856100000008</v>
      </c>
      <c r="P48" s="14">
        <f t="shared" si="33"/>
        <v>34.932489097291651</v>
      </c>
      <c r="Q48" s="22">
        <f t="shared" si="53"/>
        <v>294.3260789194498</v>
      </c>
      <c r="R48" s="62">
        <f t="shared" si="0"/>
        <v>587.65941225278311</v>
      </c>
      <c r="S48" s="62">
        <f ca="1">AVERAGE(OFFSET($R$3,0,0,'Données projet'!$E$9+1,1))-AVERAGE(OFFSET($H$3,0,0,'Données projet'!$E$9+1,1))</f>
        <v>452.54136967045082</v>
      </c>
      <c r="T48" s="62">
        <f t="shared" si="34"/>
        <v>269.67340993773422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3.5025137492908169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3.5025137492908169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15.725555555555552</v>
      </c>
      <c r="AI48" s="14">
        <f>IF('Données projet'!$A$62&gt;35,AI47+AH48-AQ47,IF(A48&lt;'Données projet'!$A$62,$AF$205^A48,IF(A48='Données projet'!$A$62,'Données projet'!$B$62,AI47+AH48-AQ47)))</f>
        <v>291.31222222222237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9.3712500000000034</v>
      </c>
      <c r="BD48" s="13">
        <f>IF('Données projet'!$A$88&gt;35,BD47+BC48-BL47,IF(A48&lt;'Données projet'!$A$88,$BA$205^A48,IF(A48='Données projet'!$A$88,'Données projet'!$B$88,BD47+BC48-BL47)))</f>
        <v>148.16375000000011</v>
      </c>
      <c r="BE48" s="14">
        <f>BD48*VLOOKUP('Données projet'!$B$11,Paramètres!$A$1:$I$89,3,0)*VLOOKUP('Données projet'!$B$11,Paramètres!$A$1:$I$89,5,0)</f>
        <v>150.23804250000012</v>
      </c>
      <c r="BF48" s="14">
        <f t="shared" si="37"/>
        <v>38.632676639775759</v>
      </c>
      <c r="BG48" s="22">
        <f t="shared" si="7"/>
        <v>328.94983583510964</v>
      </c>
      <c r="BH48" s="62">
        <f t="shared" si="8"/>
        <v>622.28316916844301</v>
      </c>
      <c r="BI48" s="62">
        <f ca="1">AVERAGE(OFFSET($BH$3,0,0,'Données projet'!$E$11+1,1))-AVERAGE(OFFSET($H$3,0,0,'Données projet'!$E$11+1,1))</f>
        <v>502.06005292569733</v>
      </c>
      <c r="BJ48" s="62">
        <f t="shared" si="38"/>
        <v>297.06786598620607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3.9252309259293652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3.9252309259293652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101.92</v>
      </c>
      <c r="BW48" s="13">
        <f>VLOOKUP(A48,'Données projet'!$A$113:$I$133,9,0)</f>
        <v>4.1019999999999985</v>
      </c>
      <c r="BX48" s="13">
        <f t="array" ref="BX48">INDEX(BW:BW,MIN(IF(ISNUMBER(BW48:BW244),ROW(BW48:BW244),"")))</f>
        <v>4.1019999999999985</v>
      </c>
      <c r="BY48" s="13">
        <f>IF('Données projet'!$A$114&gt;35,BY47+BX48-CG47,IF(A48&lt;'Données projet'!$A$114,$BV$205^A48,IF(A48='Données projet'!$A$114,'Données projet'!$B$114,BY47+BX48-CG47)))</f>
        <v>101.92000000000002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13.46</v>
      </c>
      <c r="CH48" s="17" t="e">
        <f>IF(ISNA(VLOOKUP(A48,'Données projet'!$A$113:$I$133,5,0)),0%,VLOOKUP(A48,'Données projet'!$A$113:$I$133,5,0)*VLOOKUP('Données projet'!$B$12,Paramètres!$A$1:$I$89,7,0))</f>
        <v>#N/A</v>
      </c>
      <c r="CI48" s="17" t="e">
        <f>IF(ISNA(VLOOKUP(A48,'Données projet'!$A$113:$I$133,6,0)),0%,VLOOKUP(A48,'Données projet'!$A$113:$I$133,6,0)*VLOOKUP('Données projet'!$B$12,Paramètres!$A$1:$I$89,7,0))</f>
        <v>#N/A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161.54</v>
      </c>
      <c r="CR48" s="13">
        <f>VLOOKUP(A48,'Données projet'!$A$139:$I$159,9,0)</f>
        <v>3.2059999999999946</v>
      </c>
      <c r="CS48" s="13">
        <f t="array" ref="CS48">INDEX(CR:CR,MIN(IF(ISNUMBER(CR48:CR244),ROW(CR48:CR244),"")))</f>
        <v>3.2059999999999946</v>
      </c>
      <c r="CT48" s="13">
        <f>IF('Données projet'!$A$140&gt;35,CT47+CS48-DB47,IF(A48&lt;'Données projet'!$A$140,$CQ$205^A48,IF(A48='Données projet'!$A$140,'Données projet'!$B$140,CT47+CS48-DB47)))</f>
        <v>161.53999999999994</v>
      </c>
      <c r="CU48" s="18">
        <f>CT48*VLOOKUP('Données projet'!$B$13,Paramètres!$A$1:$I$89,3,0)*VLOOKUP('Données projet'!$B$13,Paramètres!$A$1:$I$89,5,0)</f>
        <v>146.16139199999995</v>
      </c>
      <c r="CV48" s="14">
        <f t="shared" si="41"/>
        <v>37.704936393537707</v>
      </c>
      <c r="CW48" s="22">
        <f t="shared" si="13"/>
        <v>320.23385528541138</v>
      </c>
      <c r="CX48" s="62">
        <f t="shared" si="14"/>
        <v>613.56718861874469</v>
      </c>
      <c r="CY48" s="62">
        <f ca="1">AVERAGE(OFFSET($CX$3,0,0,'Données projet'!$E$13+1,1))-AVERAGE(OFFSET($H$3,0,0,'Données projet'!$E$13+1,1))</f>
        <v>204.787338911576</v>
      </c>
      <c r="CZ48" s="62">
        <f t="shared" si="42"/>
        <v>287.24932051638558</v>
      </c>
      <c r="DA48" s="16">
        <f>IF(ISNA(VLOOKUP(A48,'Données projet'!$A$139:$I$159,3,0)),0,VLOOKUP(A48,'Données projet'!$A$139:$I$159,3,0))</f>
        <v>9</v>
      </c>
      <c r="DB48" s="16">
        <f>IF(ISNA(VLOOKUP(A48,'Données projet'!$A$139:$I$159,4,0)),0,VLOOKUP(A48,'Données projet'!$A$139:$I$159,4,0))</f>
        <v>161.54</v>
      </c>
      <c r="DC48" s="17">
        <f>IF(ISNA(VLOOKUP(A48,'Données projet'!$A$139:$I$159,5,0)),0%,VLOOKUP(A48,'Données projet'!$A$139:$I$159,5,0)*VLOOKUP('Données projet'!$B$13,Paramètres!$A$1:$I$89,7,0))</f>
        <v>0.21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34.785937930650995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34.785937930650995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95</v>
      </c>
      <c r="DM48" s="13">
        <f>VLOOKUP(A48,'Données projet'!$A$165:$I$185,9,0)</f>
        <v>9.6</v>
      </c>
      <c r="DN48" s="13">
        <f t="array" ref="DN48">INDEX(DM:DM,MIN(IF(ISNUMBER(DM48:DM244),ROW(DM48:DM244),"")))</f>
        <v>9.6</v>
      </c>
      <c r="DO48" s="13">
        <f>IF('Données projet'!$A$166&gt;35,DO47+DN48-DW47,IF(A48&lt;'Données projet'!$A$166,$DL$205^A48,IF(A48='Données projet'!$A$166,'Données projet'!$B$166,DO47+DN48-DW47)))</f>
        <v>95.000000000000014</v>
      </c>
      <c r="DP48" s="18">
        <f>DO48*VLOOKUP('Données projet'!$B$14,Paramètres!$A$1:$I$89,3,0)*VLOOKUP('Données projet'!$B$14,Paramètres!$A$1:$I$89,5,0)</f>
        <v>90.402000000000015</v>
      </c>
      <c r="DQ48" s="14">
        <f t="shared" si="43"/>
        <v>24.662152551735971</v>
      </c>
      <c r="DR48" s="22">
        <f t="shared" si="16"/>
        <v>200.40339902760684</v>
      </c>
      <c r="DS48" s="62">
        <f t="shared" si="17"/>
        <v>493.73673236094015</v>
      </c>
      <c r="DT48" s="62">
        <f ca="1">AVERAGE(OFFSET($DS$3,0,0,'Données projet'!$E$14+1,1))-AVERAGE(OFFSET($H$3,0,0,'Données projet'!$E$14+1,1))</f>
        <v>309.55876703480277</v>
      </c>
      <c r="DU48" s="62">
        <f t="shared" si="44"/>
        <v>122.43799205838684</v>
      </c>
      <c r="DV48" s="16">
        <f>IF(ISNA(VLOOKUP(A48,'Données projet'!$A$165:$I$185,3,0)),0,VLOOKUP(A48,'Données projet'!$A$165:$I$185,3,0))</f>
        <v>2</v>
      </c>
      <c r="DW48" s="16">
        <f>IF(ISNA(VLOOKUP(A48,'Données projet'!$A$165:$I$185,4,0)),0,VLOOKUP(A48,'Données projet'!$A$165:$I$185,4,0))</f>
        <v>12</v>
      </c>
      <c r="DX48" s="17">
        <f>IF(ISNA(VLOOKUP(A48,'Données projet'!$A$165:$I$185,5,0)),0%,VLOOKUP(A48,'Données projet'!$A$165:$I$185,5,0)*VLOOKUP('Données projet'!$B$14,Paramètres!$A$1:$I$89,7,0))</f>
        <v>8.6000000000000007E-2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1.5772682300991967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1.5772682300991967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303.51</v>
      </c>
      <c r="EH48" s="13">
        <f>VLOOKUP(A48,'Données projet'!$A$191:$I$211,9,0)</f>
        <v>13.453999999999997</v>
      </c>
      <c r="EI48" s="13">
        <f t="array" ref="EI48">INDEX(EH:EH,MIN(IF(ISNUMBER(EH48:EH244),ROW(EH48:EH244),"")))</f>
        <v>13.453999999999997</v>
      </c>
      <c r="EJ48" s="13">
        <f>IF('Données projet'!$A$192&gt;35,EJ47+EI48-ER47,IF(A48&lt;'Données projet'!$A$192,$EG$205^A48,IF(A48='Données projet'!$A$192,'Données projet'!$B$192,EJ47+EI48-ER47)))</f>
        <v>303.51</v>
      </c>
      <c r="EK48" s="18">
        <f>EJ48*VLOOKUP('Données projet'!$B$15,Paramètres!$A$1:$I$89,3,0)*VLOOKUP('Données projet'!$B$15,Paramètres!$A$1:$I$89,5,0)</f>
        <v>142.04267999999999</v>
      </c>
      <c r="EL48" s="14">
        <f t="shared" si="45"/>
        <v>36.764559570718347</v>
      </c>
      <c r="EM48" s="22">
        <f t="shared" si="19"/>
        <v>311.42260891900111</v>
      </c>
      <c r="EN48" s="62">
        <f t="shared" si="20"/>
        <v>604.75594225233442</v>
      </c>
      <c r="EO48" s="62">
        <f ca="1">AVERAGE(OFFSET($EN$3,0,0,'Données projet'!$E$15+1,1))-AVERAGE(OFFSET($H$3,0,0,'Données projet'!$E$15+1,1))</f>
        <v>301.04834785168049</v>
      </c>
      <c r="EP48" s="62">
        <f t="shared" si="46"/>
        <v>164.1450425611464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3.1761666666666666</v>
      </c>
      <c r="FE48" s="13">
        <f>IF('Données projet'!$A$218&gt;35,FE47+FD48-FM47,IF(A48&lt;'Données projet'!$A$218,$FB$205^A48,IF(A48='Données projet'!$A$218,'Données projet'!$B$218,FE47+FD48-FM47)))</f>
        <v>142.92749999999984</v>
      </c>
      <c r="FF48" s="18">
        <f>FE48*VLOOKUP('Données projet'!$B$16,Paramètres!$A$1:$I$89,3,0)*VLOOKUP('Données projet'!$B$16,Paramètres!$A$1:$I$89,5,0)</f>
        <v>129.32080199999984</v>
      </c>
      <c r="FG48" s="14">
        <f t="shared" si="47"/>
        <v>33.839368801411766</v>
      </c>
      <c r="FH48" s="22">
        <f t="shared" si="22"/>
        <v>284.17063081245851</v>
      </c>
      <c r="FI48" s="62">
        <f t="shared" si="23"/>
        <v>577.50396414579177</v>
      </c>
      <c r="FJ48" s="62">
        <f ca="1">AVERAGE(OFFSET($FI$3,0,0,'Données projet'!$E$16+1,1))-AVERAGE(OFFSET($H$3,0,0,'Données projet'!$E$16+1,1))</f>
        <v>330.53726676433649</v>
      </c>
      <c r="FK48" s="62">
        <f t="shared" si="48"/>
        <v>228.01260676706528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3.1761666666666666</v>
      </c>
      <c r="FZ48" s="13">
        <f>IF('Données projet'!$A$244&gt;35,FZ47+FY48-GH47,IF(A48&lt;'Données projet'!$A$244,$FW$205^A48,IF(A48='Données projet'!$A$244,'Données projet'!$B$244,FZ47+FY48-GH47)))</f>
        <v>142.92749999999984</v>
      </c>
      <c r="GA48" s="18">
        <f>FZ48*VLOOKUP('Données projet'!$B$17,Paramètres!$A$1:$I$89,3,0)*VLOOKUP('Données projet'!$B$17,Paramètres!$A$1:$I$89,5,0)</f>
        <v>162.76583699999983</v>
      </c>
      <c r="GB48" s="14">
        <f t="shared" si="49"/>
        <v>41.465734032376794</v>
      </c>
      <c r="GC48" s="22">
        <f t="shared" si="25"/>
        <v>355.70331954805596</v>
      </c>
      <c r="GD48" s="62">
        <f t="shared" si="26"/>
        <v>649.03665288138927</v>
      </c>
      <c r="GE48" s="62">
        <f ca="1">AVERAGE(OFFSET($GD$3,0,0,'Données projet'!$E$17+1,1))-AVERAGE(OFFSET($H$3,0,0,'Données projet'!$E$17+1,1))</f>
        <v>405.71017054131318</v>
      </c>
      <c r="GF48" s="62">
        <f t="shared" si="50"/>
        <v>276.12900965322166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3.1761666666666666</v>
      </c>
      <c r="GU48" s="13">
        <f>IF('Données projet'!$A$270&gt;35,GU47+GT48-HC47,IF(A48&lt;'Données projet'!$A$270,$GR$205^A48,IF(A48='Données projet'!$A$270,'Données projet'!$B$270,GU47+GT48-HC47)))</f>
        <v>142.92749999999984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9.3712500000000034</v>
      </c>
      <c r="N49" s="14">
        <f>IF('Données projet'!$A$36&gt;35,N48+M49-V48,IF(A49&lt;'Données projet'!$A$36,$K$205^A49,IF(A49='Données projet'!$A$36,'Données projet'!$B$36,N48+M49-V48)))</f>
        <v>157.53500000000011</v>
      </c>
      <c r="O49" s="14">
        <f>N49*VLOOKUP('Données projet'!$B$9,Paramètres!$A$1:$I$89,3,0)*VLOOKUP('Données projet'!$B$9,Paramètres!$A$1:$I$89,5,0)</f>
        <v>142.53766800000008</v>
      </c>
      <c r="P49" s="14">
        <f t="shared" si="33"/>
        <v>36.877740410345027</v>
      </c>
      <c r="Q49" s="22">
        <f t="shared" si="53"/>
        <v>312.48183631468436</v>
      </c>
      <c r="R49" s="62">
        <f t="shared" si="0"/>
        <v>605.81516964801767</v>
      </c>
      <c r="S49" s="62">
        <f ca="1">AVERAGE(OFFSET($R$3,0,0,'Données projet'!$E$9+1,1))-AVERAGE(OFFSET($H$3,0,0,'Données projet'!$E$9+1,1))</f>
        <v>452.54136967045082</v>
      </c>
      <c r="T49" s="62">
        <f t="shared" si="34"/>
        <v>269.67340993773422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3.4338315909896666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3.4338315909896666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15.725555555555552</v>
      </c>
      <c r="AI49" s="14">
        <f>IF('Données projet'!$A$62&gt;35,AI48+AH49-AQ48,IF(A49&lt;'Données projet'!$A$62,$AF$205^A49,IF(A49='Données projet'!$A$62,'Données projet'!$B$62,AI48+AH49-AQ48)))</f>
        <v>307.03777777777793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9.3712500000000034</v>
      </c>
      <c r="BD49" s="13">
        <f>IF('Données projet'!$A$88&gt;35,BD48+BC49-BL48,IF(A49&lt;'Données projet'!$A$88,$BA$205^A49,IF(A49='Données projet'!$A$88,'Données projet'!$B$88,BD48+BC49-BL48)))</f>
        <v>157.53500000000011</v>
      </c>
      <c r="BE49" s="14">
        <f>BD49*VLOOKUP('Données projet'!$B$11,Paramètres!$A$1:$I$89,3,0)*VLOOKUP('Données projet'!$B$11,Paramètres!$A$1:$I$89,5,0)</f>
        <v>159.74049000000011</v>
      </c>
      <c r="BF49" s="14">
        <f t="shared" si="37"/>
        <v>40.783976673134042</v>
      </c>
      <c r="BG49" s="22">
        <f t="shared" si="7"/>
        <v>349.24677945570858</v>
      </c>
      <c r="BH49" s="62">
        <f t="shared" si="8"/>
        <v>642.58011278904189</v>
      </c>
      <c r="BI49" s="62">
        <f ca="1">AVERAGE(OFFSET($BH$3,0,0,'Données projet'!$E$11+1,1))-AVERAGE(OFFSET($H$3,0,0,'Données projet'!$E$11+1,1))</f>
        <v>502.06005292569733</v>
      </c>
      <c r="BJ49" s="62">
        <f t="shared" si="38"/>
        <v>297.06786598620607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3.8482595416263519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3.8482595416263519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3.5899999999999976</v>
      </c>
      <c r="BY49" s="13">
        <f>IF('Données projet'!$A$114&gt;35,BY48+BX49-CG48,IF(A49&lt;'Données projet'!$A$114,$BV$205^A49,IF(A49='Données projet'!$A$114,'Données projet'!$B$114,BY48+BX49-CG48)))</f>
        <v>92.050000000000011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-5.6843418860808015E-14</v>
      </c>
      <c r="CU49" s="18">
        <f>CT49*VLOOKUP('Données projet'!$B$13,Paramètres!$A$1:$I$89,3,0)*VLOOKUP('Données projet'!$B$13,Paramètres!$A$1:$I$89,5,0)</f>
        <v>-5.1431925385259088E-14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204.787338911576</v>
      </c>
      <c r="CZ49" s="62">
        <f t="shared" si="42"/>
        <v>287.24932051638558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34.103806905158031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34.103806905158031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91.40000000000002</v>
      </c>
      <c r="DP49" s="18">
        <f>DO49*VLOOKUP('Données projet'!$B$14,Paramètres!$A$1:$I$89,3,0)*VLOOKUP('Données projet'!$B$14,Paramètres!$A$1:$I$89,5,0)</f>
        <v>86.976240000000018</v>
      </c>
      <c r="DQ49" s="14">
        <f t="shared" si="43"/>
        <v>23.834522776156177</v>
      </c>
      <c r="DR49" s="22">
        <f t="shared" si="16"/>
        <v>192.9954118351387</v>
      </c>
      <c r="DS49" s="62">
        <f t="shared" si="17"/>
        <v>486.32874516847198</v>
      </c>
      <c r="DT49" s="62">
        <f ca="1">AVERAGE(OFFSET($DS$3,0,0,'Données projet'!$E$14+1,1))-AVERAGE(OFFSET($H$3,0,0,'Données projet'!$E$14+1,1))</f>
        <v>309.55876703480277</v>
      </c>
      <c r="DU49" s="62">
        <f t="shared" si="44"/>
        <v>122.43799205838684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1.5463389621455783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1.5463389621455783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14.526666666666671</v>
      </c>
      <c r="EJ49" s="13">
        <f>IF('Données projet'!$A$192&gt;35,EJ48+EI49-ER48,IF(A49&lt;'Données projet'!$A$192,$EG$205^A49,IF(A49='Données projet'!$A$192,'Données projet'!$B$192,EJ48+EI49-ER48)))</f>
        <v>318.03666666666663</v>
      </c>
      <c r="EK49" s="18">
        <f>EJ49*VLOOKUP('Données projet'!$B$15,Paramètres!$A$1:$I$89,3,0)*VLOOKUP('Données projet'!$B$15,Paramètres!$A$1:$I$89,5,0)</f>
        <v>148.84116</v>
      </c>
      <c r="EL49" s="14">
        <f t="shared" si="45"/>
        <v>38.315116320405785</v>
      </c>
      <c r="EM49" s="22">
        <f t="shared" si="19"/>
        <v>325.96384792470673</v>
      </c>
      <c r="EN49" s="62">
        <f t="shared" si="20"/>
        <v>619.29718125804004</v>
      </c>
      <c r="EO49" s="62">
        <f ca="1">AVERAGE(OFFSET($EN$3,0,0,'Données projet'!$E$15+1,1))-AVERAGE(OFFSET($H$3,0,0,'Données projet'!$E$15+1,1))</f>
        <v>301.04834785168049</v>
      </c>
      <c r="EP49" s="62">
        <f t="shared" si="46"/>
        <v>164.1450425611464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3.1761666666666666</v>
      </c>
      <c r="FE49" s="13">
        <f>IF('Données projet'!$A$218&gt;35,FE48+FD49-FM48,IF(A49&lt;'Données projet'!$A$218,$FB$205^A49,IF(A49='Données projet'!$A$218,'Données projet'!$B$218,FE48+FD49-FM48)))</f>
        <v>146.1036666666665</v>
      </c>
      <c r="FF49" s="18">
        <f>FE49*VLOOKUP('Données projet'!$B$16,Paramètres!$A$1:$I$89,3,0)*VLOOKUP('Données projet'!$B$16,Paramètres!$A$1:$I$89,5,0)</f>
        <v>132.19459759999984</v>
      </c>
      <c r="FG49" s="14">
        <f t="shared" si="47"/>
        <v>34.502971270111502</v>
      </c>
      <c r="FH49" s="22">
        <f t="shared" si="22"/>
        <v>290.33159911544391</v>
      </c>
      <c r="FI49" s="62">
        <f t="shared" si="23"/>
        <v>583.66493244877722</v>
      </c>
      <c r="FJ49" s="62">
        <f ca="1">AVERAGE(OFFSET($FI$3,0,0,'Données projet'!$E$16+1,1))-AVERAGE(OFFSET($H$3,0,0,'Données projet'!$E$16+1,1))</f>
        <v>330.53726676433649</v>
      </c>
      <c r="FK49" s="62">
        <f t="shared" si="48"/>
        <v>228.01260676706528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3.1761666666666666</v>
      </c>
      <c r="FZ49" s="13">
        <f>IF('Données projet'!$A$244&gt;35,FZ48+FY49-GH48,IF(A49&lt;'Données projet'!$A$244,$FW$205^A49,IF(A49='Données projet'!$A$244,'Données projet'!$B$244,FZ48+FY49-GH48)))</f>
        <v>146.1036666666665</v>
      </c>
      <c r="GA49" s="18">
        <f>FZ49*VLOOKUP('Données projet'!$B$17,Paramètres!$A$1:$I$89,3,0)*VLOOKUP('Données projet'!$B$17,Paramètres!$A$1:$I$89,5,0)</f>
        <v>166.3828555999998</v>
      </c>
      <c r="GB49" s="14">
        <f t="shared" si="49"/>
        <v>42.278892328319465</v>
      </c>
      <c r="GC49" s="22">
        <f t="shared" si="25"/>
        <v>363.41921097515609</v>
      </c>
      <c r="GD49" s="62">
        <f t="shared" si="26"/>
        <v>656.75254430848941</v>
      </c>
      <c r="GE49" s="62">
        <f ca="1">AVERAGE(OFFSET($GD$3,0,0,'Données projet'!$E$17+1,1))-AVERAGE(OFFSET($H$3,0,0,'Données projet'!$E$17+1,1))</f>
        <v>405.71017054131318</v>
      </c>
      <c r="GF49" s="62">
        <f t="shared" si="50"/>
        <v>276.12900965322166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3.1761666666666666</v>
      </c>
      <c r="GU49" s="13">
        <f>IF('Données projet'!$A$270&gt;35,GU48+GT49-HC48,IF(A49&lt;'Données projet'!$A$270,$GR$205^A49,IF(A49='Données projet'!$A$270,'Données projet'!$B$270,GU48+GT49-HC48)))</f>
        <v>146.1036666666665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9.3712500000000034</v>
      </c>
      <c r="N50" s="14">
        <f>IF('Données projet'!$A$36&gt;35,N49+M50-V49,IF(A50&lt;'Données projet'!$A$36,$K$205^A50,IF(A50='Données projet'!$A$36,'Données projet'!$B$36,N49+M50-V49)))</f>
        <v>166.90625000000011</v>
      </c>
      <c r="O50" s="14">
        <f>N50*VLOOKUP('Données projet'!$B$9,Paramètres!$A$1:$I$89,3,0)*VLOOKUP('Données projet'!$B$9,Paramètres!$A$1:$I$89,5,0)</f>
        <v>151.01677500000011</v>
      </c>
      <c r="P50" s="14">
        <f t="shared" si="33"/>
        <v>38.809560459830927</v>
      </c>
      <c r="Q50" s="22">
        <f t="shared" si="53"/>
        <v>330.61420092587235</v>
      </c>
      <c r="R50" s="62">
        <f t="shared" si="0"/>
        <v>623.94753425920567</v>
      </c>
      <c r="S50" s="62">
        <f ca="1">AVERAGE(OFFSET($R$3,0,0,'Données projet'!$E$9+1,1))-AVERAGE(OFFSET($H$3,0,0,'Données projet'!$E$9+1,1))</f>
        <v>452.54136967045082</v>
      </c>
      <c r="T50" s="62">
        <f t="shared" si="34"/>
        <v>269.67340993773422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3.3664962479208218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3.3664962479208218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15.725555555555552</v>
      </c>
      <c r="AI50" s="14">
        <f>IF('Données projet'!$A$62&gt;35,AI49+AH50-AQ49,IF(A50&lt;'Données projet'!$A$62,$AF$205^A50,IF(A50='Données projet'!$A$62,'Données projet'!$B$62,AI49+AH50-AQ49)))</f>
        <v>322.76333333333349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9.3712500000000034</v>
      </c>
      <c r="BD50" s="13">
        <f>IF('Données projet'!$A$88&gt;35,BD49+BC50-BL49,IF(A50&lt;'Données projet'!$A$88,$BA$205^A50,IF(A50='Données projet'!$A$88,'Données projet'!$B$88,BD49+BC50-BL49)))</f>
        <v>166.90625000000011</v>
      </c>
      <c r="BE50" s="14">
        <f>BD50*VLOOKUP('Données projet'!$B$11,Paramètres!$A$1:$I$89,3,0)*VLOOKUP('Données projet'!$B$11,Paramètres!$A$1:$I$89,5,0)</f>
        <v>169.24293750000012</v>
      </c>
      <c r="BF50" s="14">
        <f t="shared" si="37"/>
        <v>42.920422750313541</v>
      </c>
      <c r="BG50" s="22">
        <f t="shared" si="7"/>
        <v>369.51785243596299</v>
      </c>
      <c r="BH50" s="62">
        <f t="shared" si="8"/>
        <v>662.85118576929631</v>
      </c>
      <c r="BI50" s="62">
        <f ca="1">AVERAGE(OFFSET($BH$3,0,0,'Données projet'!$E$11+1,1))-AVERAGE(OFFSET($H$3,0,0,'Données projet'!$E$11+1,1))</f>
        <v>502.06005292569733</v>
      </c>
      <c r="BJ50" s="62">
        <f t="shared" si="38"/>
        <v>297.06786598620607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3.7727975192216121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3.7727975192216121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3.5899999999999976</v>
      </c>
      <c r="BY50" s="13">
        <f>IF('Données projet'!$A$114&gt;35,BY49+BX50-CG49,IF(A50&lt;'Données projet'!$A$114,$BV$205^A50,IF(A50='Données projet'!$A$114,'Données projet'!$B$114,BY49+BX50-CG49)))</f>
        <v>95.640000000000015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-5.6843418860808015E-14</v>
      </c>
      <c r="CU50" s="18">
        <f>CT50*VLOOKUP('Données projet'!$B$13,Paramètres!$A$1:$I$89,3,0)*VLOOKUP('Données projet'!$B$13,Paramètres!$A$1:$I$89,5,0)</f>
        <v>-5.1431925385259088E-14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204.787338911576</v>
      </c>
      <c r="CZ50" s="62">
        <f t="shared" si="42"/>
        <v>287.24932051638558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33.435052053016136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33.435052053016136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99.800000000000026</v>
      </c>
      <c r="DP50" s="18">
        <f>DO50*VLOOKUP('Données projet'!$B$14,Paramètres!$A$1:$I$89,3,0)*VLOOKUP('Données projet'!$B$14,Paramètres!$A$1:$I$89,5,0)</f>
        <v>94.969680000000025</v>
      </c>
      <c r="DQ50" s="14">
        <f t="shared" si="43"/>
        <v>25.760017188473707</v>
      </c>
      <c r="DR50" s="22">
        <f t="shared" si="16"/>
        <v>210.27088926992508</v>
      </c>
      <c r="DS50" s="62">
        <f t="shared" si="17"/>
        <v>503.60422260325839</v>
      </c>
      <c r="DT50" s="62">
        <f ca="1">AVERAGE(OFFSET($DS$3,0,0,'Données projet'!$E$14+1,1))-AVERAGE(OFFSET($H$3,0,0,'Données projet'!$E$14+1,1))</f>
        <v>309.55876703480277</v>
      </c>
      <c r="DU50" s="62">
        <f t="shared" si="44"/>
        <v>122.43799205838684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1.5160161982715397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1.5160161982715397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14.526666666666671</v>
      </c>
      <c r="EJ50" s="13">
        <f>IF('Données projet'!$A$192&gt;35,EJ49+EI50-ER49,IF(A50&lt;'Données projet'!$A$192,$EG$205^A50,IF(A50='Données projet'!$A$192,'Données projet'!$B$192,EJ49+EI50-ER49)))</f>
        <v>332.56333333333328</v>
      </c>
      <c r="EK50" s="18">
        <f>EJ50*VLOOKUP('Données projet'!$B$15,Paramètres!$A$1:$I$89,3,0)*VLOOKUP('Données projet'!$B$15,Paramètres!$A$1:$I$89,5,0)</f>
        <v>155.63963999999999</v>
      </c>
      <c r="EL50" s="14">
        <f t="shared" si="45"/>
        <v>39.857448088848287</v>
      </c>
      <c r="EM50" s="22">
        <f t="shared" si="19"/>
        <v>340.49076175474403</v>
      </c>
      <c r="EN50" s="62">
        <f t="shared" si="20"/>
        <v>633.82409508807734</v>
      </c>
      <c r="EO50" s="62">
        <f ca="1">AVERAGE(OFFSET($EN$3,0,0,'Données projet'!$E$15+1,1))-AVERAGE(OFFSET($H$3,0,0,'Données projet'!$E$15+1,1))</f>
        <v>301.04834785168049</v>
      </c>
      <c r="EP50" s="62">
        <f t="shared" si="46"/>
        <v>164.1450425611464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3.1761666666666666</v>
      </c>
      <c r="FE50" s="13">
        <f>IF('Données projet'!$A$218&gt;35,FE49+FD50-FM49,IF(A50&lt;'Données projet'!$A$218,$FB$205^A50,IF(A50='Données projet'!$A$218,'Données projet'!$B$218,FE49+FD50-FM49)))</f>
        <v>149.27983333333316</v>
      </c>
      <c r="FF50" s="18">
        <f>FE50*VLOOKUP('Données projet'!$B$16,Paramètres!$A$1:$I$89,3,0)*VLOOKUP('Données projet'!$B$16,Paramètres!$A$1:$I$89,5,0)</f>
        <v>135.06839319999983</v>
      </c>
      <c r="FG50" s="14">
        <f t="shared" si="47"/>
        <v>35.164896519174341</v>
      </c>
      <c r="FH50" s="22">
        <f t="shared" si="22"/>
        <v>296.48964626089503</v>
      </c>
      <c r="FI50" s="62">
        <f t="shared" si="23"/>
        <v>589.8229795942284</v>
      </c>
      <c r="FJ50" s="62">
        <f ca="1">AVERAGE(OFFSET($FI$3,0,0,'Données projet'!$E$16+1,1))-AVERAGE(OFFSET($H$3,0,0,'Données projet'!$E$16+1,1))</f>
        <v>330.53726676433649</v>
      </c>
      <c r="FK50" s="62">
        <f t="shared" si="48"/>
        <v>228.01260676706528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3.1761666666666666</v>
      </c>
      <c r="FZ50" s="13">
        <f>IF('Données projet'!$A$244&gt;35,FZ49+FY50-GH49,IF(A50&lt;'Données projet'!$A$244,$FW$205^A50,IF(A50='Données projet'!$A$244,'Données projet'!$B$244,FZ49+FY50-GH49)))</f>
        <v>149.27983333333316</v>
      </c>
      <c r="GA50" s="18">
        <f>FZ50*VLOOKUP('Données projet'!$B$17,Paramètres!$A$1:$I$89,3,0)*VLOOKUP('Données projet'!$B$17,Paramètres!$A$1:$I$89,5,0)</f>
        <v>169.99987419999979</v>
      </c>
      <c r="GB50" s="14">
        <f t="shared" si="49"/>
        <v>43.089995410295678</v>
      </c>
      <c r="GC50" s="22">
        <f t="shared" si="25"/>
        <v>371.13152290459789</v>
      </c>
      <c r="GD50" s="62">
        <f t="shared" si="26"/>
        <v>664.46485623793114</v>
      </c>
      <c r="GE50" s="62">
        <f ca="1">AVERAGE(OFFSET($GD$3,0,0,'Données projet'!$E$17+1,1))-AVERAGE(OFFSET($H$3,0,0,'Données projet'!$E$17+1,1))</f>
        <v>405.71017054131318</v>
      </c>
      <c r="GF50" s="62">
        <f t="shared" si="50"/>
        <v>276.12900965322166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3.1761666666666666</v>
      </c>
      <c r="GU50" s="13">
        <f>IF('Données projet'!$A$270&gt;35,GU49+GT50-HC49,IF(A50&lt;'Données projet'!$A$270,$GR$205^A50,IF(A50='Données projet'!$A$270,'Données projet'!$B$270,GU49+GT50-HC49)))</f>
        <v>149.27983333333316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9.3712500000000034</v>
      </c>
      <c r="N51" s="14">
        <f>IF('Données projet'!$A$36&gt;35,N50+M51-V50,IF(A51&lt;'Données projet'!$A$36,$K$205^A51,IF(A51='Données projet'!$A$36,'Données projet'!$B$36,N50+M51-V50)))</f>
        <v>176.27750000000012</v>
      </c>
      <c r="O51" s="14">
        <f>N51*VLOOKUP('Données projet'!$B$9,Paramètres!$A$1:$I$89,3,0)*VLOOKUP('Données projet'!$B$9,Paramètres!$A$1:$I$89,5,0)</f>
        <v>159.49588200000008</v>
      </c>
      <c r="P51" s="14">
        <f t="shared" si="33"/>
        <v>40.728789309687656</v>
      </c>
      <c r="Q51" s="22">
        <f t="shared" si="53"/>
        <v>348.72463586437283</v>
      </c>
      <c r="R51" s="62">
        <f t="shared" si="0"/>
        <v>642.05796919770614</v>
      </c>
      <c r="S51" s="62">
        <f ca="1">AVERAGE(OFFSET($R$3,0,0,'Données projet'!$E$9+1,1))-AVERAGE(OFFSET($H$3,0,0,'Données projet'!$E$9+1,1))</f>
        <v>452.54136967045082</v>
      </c>
      <c r="T51" s="62">
        <f t="shared" si="34"/>
        <v>269.67340993773422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3.3004813098590531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3.3004813098590531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15.725555555555552</v>
      </c>
      <c r="AI51" s="14">
        <f>IF('Données projet'!$A$62&gt;35,AI50+AH51-AQ50,IF(A51&lt;'Données projet'!$A$62,$AF$205^A51,IF(A51='Données projet'!$A$62,'Données projet'!$B$62,AI50+AH51-AQ50)))</f>
        <v>338.48888888888905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9.3712500000000034</v>
      </c>
      <c r="BD51" s="13">
        <f>IF('Données projet'!$A$88&gt;35,BD50+BC51-BL50,IF(A51&lt;'Données projet'!$A$88,$BA$205^A51,IF(A51='Données projet'!$A$88,'Données projet'!$B$88,BD50+BC51-BL50)))</f>
        <v>176.27750000000012</v>
      </c>
      <c r="BE51" s="14">
        <f>BD51*VLOOKUP('Données projet'!$B$11,Paramètres!$A$1:$I$89,3,0)*VLOOKUP('Données projet'!$B$11,Paramètres!$A$1:$I$89,5,0)</f>
        <v>178.74538500000011</v>
      </c>
      <c r="BF51" s="14">
        <f t="shared" si="37"/>
        <v>45.042943918150705</v>
      </c>
      <c r="BG51" s="22">
        <f t="shared" si="7"/>
        <v>389.76467286577935</v>
      </c>
      <c r="BH51" s="62">
        <f t="shared" si="8"/>
        <v>683.09800619911266</v>
      </c>
      <c r="BI51" s="62">
        <f ca="1">AVERAGE(OFFSET($BH$3,0,0,'Données projet'!$E$11+1,1))-AVERAGE(OFFSET($H$3,0,0,'Données projet'!$E$11+1,1))</f>
        <v>502.06005292569733</v>
      </c>
      <c r="BJ51" s="62">
        <f t="shared" si="38"/>
        <v>297.06786598620607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3.6988152610489404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3.6988152610489404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3.5899999999999976</v>
      </c>
      <c r="BY51" s="13">
        <f>IF('Données projet'!$A$114&gt;35,BY50+BX51-CG50,IF(A51&lt;'Données projet'!$A$114,$BV$205^A51,IF(A51='Données projet'!$A$114,'Données projet'!$B$114,BY50+BX51-CG50)))</f>
        <v>99.230000000000018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-5.6843418860808015E-14</v>
      </c>
      <c r="CU51" s="18">
        <f>CT51*VLOOKUP('Données projet'!$B$13,Paramètres!$A$1:$I$89,3,0)*VLOOKUP('Données projet'!$B$13,Paramètres!$A$1:$I$89,5,0)</f>
        <v>-5.1431925385259088E-14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204.787338911576</v>
      </c>
      <c r="CZ51" s="62">
        <f t="shared" si="42"/>
        <v>287.24932051638558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32.779411075624566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32.779411075624566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108.20000000000003</v>
      </c>
      <c r="DP51" s="18">
        <f>DO51*VLOOKUP('Données projet'!$B$14,Paramètres!$A$1:$I$89,3,0)*VLOOKUP('Données projet'!$B$14,Paramètres!$A$1:$I$89,5,0)</f>
        <v>102.96312000000005</v>
      </c>
      <c r="DQ51" s="14">
        <f t="shared" si="43"/>
        <v>27.666715856510049</v>
      </c>
      <c r="DR51" s="22">
        <f t="shared" si="16"/>
        <v>227.51363078342172</v>
      </c>
      <c r="DS51" s="62">
        <f t="shared" si="17"/>
        <v>520.84696411675509</v>
      </c>
      <c r="DT51" s="62">
        <f ca="1">AVERAGE(OFFSET($DS$3,0,0,'Données projet'!$E$14+1,1))-AVERAGE(OFFSET($H$3,0,0,'Données projet'!$E$14+1,1))</f>
        <v>309.55876703480277</v>
      </c>
      <c r="DU51" s="62">
        <f t="shared" si="44"/>
        <v>122.43799205838684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1.4862880453020113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1.4862880453020113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14.526666666666671</v>
      </c>
      <c r="EJ51" s="13">
        <f>IF('Données projet'!$A$192&gt;35,EJ50+EI51-ER50,IF(A51&lt;'Données projet'!$A$192,$EG$205^A51,IF(A51='Données projet'!$A$192,'Données projet'!$B$192,EJ50+EI51-ER50)))</f>
        <v>347.08999999999992</v>
      </c>
      <c r="EK51" s="18">
        <f>EJ51*VLOOKUP('Données projet'!$B$15,Paramètres!$A$1:$I$89,3,0)*VLOOKUP('Données projet'!$B$15,Paramètres!$A$1:$I$89,5,0)</f>
        <v>162.43811999999997</v>
      </c>
      <c r="EL51" s="14">
        <f t="shared" si="45"/>
        <v>41.391955212184378</v>
      </c>
      <c r="EM51" s="22">
        <f t="shared" si="19"/>
        <v>355.00404766122102</v>
      </c>
      <c r="EN51" s="62">
        <f t="shared" si="20"/>
        <v>648.33738099455434</v>
      </c>
      <c r="EO51" s="62">
        <f ca="1">AVERAGE(OFFSET($EN$3,0,0,'Données projet'!$E$15+1,1))-AVERAGE(OFFSET($H$3,0,0,'Données projet'!$E$15+1,1))</f>
        <v>301.04834785168049</v>
      </c>
      <c r="EP51" s="62">
        <f t="shared" si="46"/>
        <v>164.1450425611464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3.1761666666666666</v>
      </c>
      <c r="FE51" s="13">
        <f>IF('Données projet'!$A$218&gt;35,FE50+FD51-FM50,IF(A51&lt;'Données projet'!$A$218,$FB$205^A51,IF(A51='Données projet'!$A$218,'Données projet'!$B$218,FE50+FD51-FM50)))</f>
        <v>152.45599999999982</v>
      </c>
      <c r="FF51" s="18">
        <f>FE51*VLOOKUP('Données projet'!$B$16,Paramètres!$A$1:$I$89,3,0)*VLOOKUP('Données projet'!$B$16,Paramètres!$A$1:$I$89,5,0)</f>
        <v>137.94218879999983</v>
      </c>
      <c r="FG51" s="14">
        <f t="shared" si="47"/>
        <v>35.825184344690818</v>
      </c>
      <c r="FH51" s="22">
        <f t="shared" si="22"/>
        <v>302.6448415603362</v>
      </c>
      <c r="FI51" s="62">
        <f t="shared" si="23"/>
        <v>595.97817489366957</v>
      </c>
      <c r="FJ51" s="62">
        <f ca="1">AVERAGE(OFFSET($FI$3,0,0,'Données projet'!$E$16+1,1))-AVERAGE(OFFSET($H$3,0,0,'Données projet'!$E$16+1,1))</f>
        <v>330.53726676433649</v>
      </c>
      <c r="FK51" s="62">
        <f t="shared" si="48"/>
        <v>228.01260676706528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3.1761666666666666</v>
      </c>
      <c r="FZ51" s="13">
        <f>IF('Données projet'!$A$244&gt;35,FZ50+FY51-GH50,IF(A51&lt;'Données projet'!$A$244,$FW$205^A51,IF(A51='Données projet'!$A$244,'Données projet'!$B$244,FZ50+FY51-GH50)))</f>
        <v>152.45599999999982</v>
      </c>
      <c r="GA51" s="18">
        <f>FZ51*VLOOKUP('Données projet'!$B$17,Paramètres!$A$1:$I$89,3,0)*VLOOKUP('Données projet'!$B$17,Paramètres!$A$1:$I$89,5,0)</f>
        <v>173.61689279999979</v>
      </c>
      <c r="GB51" s="14">
        <f t="shared" si="49"/>
        <v>43.899092043225238</v>
      </c>
      <c r="GC51" s="22">
        <f t="shared" si="25"/>
        <v>378.8403402686169</v>
      </c>
      <c r="GD51" s="62">
        <f t="shared" si="26"/>
        <v>672.17367360195021</v>
      </c>
      <c r="GE51" s="62">
        <f ca="1">AVERAGE(OFFSET($GD$3,0,0,'Données projet'!$E$17+1,1))-AVERAGE(OFFSET($H$3,0,0,'Données projet'!$E$17+1,1))</f>
        <v>405.71017054131318</v>
      </c>
      <c r="GF51" s="62">
        <f t="shared" si="50"/>
        <v>276.12900965322166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3.1761666666666666</v>
      </c>
      <c r="GU51" s="13">
        <f>IF('Données projet'!$A$270&gt;35,GU50+GT51-HC50,IF(A51&lt;'Données projet'!$A$270,$GR$205^A51,IF(A51='Données projet'!$A$270,'Données projet'!$B$270,GU50+GT51-HC50)))</f>
        <v>152.45599999999982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9.3712500000000034</v>
      </c>
      <c r="N52" s="14">
        <f>IF('Données projet'!$A$36&gt;35,N51+M52-V51,IF(A52&lt;'Données projet'!$A$36,$K$205^A52,IF(A52='Données projet'!$A$36,'Données projet'!$B$36,N51+M52-V51)))</f>
        <v>185.64875000000012</v>
      </c>
      <c r="O52" s="14">
        <f>N52*VLOOKUP('Données projet'!$B$9,Paramètres!$A$1:$I$89,3,0)*VLOOKUP('Données projet'!$B$9,Paramètres!$A$1:$I$89,5,0)</f>
        <v>167.97498900000011</v>
      </c>
      <c r="P52" s="14">
        <f t="shared" si="33"/>
        <v>42.636172660412917</v>
      </c>
      <c r="Q52" s="22">
        <f t="shared" si="53"/>
        <v>366.81443989188602</v>
      </c>
      <c r="R52" s="62">
        <f t="shared" si="0"/>
        <v>660.14777322521934</v>
      </c>
      <c r="S52" s="62">
        <f ca="1">AVERAGE(OFFSET($R$3,0,0,'Données projet'!$E$9+1,1))-AVERAGE(OFFSET($H$3,0,0,'Données projet'!$E$9+1,1))</f>
        <v>452.54136967045082</v>
      </c>
      <c r="T52" s="62">
        <f t="shared" si="34"/>
        <v>269.67340993773422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3.2357608844675396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3.2357608844675396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15.725555555555552</v>
      </c>
      <c r="AI52" s="14">
        <f>IF('Données projet'!$A$62&gt;35,AI51+AH52-AQ51,IF(A52&lt;'Données projet'!$A$62,$AF$205^A52,IF(A52='Données projet'!$A$62,'Données projet'!$B$62,AI51+AH52-AQ51)))</f>
        <v>354.21444444444461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9.3712500000000034</v>
      </c>
      <c r="BD52" s="13">
        <f>IF('Données projet'!$A$88&gt;35,BD51+BC52-BL51,IF(A52&lt;'Données projet'!$A$88,$BA$205^A52,IF(A52='Données projet'!$A$88,'Données projet'!$B$88,BD51+BC52-BL51)))</f>
        <v>185.64875000000012</v>
      </c>
      <c r="BE52" s="14">
        <f>BD52*VLOOKUP('Données projet'!$B$11,Paramètres!$A$1:$I$89,3,0)*VLOOKUP('Données projet'!$B$11,Paramètres!$A$1:$I$89,5,0)</f>
        <v>188.24783250000013</v>
      </c>
      <c r="BF52" s="14">
        <f t="shared" si="37"/>
        <v>47.152364864692288</v>
      </c>
      <c r="BG52" s="22">
        <f t="shared" si="7"/>
        <v>409.98867707683922</v>
      </c>
      <c r="BH52" s="62">
        <f t="shared" si="8"/>
        <v>703.32201041017254</v>
      </c>
      <c r="BI52" s="62">
        <f ca="1">AVERAGE(OFFSET($BH$3,0,0,'Données projet'!$E$11+1,1))-AVERAGE(OFFSET($H$3,0,0,'Données projet'!$E$11+1,1))</f>
        <v>502.06005292569733</v>
      </c>
      <c r="BJ52" s="62">
        <f t="shared" si="38"/>
        <v>297.06786598620607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3.6262837498343132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3.6262837498343132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3.5899999999999976</v>
      </c>
      <c r="BY52" s="13">
        <f>IF('Données projet'!$A$114&gt;35,BY51+BX52-CG51,IF(A52&lt;'Données projet'!$A$114,$BV$205^A52,IF(A52='Données projet'!$A$114,'Données projet'!$B$114,BY51+BX52-CG51)))</f>
        <v>102.82000000000002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-5.6843418860808015E-14</v>
      </c>
      <c r="CU52" s="18">
        <f>CT52*VLOOKUP('Données projet'!$B$13,Paramètres!$A$1:$I$89,3,0)*VLOOKUP('Données projet'!$B$13,Paramètres!$A$1:$I$89,5,0)</f>
        <v>-5.1431925385259088E-14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204.787338911576</v>
      </c>
      <c r="CZ52" s="62">
        <f t="shared" si="42"/>
        <v>287.24932051638558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32.136626817898133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32.136626817898133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116.60000000000004</v>
      </c>
      <c r="DP52" s="18">
        <f>DO52*VLOOKUP('Données projet'!$B$14,Paramètres!$A$1:$I$89,3,0)*VLOOKUP('Données projet'!$B$14,Paramètres!$A$1:$I$89,5,0)</f>
        <v>110.95656000000004</v>
      </c>
      <c r="DQ52" s="14">
        <f t="shared" si="43"/>
        <v>29.556243873981607</v>
      </c>
      <c r="DR52" s="22">
        <f t="shared" si="16"/>
        <v>244.72646674718473</v>
      </c>
      <c r="DS52" s="62">
        <f t="shared" si="17"/>
        <v>538.05980008051802</v>
      </c>
      <c r="DT52" s="62">
        <f ca="1">AVERAGE(OFFSET($DS$3,0,0,'Données projet'!$E$14+1,1))-AVERAGE(OFFSET($H$3,0,0,'Données projet'!$E$14+1,1))</f>
        <v>309.55876703480277</v>
      </c>
      <c r="DU52" s="62">
        <f t="shared" si="44"/>
        <v>122.43799205838684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1.4571428432798326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1.4571428432798326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14.526666666666671</v>
      </c>
      <c r="EJ52" s="13">
        <f>IF('Données projet'!$A$192&gt;35,EJ51+EI52-ER51,IF(A52&lt;'Données projet'!$A$192,$EG$205^A52,IF(A52='Données projet'!$A$192,'Données projet'!$B$192,EJ51+EI52-ER51)))</f>
        <v>361.61666666666656</v>
      </c>
      <c r="EK52" s="18">
        <f>EJ52*VLOOKUP('Données projet'!$B$15,Paramètres!$A$1:$I$89,3,0)*VLOOKUP('Données projet'!$B$15,Paramètres!$A$1:$I$89,5,0)</f>
        <v>169.23659999999995</v>
      </c>
      <c r="EL52" s="14">
        <f t="shared" si="45"/>
        <v>42.919002620442882</v>
      </c>
      <c r="EM52" s="22">
        <f t="shared" si="19"/>
        <v>369.50434123060467</v>
      </c>
      <c r="EN52" s="62">
        <f t="shared" si="20"/>
        <v>662.83767456393798</v>
      </c>
      <c r="EO52" s="62">
        <f ca="1">AVERAGE(OFFSET($EN$3,0,0,'Données projet'!$E$15+1,1))-AVERAGE(OFFSET($H$3,0,0,'Données projet'!$E$15+1,1))</f>
        <v>301.04834785168049</v>
      </c>
      <c r="EP52" s="62">
        <f t="shared" si="46"/>
        <v>164.1450425611464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3.1761666666666666</v>
      </c>
      <c r="FE52" s="13">
        <f>IF('Données projet'!$A$218&gt;35,FE51+FD52-FM51,IF(A52&lt;'Données projet'!$A$218,$FB$205^A52,IF(A52='Données projet'!$A$218,'Données projet'!$B$218,FE51+FD52-FM51)))</f>
        <v>155.63216666666648</v>
      </c>
      <c r="FF52" s="18">
        <f>FE52*VLOOKUP('Données projet'!$B$16,Paramètres!$A$1:$I$89,3,0)*VLOOKUP('Données projet'!$B$16,Paramètres!$A$1:$I$89,5,0)</f>
        <v>140.81598439999982</v>
      </c>
      <c r="FG52" s="14">
        <f t="shared" si="47"/>
        <v>36.483872789820673</v>
      </c>
      <c r="FH52" s="22">
        <f t="shared" si="22"/>
        <v>308.79725127227067</v>
      </c>
      <c r="FI52" s="62">
        <f t="shared" si="23"/>
        <v>602.13058460560399</v>
      </c>
      <c r="FJ52" s="62">
        <f ca="1">AVERAGE(OFFSET($FI$3,0,0,'Données projet'!$E$16+1,1))-AVERAGE(OFFSET($H$3,0,0,'Données projet'!$E$16+1,1))</f>
        <v>330.53726676433649</v>
      </c>
      <c r="FK52" s="62">
        <f t="shared" si="48"/>
        <v>228.01260676706528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3.1761666666666666</v>
      </c>
      <c r="FZ52" s="13">
        <f>IF('Données projet'!$A$244&gt;35,FZ51+FY52-GH51,IF(A52&lt;'Données projet'!$A$244,$FW$205^A52,IF(A52='Données projet'!$A$244,'Données projet'!$B$244,FZ51+FY52-GH51)))</f>
        <v>155.63216666666648</v>
      </c>
      <c r="GA52" s="18">
        <f>FZ52*VLOOKUP('Données projet'!$B$17,Paramètres!$A$1:$I$89,3,0)*VLOOKUP('Données projet'!$B$17,Paramètres!$A$1:$I$89,5,0)</f>
        <v>177.23391139999978</v>
      </c>
      <c r="GB52" s="14">
        <f t="shared" si="49"/>
        <v>44.706228844039764</v>
      </c>
      <c r="GC52" s="22">
        <f t="shared" si="25"/>
        <v>386.54574425836881</v>
      </c>
      <c r="GD52" s="62">
        <f t="shared" si="26"/>
        <v>679.87907759170207</v>
      </c>
      <c r="GE52" s="62">
        <f ca="1">AVERAGE(OFFSET($GD$3,0,0,'Données projet'!$E$17+1,1))-AVERAGE(OFFSET($H$3,0,0,'Données projet'!$E$17+1,1))</f>
        <v>405.71017054131318</v>
      </c>
      <c r="GF52" s="62">
        <f t="shared" si="50"/>
        <v>276.12900965322166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3.1761666666666666</v>
      </c>
      <c r="GU52" s="13">
        <f>IF('Données projet'!$A$270&gt;35,GU51+GT52-HC51,IF(A52&lt;'Données projet'!$A$270,$GR$205^A52,IF(A52='Données projet'!$A$270,'Données projet'!$B$270,GU51+GT52-HC51)))</f>
        <v>155.63216666666648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195.02</v>
      </c>
      <c r="L53" s="13">
        <f>VLOOKUP(A53,'Données projet'!$A$35:$I$55,9,0)</f>
        <v>9.3712500000000034</v>
      </c>
      <c r="M53" s="13">
        <f t="array" ref="M53">INDEX(L:L,MIN(IF(ISNUMBER(L53:L249),ROW(L53:L249),"")))</f>
        <v>9.3712500000000034</v>
      </c>
      <c r="N53" s="14">
        <f>IF('Données projet'!$A$36&gt;35,N52+M53-V52,IF(A53&lt;'Données projet'!$A$36,$K$205^A53,IF(A53='Données projet'!$A$36,'Données projet'!$B$36,N52+M53-V52)))</f>
        <v>195.02000000000012</v>
      </c>
      <c r="O53" s="14">
        <f>N53*VLOOKUP('Données projet'!$B$9,Paramètres!$A$1:$I$89,3,0)*VLOOKUP('Données projet'!$B$9,Paramètres!$A$1:$I$89,5,0)</f>
        <v>176.45409600000011</v>
      </c>
      <c r="P53" s="14">
        <f t="shared" si="33"/>
        <v>44.532376676436577</v>
      </c>
      <c r="Q53" s="22">
        <f t="shared" si="53"/>
        <v>384.88477324479385</v>
      </c>
      <c r="R53" s="62">
        <f t="shared" si="0"/>
        <v>678.21810657812716</v>
      </c>
      <c r="S53" s="62">
        <f ca="1">AVERAGE(OFFSET($R$3,0,0,'Données projet'!$E$9+1,1))-AVERAGE(OFFSET($H$3,0,0,'Données projet'!$E$9+1,1))</f>
        <v>452.54136967045082</v>
      </c>
      <c r="T53" s="62">
        <f t="shared" si="34"/>
        <v>269.67340993773422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35.58</v>
      </c>
      <c r="W53" s="17">
        <f>IF(ISNA(VLOOKUP(A53,'Données projet'!$A$35:$I$55,5,0)),0%,VLOOKUP(A53,'Données projet'!$A$35:$I$55,5,0)*VLOOKUP('Données projet'!$B$9,Paramètres!$A$1:$I$89,7,0))</f>
        <v>0.129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7.7631834070669861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7.7631834070669861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369.94</v>
      </c>
      <c r="AG53" s="13">
        <f>VLOOKUP(A53,'Données projet'!$A$61:$I$81,9,0)</f>
        <v>15.725555555555552</v>
      </c>
      <c r="AH53" s="13">
        <f t="array" ref="AH53">INDEX(AG:AG,MIN(IF(ISNUMBER(AG53:AG249),ROW(AG53:AG249),"")))</f>
        <v>15.725555555555552</v>
      </c>
      <c r="AI53" s="14">
        <f>IF('Données projet'!$A$62&gt;35,AI52+AH53-AQ52,IF(A53&lt;'Données projet'!$A$62,$AF$205^A53,IF(A53='Données projet'!$A$62,'Données projet'!$B$62,AI52+AH53-AQ52)))</f>
        <v>369.94000000000017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70.2</v>
      </c>
      <c r="AR53" s="17" t="e">
        <f>IF(ISNA(VLOOKUP(A53,'Données projet'!$A$61:$I$81,5,0)),0%,VLOOKUP(A53,'Données projet'!$A$61:$I$81,5,0)*VLOOKUP('Données projet'!$B$10,Paramètres!$A$1:$I$89,7,0))</f>
        <v>#N/A</v>
      </c>
      <c r="AS53" s="17" t="e">
        <f>IF(ISNA(VLOOKUP(A53,'Données projet'!$A$61:$I$81,6,0)),0%,VLOOKUP(A53,'Données projet'!$A$61:$I$81,6,0)*VLOOKUP('Données projet'!$B$10,Paramètres!$A$1:$I$89,7,0))</f>
        <v>#N/A</v>
      </c>
      <c r="AT53" s="17">
        <f>IF(ISNA(VLOOKUP(A53,'Données projet'!$A$61:$I$81,7,0)),0%,VLOOKUP(A53,'Données projet'!$A$61:$I$81,7,0))</f>
        <v>0.22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195.02</v>
      </c>
      <c r="BB53" s="13">
        <f>VLOOKUP(A53,'Données projet'!$A$87:$I$107,9,0)</f>
        <v>9.3712500000000034</v>
      </c>
      <c r="BC53" s="13">
        <f t="array" ref="BC53">INDEX(BB:BB,MIN(IF(ISNUMBER(BB53:BB249),ROW(BB53:BB249),"")))</f>
        <v>9.3712500000000034</v>
      </c>
      <c r="BD53" s="13">
        <f>IF('Données projet'!$A$88&gt;35,BD52+BC53-BL52,IF(A53&lt;'Données projet'!$A$88,$BA$205^A53,IF(A53='Données projet'!$A$88,'Données projet'!$B$88,BD52+BC53-BL52)))</f>
        <v>195.02000000000012</v>
      </c>
      <c r="BE53" s="14">
        <f>BD53*VLOOKUP('Données projet'!$B$11,Paramètres!$A$1:$I$89,3,0)*VLOOKUP('Données projet'!$B$11,Paramètres!$A$1:$I$89,5,0)</f>
        <v>197.75028000000015</v>
      </c>
      <c r="BF53" s="14">
        <f t="shared" si="37"/>
        <v>49.24942231714175</v>
      </c>
      <c r="BG53" s="22">
        <f t="shared" si="7"/>
        <v>430.19114820235546</v>
      </c>
      <c r="BH53" s="62">
        <f t="shared" si="8"/>
        <v>723.52448153568878</v>
      </c>
      <c r="BI53" s="62">
        <f ca="1">AVERAGE(OFFSET($BH$3,0,0,'Données projet'!$E$11+1,1))-AVERAGE(OFFSET($H$3,0,0,'Données projet'!$E$11+1,1))</f>
        <v>502.06005292569733</v>
      </c>
      <c r="BJ53" s="62">
        <f t="shared" si="38"/>
        <v>297.06786598620607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35.58</v>
      </c>
      <c r="BM53" s="17">
        <f>IF(ISNA(VLOOKUP(A53,'Données projet'!$A$87:$I$107,5,0)),0%,VLOOKUP(A53,'Données projet'!$A$87:$I$107,5,0)*VLOOKUP('Données projet'!$B$11,Paramètres!$A$1:$I$89,7,0))</f>
        <v>0.129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8.7001193355061073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8.7001193355061073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106.41</v>
      </c>
      <c r="BW53" s="13">
        <f>VLOOKUP(A53,'Données projet'!$A$113:$I$133,9,0)</f>
        <v>3.5899999999999976</v>
      </c>
      <c r="BX53" s="13">
        <f t="array" ref="BX53">INDEX(BW:BW,MIN(IF(ISNUMBER(BW53:BW249),ROW(BW53:BW249),"")))</f>
        <v>3.5899999999999976</v>
      </c>
      <c r="BY53" s="13">
        <f>IF('Données projet'!$A$114&gt;35,BY52+BX53-CG52,IF(A53&lt;'Données projet'!$A$114,$BV$205^A53,IF(A53='Données projet'!$A$114,'Données projet'!$B$114,BY52+BX53-CG52)))</f>
        <v>106.41000000000003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12.18</v>
      </c>
      <c r="CH53" s="17" t="e">
        <f>IF(ISNA(VLOOKUP(A53,'Données projet'!$A$113:$I$133,5,0)),0%,VLOOKUP(A53,'Données projet'!$A$113:$I$133,5,0)*VLOOKUP('Données projet'!$B$12,Paramètres!$A$1:$I$89,7,0))</f>
        <v>#N/A</v>
      </c>
      <c r="CI53" s="17" t="e">
        <f>IF(ISNA(VLOOKUP(A53,'Données projet'!$A$113:$I$133,6,0)),0%,VLOOKUP(A53,'Données projet'!$A$113:$I$133,6,0)*VLOOKUP('Données projet'!$B$12,Paramètres!$A$1:$I$89,7,0))</f>
        <v>#N/A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-5.6843418860808015E-14</v>
      </c>
      <c r="CU53" s="18">
        <f>CT53*VLOOKUP('Données projet'!$B$13,Paramètres!$A$1:$I$89,3,0)*VLOOKUP('Données projet'!$B$13,Paramètres!$A$1:$I$89,5,0)</f>
        <v>-5.1431925385259088E-14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204.787338911576</v>
      </c>
      <c r="CZ53" s="62">
        <f t="shared" si="42"/>
        <v>287.24932051638558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31.50644716740603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31.50644716740603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125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125.00000000000004</v>
      </c>
      <c r="DP53" s="18">
        <f>DO53*VLOOKUP('Données projet'!$B$14,Paramètres!$A$1:$I$89,3,0)*VLOOKUP('Données projet'!$B$14,Paramètres!$A$1:$I$89,5,0)</f>
        <v>118.95000000000005</v>
      </c>
      <c r="DQ53" s="14">
        <f t="shared" si="43"/>
        <v>31.429978916194532</v>
      </c>
      <c r="DR53" s="22">
        <f t="shared" si="16"/>
        <v>261.9117966123722</v>
      </c>
      <c r="DS53" s="62">
        <f t="shared" si="17"/>
        <v>555.24512994570546</v>
      </c>
      <c r="DT53" s="62">
        <f ca="1">AVERAGE(OFFSET($DS$3,0,0,'Données projet'!$E$14+1,1))-AVERAGE(OFFSET($H$3,0,0,'Données projet'!$E$14+1,1))</f>
        <v>309.55876703480277</v>
      </c>
      <c r="DU53" s="62">
        <f t="shared" si="44"/>
        <v>122.43799205838684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15</v>
      </c>
      <c r="DX53" s="17">
        <f>IF(ISNA(VLOOKUP(A53,'Données projet'!$A$165:$I$185,5,0)),0%,VLOOKUP(A53,'Données projet'!$A$165:$I$185,5,0)*VLOOKUP('Données projet'!$B$14,Paramètres!$A$1:$I$89,7,0))</f>
        <v>0.129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3.4641226223639703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3.4641226223639703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14.526666666666671</v>
      </c>
      <c r="EJ53" s="13">
        <f>IF('Données projet'!$A$192&gt;35,EJ52+EI53-ER52,IF(A53&lt;'Données projet'!$A$192,$EG$205^A53,IF(A53='Données projet'!$A$192,'Données projet'!$B$192,EJ52+EI53-ER52)))</f>
        <v>376.1433333333332</v>
      </c>
      <c r="EK53" s="18">
        <f>EJ53*VLOOKUP('Données projet'!$B$15,Paramètres!$A$1:$I$89,3,0)*VLOOKUP('Données projet'!$B$15,Paramètres!$A$1:$I$89,5,0)</f>
        <v>176.03507999999994</v>
      </c>
      <c r="EL53" s="14">
        <f t="shared" si="45"/>
        <v>44.438924264621399</v>
      </c>
      <c r="EM53" s="22">
        <f t="shared" si="19"/>
        <v>383.99222409421549</v>
      </c>
      <c r="EN53" s="62">
        <f t="shared" si="20"/>
        <v>677.3255574275488</v>
      </c>
      <c r="EO53" s="62">
        <f ca="1">AVERAGE(OFFSET($EN$3,0,0,'Données projet'!$E$15+1,1))-AVERAGE(OFFSET($H$3,0,0,'Données projet'!$E$15+1,1))</f>
        <v>301.04834785168049</v>
      </c>
      <c r="EP53" s="62">
        <f t="shared" si="46"/>
        <v>164.1450425611464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3.1761666666666666</v>
      </c>
      <c r="FE53" s="13">
        <f>IF('Données projet'!$A$218&gt;35,FE52+FD53-FM52,IF(A53&lt;'Données projet'!$A$218,$FB$205^A53,IF(A53='Données projet'!$A$218,'Données projet'!$B$218,FE52+FD53-FM52)))</f>
        <v>158.80833333333314</v>
      </c>
      <c r="FF53" s="18">
        <f>FE53*VLOOKUP('Données projet'!$B$16,Paramètres!$A$1:$I$89,3,0)*VLOOKUP('Données projet'!$B$16,Paramètres!$A$1:$I$89,5,0)</f>
        <v>143.68977999999981</v>
      </c>
      <c r="FG53" s="14">
        <f t="shared" si="47"/>
        <v>37.140998256177909</v>
      </c>
      <c r="FH53" s="22">
        <f t="shared" si="22"/>
        <v>314.9469387961762</v>
      </c>
      <c r="FI53" s="62">
        <f t="shared" si="23"/>
        <v>608.28027212950951</v>
      </c>
      <c r="FJ53" s="62">
        <f ca="1">AVERAGE(OFFSET($FI$3,0,0,'Données projet'!$E$16+1,1))-AVERAGE(OFFSET($H$3,0,0,'Données projet'!$E$16+1,1))</f>
        <v>330.53726676433649</v>
      </c>
      <c r="FK53" s="62">
        <f t="shared" si="48"/>
        <v>228.01260676706528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3.1761666666666666</v>
      </c>
      <c r="FZ53" s="13">
        <f>IF('Données projet'!$A$244&gt;35,FZ52+FY53-GH52,IF(A53&lt;'Données projet'!$A$244,$FW$205^A53,IF(A53='Données projet'!$A$244,'Données projet'!$B$244,FZ52+FY53-GH52)))</f>
        <v>158.80833333333314</v>
      </c>
      <c r="GA53" s="18">
        <f>FZ53*VLOOKUP('Données projet'!$B$17,Paramètres!$A$1:$I$89,3,0)*VLOOKUP('Données projet'!$B$17,Paramètres!$A$1:$I$89,5,0)</f>
        <v>180.85092999999978</v>
      </c>
      <c r="GB53" s="14">
        <f t="shared" si="49"/>
        <v>45.511450418170682</v>
      </c>
      <c r="GC53" s="22">
        <f t="shared" si="25"/>
        <v>394.24781256164687</v>
      </c>
      <c r="GD53" s="62">
        <f t="shared" si="26"/>
        <v>687.58114589498018</v>
      </c>
      <c r="GE53" s="62">
        <f ca="1">AVERAGE(OFFSET($GD$3,0,0,'Données projet'!$E$17+1,1))-AVERAGE(OFFSET($H$3,0,0,'Données projet'!$E$17+1,1))</f>
        <v>405.71017054131318</v>
      </c>
      <c r="GF53" s="62">
        <f t="shared" si="50"/>
        <v>276.12900965322166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3.1761666666666666</v>
      </c>
      <c r="GU53" s="13">
        <f>IF('Données projet'!$A$270&gt;35,GU52+GT53-HC52,IF(A53&lt;'Données projet'!$A$270,$GR$205^A53,IF(A53='Données projet'!$A$270,'Données projet'!$B$270,GU52+GT53-HC52)))</f>
        <v>158.80833333333314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9.5537500000000009</v>
      </c>
      <c r="N54" s="14">
        <f>IF('Données projet'!$A$36&gt;35,N53+M54-V53,IF(A54&lt;'Données projet'!$A$36,$K$205^A54,IF(A54='Données projet'!$A$36,'Données projet'!$B$36,N53+M54-V53)))</f>
        <v>168.99375000000015</v>
      </c>
      <c r="O54" s="14">
        <f>N54*VLOOKUP('Données projet'!$B$9,Paramètres!$A$1:$I$89,3,0)*VLOOKUP('Données projet'!$B$9,Paramètres!$A$1:$I$89,5,0)</f>
        <v>152.90554500000013</v>
      </c>
      <c r="P54" s="14">
        <f t="shared" si="33"/>
        <v>39.238142074568863</v>
      </c>
      <c r="Q54" s="22">
        <f t="shared" si="53"/>
        <v>334.65025498820768</v>
      </c>
      <c r="R54" s="62">
        <f t="shared" si="0"/>
        <v>627.98358832154099</v>
      </c>
      <c r="S54" s="62">
        <f ca="1">AVERAGE(OFFSET($R$3,0,0,'Données projet'!$E$9+1,1))-AVERAGE(OFFSET($H$3,0,0,'Données projet'!$E$9+1,1))</f>
        <v>452.54136967045082</v>
      </c>
      <c r="T54" s="62">
        <f t="shared" si="34"/>
        <v>269.67340993773422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7.6109521155287307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7.6109521155287307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14.12</v>
      </c>
      <c r="AI54" s="14">
        <f>IF('Données projet'!$A$62&gt;35,AI53+AH54-AQ53,IF(A54&lt;'Données projet'!$A$62,$AF$205^A54,IF(A54='Données projet'!$A$62,'Données projet'!$B$62,AI53+AH54-AQ53)))</f>
        <v>313.86000000000018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9.5537500000000009</v>
      </c>
      <c r="BD54" s="13">
        <f>IF('Données projet'!$A$88&gt;35,BD53+BC54-BL53,IF(A54&lt;'Données projet'!$A$88,$BA$205^A54,IF(A54='Données projet'!$A$88,'Données projet'!$B$88,BD53+BC54-BL53)))</f>
        <v>168.99375000000015</v>
      </c>
      <c r="BE54" s="14">
        <f>BD54*VLOOKUP('Données projet'!$B$11,Paramètres!$A$1:$I$89,3,0)*VLOOKUP('Données projet'!$B$11,Paramètres!$A$1:$I$89,5,0)</f>
        <v>171.35966250000016</v>
      </c>
      <c r="BF54" s="14">
        <f t="shared" si="37"/>
        <v>43.39440142643388</v>
      </c>
      <c r="BG54" s="22">
        <f t="shared" si="7"/>
        <v>374.0299946718726</v>
      </c>
      <c r="BH54" s="62">
        <f t="shared" si="8"/>
        <v>667.36332800520586</v>
      </c>
      <c r="BI54" s="62">
        <f ca="1">AVERAGE(OFFSET($BH$3,0,0,'Données projet'!$E$11+1,1))-AVERAGE(OFFSET($H$3,0,0,'Données projet'!$E$11+1,1))</f>
        <v>502.06005292569733</v>
      </c>
      <c r="BJ54" s="62">
        <f t="shared" si="38"/>
        <v>297.06786598620607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8.5295153018856489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8.5295153018856489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3.2060000000000031</v>
      </c>
      <c r="BY54" s="13">
        <f>IF('Données projet'!$A$114&gt;35,BY53+BX54-CG53,IF(A54&lt;'Données projet'!$A$114,$BV$205^A54,IF(A54='Données projet'!$A$114,'Données projet'!$B$114,BY53+BX54-CG53)))</f>
        <v>97.436000000000035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>
        <f>CT54*VLOOKUP('Données projet'!$B$13,Paramètres!$A$1:$I$89,3,0)*VLOOKUP('Données projet'!$B$13,Paramètres!$A$1:$I$89,5,0)</f>
        <v>-5.1431925385259088E-14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204.787338911576</v>
      </c>
      <c r="CZ54" s="62">
        <f t="shared" si="42"/>
        <v>287.24932051638558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30.888624955488446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30.888624955488446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7.8</v>
      </c>
      <c r="DO54" s="13">
        <f>IF('Données projet'!$A$166&gt;35,DO53+DN54-DW53,IF(A54&lt;'Données projet'!$A$166,$DL$205^A54,IF(A54='Données projet'!$A$166,'Données projet'!$B$166,DO53+DN54-DW53)))</f>
        <v>117.80000000000004</v>
      </c>
      <c r="DP54" s="18">
        <f>DO54*VLOOKUP('Données projet'!$B$14,Paramètres!$A$1:$I$89,3,0)*VLOOKUP('Données projet'!$B$14,Paramètres!$A$1:$I$89,5,0)</f>
        <v>112.09848000000004</v>
      </c>
      <c r="DQ54" s="14">
        <f t="shared" si="43"/>
        <v>29.824857740304637</v>
      </c>
      <c r="DR54" s="22">
        <f t="shared" si="16"/>
        <v>247.18314656436397</v>
      </c>
      <c r="DS54" s="62">
        <f t="shared" si="17"/>
        <v>540.51647989769731</v>
      </c>
      <c r="DT54" s="62">
        <f ca="1">AVERAGE(OFFSET($DS$3,0,0,'Données projet'!$E$14+1,1))-AVERAGE(OFFSET($H$3,0,0,'Données projet'!$E$14+1,1))</f>
        <v>309.55876703480277</v>
      </c>
      <c r="DU54" s="62">
        <f t="shared" si="44"/>
        <v>122.43799205838684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3.3961932906455803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3.3961932906455803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>
        <f>VLOOKUP(A54,'Données projet'!$A$191:$I$211,2,0)</f>
        <v>390.67</v>
      </c>
      <c r="EH54" s="13">
        <f>VLOOKUP(A54,'Données projet'!$A$191:$I$211,9,0)</f>
        <v>14.526666666666671</v>
      </c>
      <c r="EI54" s="13">
        <f t="array" ref="EI54">INDEX(EH:EH,MIN(IF(ISNUMBER(EH54:EH250),ROW(EH54:EH250),"")))</f>
        <v>14.526666666666671</v>
      </c>
      <c r="EJ54" s="13">
        <f>IF('Données projet'!$A$192&gt;35,EJ53+EI54-ER53,IF(A54&lt;'Données projet'!$A$192,$EG$205^A54,IF(A54='Données projet'!$A$192,'Données projet'!$B$192,EJ53+EI54-ER53)))</f>
        <v>390.66999999999985</v>
      </c>
      <c r="EK54" s="18">
        <f>EJ54*VLOOKUP('Données projet'!$B$15,Paramètres!$A$1:$I$89,3,0)*VLOOKUP('Données projet'!$B$15,Paramètres!$A$1:$I$89,5,0)</f>
        <v>182.83355999999992</v>
      </c>
      <c r="EL54" s="14">
        <f t="shared" si="45"/>
        <v>45.952026840631447</v>
      </c>
      <c r="EM54" s="22">
        <f t="shared" si="19"/>
        <v>398.46823041409965</v>
      </c>
      <c r="EN54" s="62">
        <f t="shared" si="20"/>
        <v>691.80156374743297</v>
      </c>
      <c r="EO54" s="62">
        <f ca="1">AVERAGE(OFFSET($EN$3,0,0,'Données projet'!$E$15+1,1))-AVERAGE(OFFSET($H$3,0,0,'Données projet'!$E$15+1,1))</f>
        <v>301.04834785168049</v>
      </c>
      <c r="EP54" s="62">
        <f t="shared" si="46"/>
        <v>164.1450425611464</v>
      </c>
      <c r="EQ54" s="16">
        <f>IF(ISNA(VLOOKUP(A54,'Données projet'!$A$191:$I$211,3,0)),0,VLOOKUP(A54,'Données projet'!$A$191:$I$211,3,0))</f>
        <v>1</v>
      </c>
      <c r="ER54" s="16">
        <f>IF(ISNA(VLOOKUP(A54,'Données projet'!$A$191:$I$211,4,0)),0,VLOOKUP(A54,'Données projet'!$A$191:$I$211,4,0))</f>
        <v>171.3</v>
      </c>
      <c r="ES54" s="17">
        <f>IF(ISNA(VLOOKUP(A54,'Données projet'!$A$191:$I$211,5,0)),0%,VLOOKUP(A54,'Données projet'!$A$191:$I$211,5,0)*VLOOKUP('Données projet'!$B$15,Paramètres!$A$1:$I$89,7,0))</f>
        <v>0.11000000000000001</v>
      </c>
      <c r="ET54" s="17">
        <f>IF(ISNA(VLOOKUP(A54,'Données projet'!$A$191:$I$211,6,0)),0%,VLOOKUP(A54,'Données projet'!$A$191:$I$211,6,0)*VLOOKUP('Données projet'!$B$15,Paramètres!$A$1:$I$89,7,0))</f>
        <v>0.24750000000000003</v>
      </c>
      <c r="EU54" s="17">
        <f>IF(ISNA(VLOOKUP(A54,'Données projet'!$A$191:$I$211,7,0)),0%,VLOOKUP(A54,'Données projet'!$A$191:$I$211,7,0))</f>
        <v>0.35</v>
      </c>
      <c r="EV54" s="23">
        <f>EXP(-LN(2)/35)*EV53+(1-EXP(-LN(2)/35))/(LN(2)/35)*ER54*ES54*VLOOKUP('Données projet'!$B$15,Paramètres!$A$1:$I$89,3,0)*0.475*44/12</f>
        <v>11.698340487840518</v>
      </c>
      <c r="EW54" s="23">
        <f>EXP(-LN(2)/25)*EW53+(1-EXP(-LN(2)/25))/(LN(2)/25)*Calculateur!ER54*Calculateur!ET54*VLOOKUP('Données projet'!$B$15,Paramètres!$A$1:$I$89,3,0)*0.475*44/12</f>
        <v>26.217629243826092</v>
      </c>
      <c r="EX54" s="23">
        <f>EXP(-LN(2)/2)*EX53+(1-EXP(-LN(2)/2))/(LN(2)/2)*ER54*EU54*VLOOKUP('Données projet'!$B$15,Paramètres!$A$1:$I$89,3,0)*0.475*44/12</f>
        <v>31.769238102357253</v>
      </c>
      <c r="EY54" s="24">
        <f t="shared" si="21"/>
        <v>69.685207834023856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3.1761666666666666</v>
      </c>
      <c r="FE54" s="13">
        <f>IF('Données projet'!$A$218&gt;35,FE53+FD54-FM53,IF(A54&lt;'Données projet'!$A$218,$FB$205^A54,IF(A54='Données projet'!$A$218,'Données projet'!$B$218,FE53+FD54-FM53)))</f>
        <v>161.9844999999998</v>
      </c>
      <c r="FF54" s="18">
        <f>FE54*VLOOKUP('Données projet'!$B$16,Paramètres!$A$1:$I$89,3,0)*VLOOKUP('Données projet'!$B$16,Paramètres!$A$1:$I$89,5,0)</f>
        <v>146.56357559999981</v>
      </c>
      <c r="FG54" s="14">
        <f t="shared" si="47"/>
        <v>37.796595606053266</v>
      </c>
      <c r="FH54" s="22">
        <f t="shared" si="22"/>
        <v>321.09396485054248</v>
      </c>
      <c r="FI54" s="62">
        <f t="shared" si="23"/>
        <v>614.42729818387579</v>
      </c>
      <c r="FJ54" s="62">
        <f ca="1">AVERAGE(OFFSET($FI$3,0,0,'Données projet'!$E$16+1,1))-AVERAGE(OFFSET($H$3,0,0,'Données projet'!$E$16+1,1))</f>
        <v>330.53726676433649</v>
      </c>
      <c r="FK54" s="62">
        <f t="shared" si="48"/>
        <v>228.01260676706528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3.1761666666666666</v>
      </c>
      <c r="FZ54" s="13">
        <f>IF('Données projet'!$A$244&gt;35,FZ53+FY54-GH53,IF(A54&lt;'Données projet'!$A$244,$FW$205^A54,IF(A54='Données projet'!$A$244,'Données projet'!$B$244,FZ53+FY54-GH53)))</f>
        <v>161.9844999999998</v>
      </c>
      <c r="GA54" s="18">
        <f>FZ54*VLOOKUP('Données projet'!$B$17,Paramètres!$A$1:$I$89,3,0)*VLOOKUP('Données projet'!$B$17,Paramètres!$A$1:$I$89,5,0)</f>
        <v>184.46794859999977</v>
      </c>
      <c r="GB54" s="14">
        <f t="shared" si="49"/>
        <v>46.314799484809548</v>
      </c>
      <c r="GC54" s="22">
        <f t="shared" si="25"/>
        <v>401.94661958104285</v>
      </c>
      <c r="GD54" s="62">
        <f t="shared" si="26"/>
        <v>695.27995291437617</v>
      </c>
      <c r="GE54" s="62">
        <f ca="1">AVERAGE(OFFSET($GD$3,0,0,'Données projet'!$E$17+1,1))-AVERAGE(OFFSET($H$3,0,0,'Données projet'!$E$17+1,1))</f>
        <v>405.71017054131318</v>
      </c>
      <c r="GF54" s="62">
        <f t="shared" si="50"/>
        <v>276.12900965322166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3.1761666666666666</v>
      </c>
      <c r="GU54" s="13">
        <f>IF('Données projet'!$A$270&gt;35,GU53+GT54-HC53,IF(A54&lt;'Données projet'!$A$270,$GR$205^A54,IF(A54='Données projet'!$A$270,'Données projet'!$B$270,GU53+GT54-HC53)))</f>
        <v>161.9844999999998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9.5537500000000009</v>
      </c>
      <c r="N55" s="14">
        <f>IF('Données projet'!$A$36&gt;35,N54+M55-V54,IF(A55&lt;'Données projet'!$A$36,$K$205^A55,IF(A55='Données projet'!$A$36,'Données projet'!$B$36,N54+M55-V54)))</f>
        <v>178.54750000000016</v>
      </c>
      <c r="O55" s="14">
        <f>N55*VLOOKUP('Données projet'!$B$9,Paramètres!$A$1:$I$89,3,0)*VLOOKUP('Données projet'!$B$9,Paramètres!$A$1:$I$89,5,0)</f>
        <v>161.54977800000012</v>
      </c>
      <c r="P55" s="14">
        <f t="shared" si="33"/>
        <v>41.191875810979205</v>
      </c>
      <c r="Q55" s="22">
        <f t="shared" si="53"/>
        <v>353.10838038745561</v>
      </c>
      <c r="R55" s="62">
        <f t="shared" si="0"/>
        <v>646.44171372078893</v>
      </c>
      <c r="S55" s="62">
        <f ca="1">AVERAGE(OFFSET($R$3,0,0,'Données projet'!$E$9+1,1))-AVERAGE(OFFSET($H$3,0,0,'Données projet'!$E$9+1,1))</f>
        <v>452.54136967045082</v>
      </c>
      <c r="T55" s="62">
        <f t="shared" si="34"/>
        <v>269.67340993773422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7.4617059867656215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7.4617059867656215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14.12</v>
      </c>
      <c r="AI55" s="14">
        <f>IF('Données projet'!$A$62&gt;35,AI54+AH55-AQ54,IF(A55&lt;'Données projet'!$A$62,$AF$205^A55,IF(A55='Données projet'!$A$62,'Données projet'!$B$62,AI54+AH55-AQ54)))</f>
        <v>327.98000000000019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9.5537500000000009</v>
      </c>
      <c r="BD55" s="13">
        <f>IF('Données projet'!$A$88&gt;35,BD54+BC55-BL54,IF(A55&lt;'Données projet'!$A$88,$BA$205^A55,IF(A55='Données projet'!$A$88,'Données projet'!$B$88,BD54+BC55-BL54)))</f>
        <v>178.54750000000016</v>
      </c>
      <c r="BE55" s="14">
        <f>BD55*VLOOKUP('Données projet'!$B$11,Paramètres!$A$1:$I$89,3,0)*VLOOKUP('Données projet'!$B$11,Paramètres!$A$1:$I$89,5,0)</f>
        <v>181.04716500000015</v>
      </c>
      <c r="BF55" s="14">
        <f t="shared" si="37"/>
        <v>45.55508237501288</v>
      </c>
      <c r="BG55" s="22">
        <f t="shared" si="7"/>
        <v>394.66558084481431</v>
      </c>
      <c r="BH55" s="62">
        <f t="shared" si="8"/>
        <v>687.99891417814763</v>
      </c>
      <c r="BI55" s="62">
        <f ca="1">AVERAGE(OFFSET($BH$3,0,0,'Données projet'!$E$11+1,1))-AVERAGE(OFFSET($H$3,0,0,'Données projet'!$E$11+1,1))</f>
        <v>502.06005292569733</v>
      </c>
      <c r="BJ55" s="62">
        <f t="shared" si="38"/>
        <v>297.06786598620607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8.3622567093063029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8.3622567093063029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3.2060000000000031</v>
      </c>
      <c r="BY55" s="13">
        <f>IF('Données projet'!$A$114&gt;35,BY54+BX55-CG54,IF(A55&lt;'Données projet'!$A$114,$BV$205^A55,IF(A55='Données projet'!$A$114,'Données projet'!$B$114,BY54+BX55-CG54)))</f>
        <v>100.64200000000004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>
        <f>CT55*VLOOKUP('Données projet'!$B$13,Paramètres!$A$1:$I$89,3,0)*VLOOKUP('Données projet'!$B$13,Paramètres!$A$1:$I$89,5,0)</f>
        <v>-5.1431925385259088E-14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204.787338911576</v>
      </c>
      <c r="CZ55" s="62">
        <f t="shared" si="42"/>
        <v>287.24932051638558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30.282917860312224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30.282917860312224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7.8</v>
      </c>
      <c r="DO55" s="13">
        <f>IF('Données projet'!$A$166&gt;35,DO54+DN55-DW54,IF(A55&lt;'Données projet'!$A$166,$DL$205^A55,IF(A55='Données projet'!$A$166,'Données projet'!$B$166,DO54+DN55-DW54)))</f>
        <v>125.60000000000004</v>
      </c>
      <c r="DP55" s="18">
        <f>DO55*VLOOKUP('Données projet'!$B$14,Paramètres!$A$1:$I$89,3,0)*VLOOKUP('Données projet'!$B$14,Paramètres!$A$1:$I$89,5,0)</f>
        <v>119.52096000000003</v>
      </c>
      <c r="DQ55" s="14">
        <f t="shared" si="43"/>
        <v>31.563245083901329</v>
      </c>
      <c r="DR55" s="22">
        <f t="shared" si="16"/>
        <v>263.13832385446153</v>
      </c>
      <c r="DS55" s="62">
        <f t="shared" si="17"/>
        <v>556.47165718779479</v>
      </c>
      <c r="DT55" s="62">
        <f ca="1">AVERAGE(OFFSET($DS$3,0,0,'Données projet'!$E$14+1,1))-AVERAGE(OFFSET($H$3,0,0,'Données projet'!$E$14+1,1))</f>
        <v>309.55876703480277</v>
      </c>
      <c r="DU55" s="62">
        <f t="shared" si="44"/>
        <v>122.43799205838684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3.3295960116893868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3.3295960116893868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13.224999999999994</v>
      </c>
      <c r="EJ55" s="13">
        <f>IF('Données projet'!$A$192&gt;35,EJ54+EI55-ER54,IF(A55&lt;'Données projet'!$A$192,$EG$205^A55,IF(A55='Données projet'!$A$192,'Données projet'!$B$192,EJ54+EI55-ER54)))</f>
        <v>232.59499999999986</v>
      </c>
      <c r="EK55" s="18">
        <f>EJ55*VLOOKUP('Données projet'!$B$15,Paramètres!$A$1:$I$89,3,0)*VLOOKUP('Données projet'!$B$15,Paramètres!$A$1:$I$89,5,0)</f>
        <v>108.85445999999993</v>
      </c>
      <c r="EL55" s="14">
        <f t="shared" si="45"/>
        <v>29.060922192338065</v>
      </c>
      <c r="EM55" s="22">
        <f t="shared" si="19"/>
        <v>240.20262398498866</v>
      </c>
      <c r="EN55" s="62">
        <f t="shared" si="20"/>
        <v>533.53595731832195</v>
      </c>
      <c r="EO55" s="62">
        <f ca="1">AVERAGE(OFFSET($EN$3,0,0,'Données projet'!$E$15+1,1))-AVERAGE(OFFSET($H$3,0,0,'Données projet'!$E$15+1,1))</f>
        <v>301.04834785168049</v>
      </c>
      <c r="EP55" s="62">
        <f t="shared" si="46"/>
        <v>164.1450425611464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11.468943166157112</v>
      </c>
      <c r="EW55" s="23">
        <f>EXP(-LN(2)/25)*EW54+(1-EXP(-LN(2)/25))/(LN(2)/25)*Calculateur!ER55*Calculateur!ET55*VLOOKUP('Données projet'!$B$15,Paramètres!$A$1:$I$89,3,0)*0.475*44/12</f>
        <v>25.500706793428467</v>
      </c>
      <c r="EX55" s="23">
        <f>EXP(-LN(2)/2)*EX54+(1-EXP(-LN(2)/2))/(LN(2)/2)*ER55*EU55*VLOOKUP('Données projet'!$B$15,Paramètres!$A$1:$I$89,3,0)*0.475*44/12</f>
        <v>22.464243695306859</v>
      </c>
      <c r="EY55" s="24">
        <f t="shared" si="21"/>
        <v>59.433893654892444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3.1761666666666666</v>
      </c>
      <c r="FE55" s="13">
        <f>IF('Données projet'!$A$218&gt;35,FE54+FD55-FM54,IF(A55&lt;'Données projet'!$A$218,$FB$205^A55,IF(A55='Données projet'!$A$218,'Données projet'!$B$218,FE54+FD55-FM54)))</f>
        <v>165.16066666666646</v>
      </c>
      <c r="FF55" s="18">
        <f>FE55*VLOOKUP('Données projet'!$B$16,Paramètres!$A$1:$I$89,3,0)*VLOOKUP('Données projet'!$B$16,Paramètres!$A$1:$I$89,5,0)</f>
        <v>149.4373711999998</v>
      </c>
      <c r="FG55" s="14">
        <f t="shared" si="47"/>
        <v>38.450698256392798</v>
      </c>
      <c r="FH55" s="22">
        <f t="shared" si="22"/>
        <v>327.23838763655039</v>
      </c>
      <c r="FI55" s="62">
        <f t="shared" si="23"/>
        <v>620.5717209698837</v>
      </c>
      <c r="FJ55" s="62">
        <f ca="1">AVERAGE(OFFSET($FI$3,0,0,'Données projet'!$E$16+1,1))-AVERAGE(OFFSET($H$3,0,0,'Données projet'!$E$16+1,1))</f>
        <v>330.53726676433649</v>
      </c>
      <c r="FK55" s="62">
        <f t="shared" si="48"/>
        <v>228.01260676706528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3.1761666666666666</v>
      </c>
      <c r="FZ55" s="13">
        <f>IF('Données projet'!$A$244&gt;35,FZ54+FY55-GH54,IF(A55&lt;'Données projet'!$A$244,$FW$205^A55,IF(A55='Données projet'!$A$244,'Données projet'!$B$244,FZ54+FY55-GH54)))</f>
        <v>165.16066666666646</v>
      </c>
      <c r="GA55" s="18">
        <f>FZ55*VLOOKUP('Données projet'!$B$17,Paramètres!$A$1:$I$89,3,0)*VLOOKUP('Données projet'!$B$17,Paramètres!$A$1:$I$89,5,0)</f>
        <v>188.08496719999977</v>
      </c>
      <c r="GB55" s="14">
        <f t="shared" si="49"/>
        <v>47.116316992066409</v>
      </c>
      <c r="GC55" s="22">
        <f t="shared" si="25"/>
        <v>409.64223663451526</v>
      </c>
      <c r="GD55" s="62">
        <f t="shared" si="26"/>
        <v>702.97556996784851</v>
      </c>
      <c r="GE55" s="62">
        <f ca="1">AVERAGE(OFFSET($GD$3,0,0,'Données projet'!$E$17+1,1))-AVERAGE(OFFSET($H$3,0,0,'Données projet'!$E$17+1,1))</f>
        <v>405.71017054131318</v>
      </c>
      <c r="GF55" s="62">
        <f t="shared" si="50"/>
        <v>276.12900965322166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3.1761666666666666</v>
      </c>
      <c r="GU55" s="13">
        <f>IF('Données projet'!$A$270&gt;35,GU54+GT55-HC54,IF(A55&lt;'Données projet'!$A$270,$GR$205^A55,IF(A55='Données projet'!$A$270,'Données projet'!$B$270,GU54+GT55-HC54)))</f>
        <v>165.16066666666646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9.5537500000000009</v>
      </c>
      <c r="N56" s="14">
        <f>IF('Données projet'!$A$36&gt;35,N55+M56-V55,IF(A56&lt;'Données projet'!$A$36,$K$205^A56,IF(A56='Données projet'!$A$36,'Données projet'!$B$36,N55+M56-V55)))</f>
        <v>188.10125000000016</v>
      </c>
      <c r="O56" s="14">
        <f>N56*VLOOKUP('Données projet'!$B$9,Paramètres!$A$1:$I$89,3,0)*VLOOKUP('Données projet'!$B$9,Paramètres!$A$1:$I$89,5,0)</f>
        <v>170.19401100000013</v>
      </c>
      <c r="P56" s="14">
        <f t="shared" si="33"/>
        <v>43.133472710542861</v>
      </c>
      <c r="Q56" s="22">
        <f t="shared" si="53"/>
        <v>371.54536746252899</v>
      </c>
      <c r="R56" s="62">
        <f t="shared" si="0"/>
        <v>664.8787007958623</v>
      </c>
      <c r="S56" s="62">
        <f ca="1">AVERAGE(OFFSET($R$3,0,0,'Données projet'!$E$9+1,1))-AVERAGE(OFFSET($H$3,0,0,'Données projet'!$E$9+1,1))</f>
        <v>452.54136967045082</v>
      </c>
      <c r="T56" s="62">
        <f t="shared" si="34"/>
        <v>269.67340993773422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7.3153864835564066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7.3153864835564066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14.12</v>
      </c>
      <c r="AI56" s="14">
        <f>IF('Données projet'!$A$62&gt;35,AI55+AH56-AQ55,IF(A56&lt;'Données projet'!$A$62,$AF$205^A56,IF(A56='Données projet'!$A$62,'Données projet'!$B$62,AI55+AH56-AQ55)))</f>
        <v>342.10000000000019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9.5537500000000009</v>
      </c>
      <c r="BD56" s="13">
        <f>IF('Données projet'!$A$88&gt;35,BD55+BC56-BL55,IF(A56&lt;'Données projet'!$A$88,$BA$205^A56,IF(A56='Données projet'!$A$88,'Données projet'!$B$88,BD55+BC56-BL55)))</f>
        <v>188.10125000000016</v>
      </c>
      <c r="BE56" s="14">
        <f>BD56*VLOOKUP('Données projet'!$B$11,Paramètres!$A$1:$I$89,3,0)*VLOOKUP('Données projet'!$B$11,Paramètres!$A$1:$I$89,5,0)</f>
        <v>190.73466750000017</v>
      </c>
      <c r="BF56" s="14">
        <f t="shared" si="37"/>
        <v>47.70234090493684</v>
      </c>
      <c r="BG56" s="22">
        <f t="shared" si="7"/>
        <v>415.27778963859856</v>
      </c>
      <c r="BH56" s="62">
        <f t="shared" si="8"/>
        <v>708.61112297193188</v>
      </c>
      <c r="BI56" s="62">
        <f ca="1">AVERAGE(OFFSET($BH$3,0,0,'Données projet'!$E$11+1,1))-AVERAGE(OFFSET($H$3,0,0,'Données projet'!$E$11+1,1))</f>
        <v>502.06005292569733</v>
      </c>
      <c r="BJ56" s="62">
        <f t="shared" si="38"/>
        <v>297.06786598620607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8.19827795570977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8.19827795570977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3.2060000000000031</v>
      </c>
      <c r="BY56" s="13">
        <f>IF('Données projet'!$A$114&gt;35,BY55+BX56-CG55,IF(A56&lt;'Données projet'!$A$114,$BV$205^A56,IF(A56='Données projet'!$A$114,'Données projet'!$B$114,BY55+BX56-CG55)))</f>
        <v>103.84800000000004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>
        <f>CT56*VLOOKUP('Données projet'!$B$13,Paramètres!$A$1:$I$89,3,0)*VLOOKUP('Données projet'!$B$13,Paramètres!$A$1:$I$89,5,0)</f>
        <v>-5.1431925385259088E-14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204.787338911576</v>
      </c>
      <c r="CZ56" s="62">
        <f t="shared" si="42"/>
        <v>287.24932051638558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29.689088311827561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29.689088311827561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7.8</v>
      </c>
      <c r="DO56" s="13">
        <f>IF('Données projet'!$A$166&gt;35,DO55+DN56-DW55,IF(A56&lt;'Données projet'!$A$166,$DL$205^A56,IF(A56='Données projet'!$A$166,'Données projet'!$B$166,DO55+DN56-DW55)))</f>
        <v>133.40000000000003</v>
      </c>
      <c r="DP56" s="18">
        <f>DO56*VLOOKUP('Données projet'!$B$14,Paramètres!$A$1:$I$89,3,0)*VLOOKUP('Données projet'!$B$14,Paramètres!$A$1:$I$89,5,0)</f>
        <v>126.94344000000004</v>
      </c>
      <c r="DQ56" s="14">
        <f t="shared" si="43"/>
        <v>33.289103021970007</v>
      </c>
      <c r="DR56" s="22">
        <f t="shared" si="16"/>
        <v>279.07167909659785</v>
      </c>
      <c r="DS56" s="62">
        <f t="shared" si="17"/>
        <v>572.40501242993116</v>
      </c>
      <c r="DT56" s="62">
        <f ca="1">AVERAGE(OFFSET($DS$3,0,0,'Données projet'!$E$14+1,1))-AVERAGE(OFFSET($H$3,0,0,'Données projet'!$E$14+1,1))</f>
        <v>309.55876703480277</v>
      </c>
      <c r="DU56" s="62">
        <f t="shared" si="44"/>
        <v>122.43799205838684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3.2643046647531948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3.2643046647531948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13.224999999999994</v>
      </c>
      <c r="EJ56" s="13">
        <f>IF('Données projet'!$A$192&gt;35,EJ55+EI56-ER55,IF(A56&lt;'Données projet'!$A$192,$EG$205^A56,IF(A56='Données projet'!$A$192,'Données projet'!$B$192,EJ55+EI56-ER55)))</f>
        <v>245.81999999999985</v>
      </c>
      <c r="EK56" s="18">
        <f>EJ56*VLOOKUP('Données projet'!$B$15,Paramètres!$A$1:$I$89,3,0)*VLOOKUP('Données projet'!$B$15,Paramètres!$A$1:$I$89,5,0)</f>
        <v>115.04375999999992</v>
      </c>
      <c r="EL56" s="14">
        <f t="shared" si="45"/>
        <v>30.516215365827268</v>
      </c>
      <c r="EM56" s="22">
        <f t="shared" si="19"/>
        <v>253.51695709548235</v>
      </c>
      <c r="EN56" s="62">
        <f t="shared" si="20"/>
        <v>546.8502904288157</v>
      </c>
      <c r="EO56" s="62">
        <f ca="1">AVERAGE(OFFSET($EN$3,0,0,'Données projet'!$E$15+1,1))-AVERAGE(OFFSET($H$3,0,0,'Données projet'!$E$15+1,1))</f>
        <v>301.04834785168049</v>
      </c>
      <c r="EP56" s="62">
        <f t="shared" si="46"/>
        <v>164.1450425611464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11.244044186033367</v>
      </c>
      <c r="EW56" s="23">
        <f>EXP(-LN(2)/25)*EW55+(1-EXP(-LN(2)/25))/(LN(2)/25)*Calculateur!ER56*Calculateur!ET56*VLOOKUP('Données projet'!$B$15,Paramètres!$A$1:$I$89,3,0)*0.475*44/12</f>
        <v>24.803388625138279</v>
      </c>
      <c r="EX56" s="23">
        <f>EXP(-LN(2)/2)*EX55+(1-EXP(-LN(2)/2))/(LN(2)/2)*ER56*EU56*VLOOKUP('Données projet'!$B$15,Paramètres!$A$1:$I$89,3,0)*0.475*44/12</f>
        <v>15.884619051178628</v>
      </c>
      <c r="EY56" s="24">
        <f t="shared" si="21"/>
        <v>51.932051862350278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3.1761666666666666</v>
      </c>
      <c r="FE56" s="13">
        <f>IF('Données projet'!$A$218&gt;35,FE55+FD56-FM55,IF(A56&lt;'Données projet'!$A$218,$FB$205^A56,IF(A56='Données projet'!$A$218,'Données projet'!$B$218,FE55+FD56-FM55)))</f>
        <v>168.33683333333312</v>
      </c>
      <c r="FF56" s="18">
        <f>FE56*VLOOKUP('Données projet'!$B$16,Paramètres!$A$1:$I$89,3,0)*VLOOKUP('Données projet'!$B$16,Paramètres!$A$1:$I$89,5,0)</f>
        <v>152.3111667999998</v>
      </c>
      <c r="FG56" s="14">
        <f t="shared" si="47"/>
        <v>39.103338265342977</v>
      </c>
      <c r="FH56" s="22">
        <f t="shared" si="22"/>
        <v>333.38026298880533</v>
      </c>
      <c r="FI56" s="62">
        <f t="shared" si="23"/>
        <v>626.71359632213864</v>
      </c>
      <c r="FJ56" s="62">
        <f ca="1">AVERAGE(OFFSET($FI$3,0,0,'Données projet'!$E$16+1,1))-AVERAGE(OFFSET($H$3,0,0,'Données projet'!$E$16+1,1))</f>
        <v>330.53726676433649</v>
      </c>
      <c r="FK56" s="62">
        <f t="shared" si="48"/>
        <v>228.01260676706528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3.1761666666666666</v>
      </c>
      <c r="FZ56" s="13">
        <f>IF('Données projet'!$A$244&gt;35,FZ55+FY56-GH55,IF(A56&lt;'Données projet'!$A$244,$FW$205^A56,IF(A56='Données projet'!$A$244,'Données projet'!$B$244,FZ55+FY56-GH55)))</f>
        <v>168.33683333333312</v>
      </c>
      <c r="GA56" s="18">
        <f>FZ56*VLOOKUP('Données projet'!$B$17,Paramètres!$A$1:$I$89,3,0)*VLOOKUP('Données projet'!$B$17,Paramètres!$A$1:$I$89,5,0)</f>
        <v>191.70198579999976</v>
      </c>
      <c r="GB56" s="14">
        <f t="shared" si="49"/>
        <v>47.91604222301951</v>
      </c>
      <c r="GC56" s="22">
        <f t="shared" si="25"/>
        <v>417.33473214009183</v>
      </c>
      <c r="GD56" s="62">
        <f t="shared" si="26"/>
        <v>710.66806547342514</v>
      </c>
      <c r="GE56" s="62">
        <f ca="1">AVERAGE(OFFSET($GD$3,0,0,'Données projet'!$E$17+1,1))-AVERAGE(OFFSET($H$3,0,0,'Données projet'!$E$17+1,1))</f>
        <v>405.71017054131318</v>
      </c>
      <c r="GF56" s="62">
        <f t="shared" si="50"/>
        <v>276.12900965322166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3.1761666666666666</v>
      </c>
      <c r="GU56" s="13">
        <f>IF('Données projet'!$A$270&gt;35,GU55+GT56-HC55,IF(A56&lt;'Données projet'!$A$270,$GR$205^A56,IF(A56='Données projet'!$A$270,'Données projet'!$B$270,GU55+GT56-HC55)))</f>
        <v>168.33683333333312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9.5537500000000009</v>
      </c>
      <c r="N57" s="14">
        <f>IF('Données projet'!$A$36&gt;35,N56+M57-V56,IF(A57&lt;'Données projet'!$A$36,$K$205^A57,IF(A57='Données projet'!$A$36,'Données projet'!$B$36,N56+M57-V56)))</f>
        <v>197.65500000000017</v>
      </c>
      <c r="O57" s="14">
        <f>N57*VLOOKUP('Données projet'!$B$9,Paramètres!$A$1:$I$89,3,0)*VLOOKUP('Données projet'!$B$9,Paramètres!$A$1:$I$89,5,0)</f>
        <v>178.83824400000015</v>
      </c>
      <c r="P57" s="14">
        <f t="shared" si="33"/>
        <v>45.06361953668285</v>
      </c>
      <c r="Q57" s="22">
        <f t="shared" si="53"/>
        <v>389.96241232638954</v>
      </c>
      <c r="R57" s="62">
        <f t="shared" si="0"/>
        <v>683.2957456597228</v>
      </c>
      <c r="S57" s="62">
        <f ca="1">AVERAGE(OFFSET($R$3,0,0,'Données projet'!$E$9+1,1))-AVERAGE(OFFSET($H$3,0,0,'Données projet'!$E$9+1,1))</f>
        <v>452.54136967045082</v>
      </c>
      <c r="T57" s="62">
        <f t="shared" si="34"/>
        <v>269.67340993773422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7.1719362165590397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7.1719362165590397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14.12</v>
      </c>
      <c r="AI57" s="14">
        <f>IF('Données projet'!$A$62&gt;35,AI56+AH57-AQ56,IF(A57&lt;'Données projet'!$A$62,$AF$205^A57,IF(A57='Données projet'!$A$62,'Données projet'!$B$62,AI56+AH57-AQ56)))</f>
        <v>356.2200000000002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9.5537500000000009</v>
      </c>
      <c r="BD57" s="13">
        <f>IF('Données projet'!$A$88&gt;35,BD56+BC57-BL56,IF(A57&lt;'Données projet'!$A$88,$BA$205^A57,IF(A57='Données projet'!$A$88,'Données projet'!$B$88,BD56+BC57-BL56)))</f>
        <v>197.65500000000017</v>
      </c>
      <c r="BE57" s="14">
        <f>BD57*VLOOKUP('Données projet'!$B$11,Paramètres!$A$1:$I$89,3,0)*VLOOKUP('Données projet'!$B$11,Paramètres!$A$1:$I$89,5,0)</f>
        <v>200.42217000000019</v>
      </c>
      <c r="BF57" s="14">
        <f t="shared" si="37"/>
        <v>49.83693652432936</v>
      </c>
      <c r="BG57" s="22">
        <f t="shared" si="7"/>
        <v>435.8679438632073</v>
      </c>
      <c r="BH57" s="62">
        <f t="shared" si="8"/>
        <v>729.20127719654056</v>
      </c>
      <c r="BI57" s="62">
        <f ca="1">AVERAGE(OFFSET($BH$3,0,0,'Données projet'!$E$11+1,1))-AVERAGE(OFFSET($H$3,0,0,'Données projet'!$E$11+1,1))</f>
        <v>502.06005292569733</v>
      </c>
      <c r="BJ57" s="62">
        <f t="shared" si="38"/>
        <v>297.06786598620607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8.0375147254541002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8.0375147254541002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3.2060000000000031</v>
      </c>
      <c r="BY57" s="13">
        <f>IF('Données projet'!$A$114&gt;35,BY56+BX57-CG56,IF(A57&lt;'Données projet'!$A$114,$BV$205^A57,IF(A57='Données projet'!$A$114,'Données projet'!$B$114,BY56+BX57-CG56)))</f>
        <v>107.05400000000004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>
        <f>CT57*VLOOKUP('Données projet'!$B$13,Paramètres!$A$1:$I$89,3,0)*VLOOKUP('Données projet'!$B$13,Paramètres!$A$1:$I$89,5,0)</f>
        <v>-5.1431925385259088E-14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204.787338911576</v>
      </c>
      <c r="CZ57" s="62">
        <f t="shared" si="42"/>
        <v>287.24932051638558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29.106903398588422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29.106903398588422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7.8</v>
      </c>
      <c r="DO57" s="13">
        <f>IF('Données projet'!$A$166&gt;35,DO56+DN57-DW56,IF(A57&lt;'Données projet'!$A$166,$DL$205^A57,IF(A57='Données projet'!$A$166,'Données projet'!$B$166,DO56+DN57-DW56)))</f>
        <v>141.20000000000005</v>
      </c>
      <c r="DP57" s="18">
        <f>DO57*VLOOKUP('Données projet'!$B$14,Paramètres!$A$1:$I$89,3,0)*VLOOKUP('Données projet'!$B$14,Paramètres!$A$1:$I$89,5,0)</f>
        <v>134.36592000000005</v>
      </c>
      <c r="DQ57" s="14">
        <f t="shared" si="43"/>
        <v>35.003247613199107</v>
      </c>
      <c r="DR57" s="22">
        <f t="shared" si="16"/>
        <v>294.98463359298847</v>
      </c>
      <c r="DS57" s="62">
        <f t="shared" si="17"/>
        <v>588.31796692632179</v>
      </c>
      <c r="DT57" s="62">
        <f ca="1">AVERAGE(OFFSET($DS$3,0,0,'Données projet'!$E$14+1,1))-AVERAGE(OFFSET($H$3,0,0,'Données projet'!$E$14+1,1))</f>
        <v>309.55876703480277</v>
      </c>
      <c r="DU57" s="62">
        <f t="shared" si="44"/>
        <v>122.43799205838684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3.2002936413066325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3.2002936413066325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13.224999999999994</v>
      </c>
      <c r="EJ57" s="13">
        <f>IF('Données projet'!$A$192&gt;35,EJ56+EI57-ER56,IF(A57&lt;'Données projet'!$A$192,$EG$205^A57,IF(A57='Données projet'!$A$192,'Données projet'!$B$192,EJ56+EI57-ER56)))</f>
        <v>259.04499999999985</v>
      </c>
      <c r="EK57" s="18">
        <f>EJ57*VLOOKUP('Données projet'!$B$15,Paramètres!$A$1:$I$89,3,0)*VLOOKUP('Données projet'!$B$15,Paramètres!$A$1:$I$89,5,0)</f>
        <v>121.23305999999992</v>
      </c>
      <c r="EL57" s="14">
        <f t="shared" si="45"/>
        <v>31.962418954865921</v>
      </c>
      <c r="EM57" s="22">
        <f t="shared" si="19"/>
        <v>266.81545917972466</v>
      </c>
      <c r="EN57" s="62">
        <f t="shared" si="20"/>
        <v>560.14879251305797</v>
      </c>
      <c r="EO57" s="62">
        <f ca="1">AVERAGE(OFFSET($EN$3,0,0,'Données projet'!$E$15+1,1))-AVERAGE(OFFSET($H$3,0,0,'Données projet'!$E$15+1,1))</f>
        <v>301.04834785168049</v>
      </c>
      <c r="EP57" s="62">
        <f t="shared" si="46"/>
        <v>164.1450425611464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11.023555337735017</v>
      </c>
      <c r="EW57" s="23">
        <f>EXP(-LN(2)/25)*EW56+(1-EXP(-LN(2)/25))/(LN(2)/25)*Calculateur!ER57*Calculateur!ET57*VLOOKUP('Données projet'!$B$15,Paramètres!$A$1:$I$89,3,0)*0.475*44/12</f>
        <v>24.125138658830355</v>
      </c>
      <c r="EX57" s="23">
        <f>EXP(-LN(2)/2)*EX56+(1-EXP(-LN(2)/2))/(LN(2)/2)*ER57*EU57*VLOOKUP('Données projet'!$B$15,Paramètres!$A$1:$I$89,3,0)*0.475*44/12</f>
        <v>11.232121847653431</v>
      </c>
      <c r="EY57" s="24">
        <f t="shared" si="21"/>
        <v>46.380815844218802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3.1761666666666666</v>
      </c>
      <c r="FE57" s="13">
        <f>IF('Données projet'!$A$218&gt;35,FE56+FD57-FM56,IF(A57&lt;'Données projet'!$A$218,$FB$205^A57,IF(A57='Données projet'!$A$218,'Données projet'!$B$218,FE56+FD57-FM56)))</f>
        <v>171.51299999999978</v>
      </c>
      <c r="FF57" s="18">
        <f>FE57*VLOOKUP('Données projet'!$B$16,Paramètres!$A$1:$I$89,3,0)*VLOOKUP('Données projet'!$B$16,Paramètres!$A$1:$I$89,5,0)</f>
        <v>155.18496239999979</v>
      </c>
      <c r="FG57" s="14">
        <f t="shared" si="47"/>
        <v>39.7545464120793</v>
      </c>
      <c r="FH57" s="22">
        <f t="shared" si="22"/>
        <v>339.51964451437107</v>
      </c>
      <c r="FI57" s="62">
        <f t="shared" si="23"/>
        <v>632.85297784770432</v>
      </c>
      <c r="FJ57" s="62">
        <f ca="1">AVERAGE(OFFSET($FI$3,0,0,'Données projet'!$E$16+1,1))-AVERAGE(OFFSET($H$3,0,0,'Données projet'!$E$16+1,1))</f>
        <v>330.53726676433649</v>
      </c>
      <c r="FK57" s="62">
        <f t="shared" si="48"/>
        <v>228.01260676706528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3.1761666666666666</v>
      </c>
      <c r="FZ57" s="13">
        <f>IF('Données projet'!$A$244&gt;35,FZ56+FY57-GH56,IF(A57&lt;'Données projet'!$A$244,$FW$205^A57,IF(A57='Données projet'!$A$244,'Données projet'!$B$244,FZ56+FY57-GH56)))</f>
        <v>171.51299999999978</v>
      </c>
      <c r="GA57" s="18">
        <f>FZ57*VLOOKUP('Données projet'!$B$17,Paramètres!$A$1:$I$89,3,0)*VLOOKUP('Données projet'!$B$17,Paramètres!$A$1:$I$89,5,0)</f>
        <v>195.31900439999976</v>
      </c>
      <c r="GB57" s="14">
        <f t="shared" si="49"/>
        <v>48.714012893535006</v>
      </c>
      <c r="GC57" s="22">
        <f t="shared" si="25"/>
        <v>425.02417178623972</v>
      </c>
      <c r="GD57" s="62">
        <f t="shared" si="26"/>
        <v>718.35750511957303</v>
      </c>
      <c r="GE57" s="62">
        <f ca="1">AVERAGE(OFFSET($GD$3,0,0,'Données projet'!$E$17+1,1))-AVERAGE(OFFSET($H$3,0,0,'Données projet'!$E$17+1,1))</f>
        <v>405.71017054131318</v>
      </c>
      <c r="GF57" s="62">
        <f t="shared" si="50"/>
        <v>276.12900965322166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3.1761666666666666</v>
      </c>
      <c r="GU57" s="13">
        <f>IF('Données projet'!$A$270&gt;35,GU56+GT57-HC56,IF(A57&lt;'Données projet'!$A$270,$GR$205^A57,IF(A57='Données projet'!$A$270,'Données projet'!$B$270,GU56+GT57-HC56)))</f>
        <v>171.51299999999978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9.5537500000000009</v>
      </c>
      <c r="N58" s="14">
        <f>IF('Données projet'!$A$36&gt;35,N57+M58-V57,IF(A58&lt;'Données projet'!$A$36,$K$205^A58,IF(A58='Données projet'!$A$36,'Données projet'!$B$36,N57+M58-V57)))</f>
        <v>207.20875000000018</v>
      </c>
      <c r="O58" s="14">
        <f>N58*VLOOKUP('Données projet'!$B$9,Paramètres!$A$1:$I$89,3,0)*VLOOKUP('Données projet'!$B$9,Paramètres!$A$1:$I$89,5,0)</f>
        <v>187.48247700000016</v>
      </c>
      <c r="P58" s="14">
        <f t="shared" si="33"/>
        <v>46.982932911694917</v>
      </c>
      <c r="Q58" s="22">
        <f t="shared" si="53"/>
        <v>408.3605889295356</v>
      </c>
      <c r="R58" s="62">
        <f t="shared" si="0"/>
        <v>701.69392226286891</v>
      </c>
      <c r="S58" s="62">
        <f ca="1">AVERAGE(OFFSET($R$3,0,0,'Données projet'!$E$9+1,1))-AVERAGE(OFFSET($H$3,0,0,'Données projet'!$E$9+1,1))</f>
        <v>452.54136967045082</v>
      </c>
      <c r="T58" s="62">
        <f t="shared" si="34"/>
        <v>269.67340993773422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7.0312989218014676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7.0312989218014676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14.12</v>
      </c>
      <c r="AI58" s="14">
        <f>IF('Données projet'!$A$62&gt;35,AI57+AH58-AQ57,IF(A58&lt;'Données projet'!$A$62,$AF$205^A58,IF(A58='Données projet'!$A$62,'Données projet'!$B$62,AI57+AH58-AQ57)))</f>
        <v>370.3400000000002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9.5537500000000009</v>
      </c>
      <c r="BD58" s="13">
        <f>IF('Données projet'!$A$88&gt;35,BD57+BC58-BL57,IF(A58&lt;'Données projet'!$A$88,$BA$205^A58,IF(A58='Données projet'!$A$88,'Données projet'!$B$88,BD57+BC58-BL57)))</f>
        <v>207.20875000000018</v>
      </c>
      <c r="BE58" s="14">
        <f>BD58*VLOOKUP('Données projet'!$B$11,Paramètres!$A$1:$I$89,3,0)*VLOOKUP('Données projet'!$B$11,Paramètres!$A$1:$I$89,5,0)</f>
        <v>210.10967250000019</v>
      </c>
      <c r="BF58" s="14">
        <f t="shared" si="37"/>
        <v>51.959551170560943</v>
      </c>
      <c r="BG58" s="22">
        <f t="shared" si="7"/>
        <v>456.43723122622731</v>
      </c>
      <c r="BH58" s="62">
        <f t="shared" si="8"/>
        <v>749.77056455956063</v>
      </c>
      <c r="BI58" s="62">
        <f ca="1">AVERAGE(OFFSET($BH$3,0,0,'Données projet'!$E$11+1,1))-AVERAGE(OFFSET($H$3,0,0,'Données projet'!$E$11+1,1))</f>
        <v>502.06005292569733</v>
      </c>
      <c r="BJ58" s="62">
        <f t="shared" si="38"/>
        <v>297.06786598620607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7.8799039640878563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7.8799039640878563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110.26</v>
      </c>
      <c r="BW58" s="13">
        <f>VLOOKUP(A58,'Données projet'!$A$113:$I$133,9,0)</f>
        <v>3.2060000000000031</v>
      </c>
      <c r="BX58" s="13">
        <f t="array" ref="BX58">INDEX(BW:BW,MIN(IF(ISNUMBER(BW58:BW254),ROW(BW58:BW254),"")))</f>
        <v>3.2060000000000031</v>
      </c>
      <c r="BY58" s="13">
        <f>IF('Données projet'!$A$114&gt;35,BY57+BX58-CG57,IF(A58&lt;'Données projet'!$A$114,$BV$205^A58,IF(A58='Données projet'!$A$114,'Données projet'!$B$114,BY57+BX58-CG57)))</f>
        <v>110.26000000000005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11.54</v>
      </c>
      <c r="CH58" s="17" t="e">
        <f>IF(ISNA(VLOOKUP(A58,'Données projet'!$A$113:$I$133,5,0)),0%,VLOOKUP(A58,'Données projet'!$A$113:$I$133,5,0)*VLOOKUP('Données projet'!$B$12,Paramètres!$A$1:$I$89,7,0))</f>
        <v>#N/A</v>
      </c>
      <c r="CI58" s="17" t="e">
        <f>IF(ISNA(VLOOKUP(A58,'Données projet'!$A$113:$I$133,6,0)),0%,VLOOKUP(A58,'Données projet'!$A$113:$I$133,6,0)*VLOOKUP('Données projet'!$B$12,Paramètres!$A$1:$I$89,7,0))</f>
        <v>#N/A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>
        <f>CT58*VLOOKUP('Données projet'!$B$13,Paramètres!$A$1:$I$89,3,0)*VLOOKUP('Données projet'!$B$13,Paramètres!$A$1:$I$89,5,0)</f>
        <v>-5.1431925385259088E-14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204.787338911576</v>
      </c>
      <c r="CZ58" s="62">
        <f t="shared" si="42"/>
        <v>287.24932051638558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28.536134776400168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28.536134776400168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149</v>
      </c>
      <c r="DM58" s="13">
        <f>VLOOKUP(A58,'Données projet'!$A$165:$I$185,9,0)</f>
        <v>7.8</v>
      </c>
      <c r="DN58" s="13">
        <f t="array" ref="DN58">INDEX(DM:DM,MIN(IF(ISNUMBER(DM58:DM254),ROW(DM58:DM254),"")))</f>
        <v>7.8</v>
      </c>
      <c r="DO58" s="13">
        <f>IF('Données projet'!$A$166&gt;35,DO57+DN58-DW57,IF(A58&lt;'Données projet'!$A$166,$DL$205^A58,IF(A58='Données projet'!$A$166,'Données projet'!$B$166,DO57+DN58-DW57)))</f>
        <v>149.00000000000006</v>
      </c>
      <c r="DP58" s="18">
        <f>DO58*VLOOKUP('Données projet'!$B$14,Paramètres!$A$1:$I$89,3,0)*VLOOKUP('Données projet'!$B$14,Paramètres!$A$1:$I$89,5,0)</f>
        <v>141.78840000000005</v>
      </c>
      <c r="DQ58" s="14">
        <f t="shared" si="43"/>
        <v>36.706399664746051</v>
      </c>
      <c r="DR58" s="22">
        <f t="shared" si="16"/>
        <v>310.87844274943274</v>
      </c>
      <c r="DS58" s="62">
        <f t="shared" si="17"/>
        <v>604.21177608276605</v>
      </c>
      <c r="DT58" s="62">
        <f ca="1">AVERAGE(OFFSET($DS$3,0,0,'Données projet'!$E$14+1,1))-AVERAGE(OFFSET($H$3,0,0,'Données projet'!$E$14+1,1))</f>
        <v>309.55876703480277</v>
      </c>
      <c r="DU58" s="62">
        <f t="shared" si="44"/>
        <v>122.43799205838684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18</v>
      </c>
      <c r="DX58" s="17">
        <f>IF(ISNA(VLOOKUP(A58,'Données projet'!$A$165:$I$185,5,0)),0%,VLOOKUP(A58,'Données projet'!$A$165:$I$185,5,0)*VLOOKUP('Données projet'!$B$14,Paramètres!$A$1:$I$89,7,0))</f>
        <v>0.129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5.5802019887527639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5.5802019887527639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272.27</v>
      </c>
      <c r="EH58" s="13">
        <f>VLOOKUP(A58,'Données projet'!$A$191:$I$211,9,0)</f>
        <v>13.224999999999994</v>
      </c>
      <c r="EI58" s="13">
        <f t="array" ref="EI58">INDEX(EH:EH,MIN(IF(ISNUMBER(EH58:EH254),ROW(EH58:EH254),"")))</f>
        <v>13.224999999999994</v>
      </c>
      <c r="EJ58" s="13">
        <f>IF('Données projet'!$A$192&gt;35,EJ57+EI58-ER57,IF(A58&lt;'Données projet'!$A$192,$EG$205^A58,IF(A58='Données projet'!$A$192,'Données projet'!$B$192,EJ57+EI58-ER57)))</f>
        <v>272.26999999999987</v>
      </c>
      <c r="EK58" s="18">
        <f>EJ58*VLOOKUP('Données projet'!$B$15,Paramètres!$A$1:$I$89,3,0)*VLOOKUP('Données projet'!$B$15,Paramètres!$A$1:$I$89,5,0)</f>
        <v>127.42235999999994</v>
      </c>
      <c r="EL58" s="14">
        <f t="shared" si="45"/>
        <v>33.40004994849896</v>
      </c>
      <c r="EM58" s="22">
        <f t="shared" si="19"/>
        <v>280.09903066030222</v>
      </c>
      <c r="EN58" s="62">
        <f t="shared" si="20"/>
        <v>573.43236399363559</v>
      </c>
      <c r="EO58" s="62">
        <f ca="1">AVERAGE(OFFSET($EN$3,0,0,'Données projet'!$E$15+1,1))-AVERAGE(OFFSET($H$3,0,0,'Données projet'!$E$15+1,1))</f>
        <v>301.04834785168049</v>
      </c>
      <c r="EP58" s="62">
        <f t="shared" si="46"/>
        <v>164.1450425611464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10.807390141266879</v>
      </c>
      <c r="EW58" s="23">
        <f>EXP(-LN(2)/25)*EW57+(1-EXP(-LN(2)/25))/(LN(2)/25)*Calculateur!ER58*Calculateur!ET58*VLOOKUP('Données projet'!$B$15,Paramètres!$A$1:$I$89,3,0)*0.475*44/12</f>
        <v>23.465435473518735</v>
      </c>
      <c r="EX58" s="23">
        <f>EXP(-LN(2)/2)*EX57+(1-EXP(-LN(2)/2))/(LN(2)/2)*ER58*EU58*VLOOKUP('Données projet'!$B$15,Paramètres!$A$1:$I$89,3,0)*0.475*44/12</f>
        <v>7.942309525589315</v>
      </c>
      <c r="EY58" s="24">
        <f t="shared" si="21"/>
        <v>42.215135140374933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3.1761666666666666</v>
      </c>
      <c r="FE58" s="13">
        <f>IF('Données projet'!$A$218&gt;35,FE57+FD58-FM57,IF(A58&lt;'Données projet'!$A$218,$FB$205^A58,IF(A58='Données projet'!$A$218,'Données projet'!$B$218,FE57+FD58-FM57)))</f>
        <v>174.68916666666644</v>
      </c>
      <c r="FF58" s="18">
        <f>FE58*VLOOKUP('Données projet'!$B$16,Paramètres!$A$1:$I$89,3,0)*VLOOKUP('Données projet'!$B$16,Paramètres!$A$1:$I$89,5,0)</f>
        <v>158.05875799999978</v>
      </c>
      <c r="FG58" s="14">
        <f t="shared" si="47"/>
        <v>40.404352270554362</v>
      </c>
      <c r="FH58" s="22">
        <f t="shared" si="22"/>
        <v>345.65658372121516</v>
      </c>
      <c r="FI58" s="62">
        <f t="shared" si="23"/>
        <v>638.98991705454841</v>
      </c>
      <c r="FJ58" s="62">
        <f ca="1">AVERAGE(OFFSET($FI$3,0,0,'Données projet'!$E$16+1,1))-AVERAGE(OFFSET($H$3,0,0,'Données projet'!$E$16+1,1))</f>
        <v>330.53726676433649</v>
      </c>
      <c r="FK58" s="62">
        <f t="shared" si="48"/>
        <v>228.01260676706528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3.1761666666666666</v>
      </c>
      <c r="FZ58" s="13">
        <f>IF('Données projet'!$A$244&gt;35,FZ57+FY58-GH57,IF(A58&lt;'Données projet'!$A$244,$FW$205^A58,IF(A58='Données projet'!$A$244,'Données projet'!$B$244,FZ57+FY58-GH57)))</f>
        <v>174.68916666666644</v>
      </c>
      <c r="GA58" s="18">
        <f>FZ58*VLOOKUP('Données projet'!$B$17,Paramètres!$A$1:$I$89,3,0)*VLOOKUP('Données projet'!$B$17,Paramètres!$A$1:$I$89,5,0)</f>
        <v>198.93602299999975</v>
      </c>
      <c r="GB58" s="14">
        <f t="shared" si="49"/>
        <v>49.510265242635654</v>
      </c>
      <c r="GC58" s="22">
        <f t="shared" si="25"/>
        <v>432.71061868925659</v>
      </c>
      <c r="GD58" s="62">
        <f t="shared" si="26"/>
        <v>726.04395202258991</v>
      </c>
      <c r="GE58" s="62">
        <f ca="1">AVERAGE(OFFSET($GD$3,0,0,'Données projet'!$E$17+1,1))-AVERAGE(OFFSET($H$3,0,0,'Données projet'!$E$17+1,1))</f>
        <v>405.71017054131318</v>
      </c>
      <c r="GF58" s="62">
        <f t="shared" si="50"/>
        <v>276.12900965322166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3.1761666666666666</v>
      </c>
      <c r="GU58" s="13">
        <f>IF('Données projet'!$A$270&gt;35,GU57+GT58-HC57,IF(A58&lt;'Données projet'!$A$270,$GR$205^A58,IF(A58='Données projet'!$A$270,'Données projet'!$B$270,GU57+GT58-HC57)))</f>
        <v>174.68916666666644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9.5537500000000009</v>
      </c>
      <c r="N59" s="14">
        <f>IF('Données projet'!$A$36&gt;35,N58+M59-V58,IF(A59&lt;'Données projet'!$A$36,$K$205^A59,IF(A59='Données projet'!$A$36,'Données projet'!$B$36,N58+M59-V58)))</f>
        <v>216.76250000000019</v>
      </c>
      <c r="O59" s="14">
        <f>N59*VLOOKUP('Données projet'!$B$9,Paramètres!$A$1:$I$89,3,0)*VLOOKUP('Données projet'!$B$9,Paramètres!$A$1:$I$89,5,0)</f>
        <v>196.12671000000017</v>
      </c>
      <c r="P59" s="14">
        <f t="shared" si="33"/>
        <v>48.891969383051702</v>
      </c>
      <c r="Q59" s="22">
        <f t="shared" si="53"/>
        <v>426.74086659214868</v>
      </c>
      <c r="R59" s="62">
        <f t="shared" si="0"/>
        <v>720.07419992548193</v>
      </c>
      <c r="S59" s="62">
        <f ca="1">AVERAGE(OFFSET($R$3,0,0,'Données projet'!$E$9+1,1))-AVERAGE(OFFSET($H$3,0,0,'Données projet'!$E$9+1,1))</f>
        <v>452.54136967045082</v>
      </c>
      <c r="T59" s="62">
        <f t="shared" si="34"/>
        <v>269.67340993773422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6.8934194386138126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6.8934194386138126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14.12</v>
      </c>
      <c r="AI59" s="14">
        <f>IF('Données projet'!$A$62&gt;35,AI58+AH59-AQ58,IF(A59&lt;'Données projet'!$A$62,$AF$205^A59,IF(A59='Données projet'!$A$62,'Données projet'!$B$62,AI58+AH59-AQ58)))</f>
        <v>384.46000000000021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9.5537500000000009</v>
      </c>
      <c r="BD59" s="13">
        <f>IF('Données projet'!$A$88&gt;35,BD58+BC59-BL58,IF(A59&lt;'Données projet'!$A$88,$BA$205^A59,IF(A59='Données projet'!$A$88,'Données projet'!$B$88,BD58+BC59-BL58)))</f>
        <v>216.76250000000019</v>
      </c>
      <c r="BE59" s="14">
        <f>BD59*VLOOKUP('Données projet'!$B$11,Paramètres!$A$1:$I$89,3,0)*VLOOKUP('Données projet'!$B$11,Paramètres!$A$1:$I$89,5,0)</f>
        <v>219.79717500000021</v>
      </c>
      <c r="BF59" s="14">
        <f t="shared" si="37"/>
        <v>54.070800342815986</v>
      </c>
      <c r="BG59" s="22">
        <f t="shared" si="7"/>
        <v>476.98672372207147</v>
      </c>
      <c r="BH59" s="62">
        <f t="shared" si="8"/>
        <v>770.32005705540473</v>
      </c>
      <c r="BI59" s="62">
        <f ca="1">AVERAGE(OFFSET($BH$3,0,0,'Données projet'!$E$11+1,1))-AVERAGE(OFFSET($H$3,0,0,'Données projet'!$E$11+1,1))</f>
        <v>502.06005292569733</v>
      </c>
      <c r="BJ59" s="62">
        <f t="shared" si="38"/>
        <v>297.06786598620607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7.7253838536189319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7.7253838536189319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2.9479999999999991</v>
      </c>
      <c r="BY59" s="13">
        <f>IF('Données projet'!$A$114&gt;35,BY58+BX59-CG58,IF(A59&lt;'Données projet'!$A$114,$BV$205^A59,IF(A59='Données projet'!$A$114,'Données projet'!$B$114,BY58+BX59-CG58)))</f>
        <v>101.66800000000003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-5.1431925385259088E-14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204.787338911576</v>
      </c>
      <c r="CZ59" s="62">
        <f t="shared" si="42"/>
        <v>287.24932051638558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27.976558578758542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27.976558578758542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138.40000000000006</v>
      </c>
      <c r="DP59" s="18">
        <f>DO59*VLOOKUP('Données projet'!$B$14,Paramètres!$A$1:$I$89,3,0)*VLOOKUP('Données projet'!$B$14,Paramètres!$A$1:$I$89,5,0)</f>
        <v>131.70144000000005</v>
      </c>
      <c r="DQ59" s="14">
        <f t="shared" si="43"/>
        <v>34.389214136399168</v>
      </c>
      <c r="DR59" s="22">
        <f t="shared" si="16"/>
        <v>289.27455595422862</v>
      </c>
      <c r="DS59" s="62">
        <f t="shared" si="17"/>
        <v>582.60788928756187</v>
      </c>
      <c r="DT59" s="62">
        <f ca="1">AVERAGE(OFFSET($DS$3,0,0,'Données projet'!$E$14+1,1))-AVERAGE(OFFSET($H$3,0,0,'Données projet'!$E$14+1,1))</f>
        <v>309.55876703480277</v>
      </c>
      <c r="DU59" s="62">
        <f t="shared" si="44"/>
        <v>122.43799205838684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5.470777631340459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5.470777631340459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12.656666666666666</v>
      </c>
      <c r="EJ59" s="13">
        <f>IF('Données projet'!$A$192&gt;35,EJ58+EI59-ER58,IF(A59&lt;'Données projet'!$A$192,$EG$205^A59,IF(A59='Données projet'!$A$192,'Données projet'!$B$192,EJ58+EI59-ER58)))</f>
        <v>284.92666666666651</v>
      </c>
      <c r="EK59" s="18">
        <f>EJ59*VLOOKUP('Données projet'!$B$15,Paramètres!$A$1:$I$89,3,0)*VLOOKUP('Données projet'!$B$15,Paramètres!$A$1:$I$89,5,0)</f>
        <v>133.34567999999993</v>
      </c>
      <c r="EL59" s="14">
        <f t="shared" si="45"/>
        <v>34.768300731125414</v>
      </c>
      <c r="EM59" s="22">
        <f t="shared" si="19"/>
        <v>292.79851644004327</v>
      </c>
      <c r="EN59" s="62">
        <f t="shared" si="20"/>
        <v>586.13184977337664</v>
      </c>
      <c r="EO59" s="62">
        <f ca="1">AVERAGE(OFFSET($EN$3,0,0,'Données projet'!$E$15+1,1))-AVERAGE(OFFSET($H$3,0,0,'Données projet'!$E$15+1,1))</f>
        <v>301.04834785168049</v>
      </c>
      <c r="EP59" s="62">
        <f t="shared" si="46"/>
        <v>164.1450425611464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10.59546381245373</v>
      </c>
      <c r="EW59" s="23">
        <f>EXP(-LN(2)/25)*EW58+(1-EXP(-LN(2)/25))/(LN(2)/25)*Calculateur!ER59*Calculateur!ET59*VLOOKUP('Données projet'!$B$15,Paramètres!$A$1:$I$89,3,0)*0.475*44/12</f>
        <v>22.823771906501744</v>
      </c>
      <c r="EX59" s="23">
        <f>EXP(-LN(2)/2)*EX58+(1-EXP(-LN(2)/2))/(LN(2)/2)*ER59*EU59*VLOOKUP('Données projet'!$B$15,Paramètres!$A$1:$I$89,3,0)*0.475*44/12</f>
        <v>5.6160609238267165</v>
      </c>
      <c r="EY59" s="24">
        <f t="shared" si="21"/>
        <v>39.035296642782193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3.1761666666666666</v>
      </c>
      <c r="FE59" s="13">
        <f>IF('Données projet'!$A$218&gt;35,FE58+FD59-FM58,IF(A59&lt;'Données projet'!$A$218,$FB$205^A59,IF(A59='Données projet'!$A$218,'Données projet'!$B$218,FE58+FD59-FM58)))</f>
        <v>177.8653333333331</v>
      </c>
      <c r="FF59" s="18">
        <f>FE59*VLOOKUP('Données projet'!$B$16,Paramètres!$A$1:$I$89,3,0)*VLOOKUP('Données projet'!$B$16,Paramètres!$A$1:$I$89,5,0)</f>
        <v>160.93255359999978</v>
      </c>
      <c r="FG59" s="14">
        <f t="shared" si="47"/>
        <v>41.052784277731064</v>
      </c>
      <c r="FH59" s="22">
        <f t="shared" si="22"/>
        <v>351.7911301370479</v>
      </c>
      <c r="FI59" s="62">
        <f t="shared" si="23"/>
        <v>645.12446347038122</v>
      </c>
      <c r="FJ59" s="62">
        <f ca="1">AVERAGE(OFFSET($FI$3,0,0,'Données projet'!$E$16+1,1))-AVERAGE(OFFSET($H$3,0,0,'Données projet'!$E$16+1,1))</f>
        <v>330.53726676433649</v>
      </c>
      <c r="FK59" s="62">
        <f t="shared" si="48"/>
        <v>228.01260676706528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3.1761666666666666</v>
      </c>
      <c r="FZ59" s="13">
        <f>IF('Données projet'!$A$244&gt;35,FZ58+FY59-GH58,IF(A59&lt;'Données projet'!$A$244,$FW$205^A59,IF(A59='Données projet'!$A$244,'Données projet'!$B$244,FZ58+FY59-GH58)))</f>
        <v>177.8653333333331</v>
      </c>
      <c r="GA59" s="18">
        <f>FZ59*VLOOKUP('Données projet'!$B$17,Paramètres!$A$1:$I$89,3,0)*VLOOKUP('Données projet'!$B$17,Paramètres!$A$1:$I$89,5,0)</f>
        <v>202.55304159999972</v>
      </c>
      <c r="GB59" s="14">
        <f t="shared" si="49"/>
        <v>50.304834116111444</v>
      </c>
      <c r="GC59" s="22">
        <f t="shared" si="25"/>
        <v>440.39413353889358</v>
      </c>
      <c r="GD59" s="62">
        <f t="shared" si="26"/>
        <v>733.72746687222684</v>
      </c>
      <c r="GE59" s="62">
        <f ca="1">AVERAGE(OFFSET($GD$3,0,0,'Données projet'!$E$17+1,1))-AVERAGE(OFFSET($H$3,0,0,'Données projet'!$E$17+1,1))</f>
        <v>405.71017054131318</v>
      </c>
      <c r="GF59" s="62">
        <f t="shared" si="50"/>
        <v>276.12900965322166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3.1761666666666666</v>
      </c>
      <c r="GU59" s="13">
        <f>IF('Données projet'!$A$270&gt;35,GU58+GT59-HC58,IF(A59&lt;'Données projet'!$A$270,$GR$205^A59,IF(A59='Données projet'!$A$270,'Données projet'!$B$270,GU58+GT59-HC58)))</f>
        <v>177.8653333333331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9.5537500000000009</v>
      </c>
      <c r="N60" s="14">
        <f>IF('Données projet'!$A$36&gt;35,N59+M60-V59,IF(A60&lt;'Données projet'!$A$36,$K$205^A60,IF(A60='Données projet'!$A$36,'Données projet'!$B$36,N59+M60-V59)))</f>
        <v>226.3162500000002</v>
      </c>
      <c r="O60" s="14">
        <f>N60*VLOOKUP('Données projet'!$B$9,Paramètres!$A$1:$I$89,3,0)*VLOOKUP('Données projet'!$B$9,Paramètres!$A$1:$I$89,5,0)</f>
        <v>204.77094300000016</v>
      </c>
      <c r="P60" s="14">
        <f t="shared" si="33"/>
        <v>50.791233664926693</v>
      </c>
      <c r="Q60" s="22">
        <f t="shared" si="53"/>
        <v>445.10412435808092</v>
      </c>
      <c r="R60" s="62">
        <f t="shared" si="0"/>
        <v>738.43745769141424</v>
      </c>
      <c r="S60" s="62">
        <f ca="1">AVERAGE(OFFSET($R$3,0,0,'Données projet'!$E$9+1,1))-AVERAGE(OFFSET($H$3,0,0,'Données projet'!$E$9+1,1))</f>
        <v>452.54136967045082</v>
      </c>
      <c r="T60" s="62">
        <f t="shared" si="34"/>
        <v>269.67340993773422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6.7582436879932866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6.7582436879932866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14.12</v>
      </c>
      <c r="AI60" s="14">
        <f>IF('Données projet'!$A$62&gt;35,AI59+AH60-AQ59,IF(A60&lt;'Données projet'!$A$62,$AF$205^A60,IF(A60='Données projet'!$A$62,'Données projet'!$B$62,AI59+AH60-AQ59)))</f>
        <v>398.58000000000021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9.5537500000000009</v>
      </c>
      <c r="BD60" s="13">
        <f>IF('Données projet'!$A$88&gt;35,BD59+BC60-BL59,IF(A60&lt;'Données projet'!$A$88,$BA$205^A60,IF(A60='Données projet'!$A$88,'Données projet'!$B$88,BD59+BC60-BL59)))</f>
        <v>226.3162500000002</v>
      </c>
      <c r="BE60" s="14">
        <f>BD60*VLOOKUP('Données projet'!$B$11,Paramètres!$A$1:$I$89,3,0)*VLOOKUP('Données projet'!$B$11,Paramètres!$A$1:$I$89,5,0)</f>
        <v>229.4846775000002</v>
      </c>
      <c r="BF60" s="14">
        <f t="shared" si="37"/>
        <v>56.171242216591338</v>
      </c>
      <c r="BG60" s="22">
        <f t="shared" si="7"/>
        <v>497.51739350639696</v>
      </c>
      <c r="BH60" s="62">
        <f t="shared" si="8"/>
        <v>790.85072683973021</v>
      </c>
      <c r="BI60" s="62">
        <f ca="1">AVERAGE(OFFSET($BH$3,0,0,'Données projet'!$E$11+1,1))-AVERAGE(OFFSET($H$3,0,0,'Données projet'!$E$11+1,1))</f>
        <v>502.06005292569733</v>
      </c>
      <c r="BJ60" s="62">
        <f t="shared" si="38"/>
        <v>297.06786598620607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7.5738937882683421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7.5738937882683421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2.9479999999999991</v>
      </c>
      <c r="BY60" s="13">
        <f>IF('Données projet'!$A$114&gt;35,BY59+BX60-CG59,IF(A60&lt;'Données projet'!$A$114,$BV$205^A60,IF(A60='Données projet'!$A$114,'Données projet'!$B$114,BY59+BX60-CG59)))</f>
        <v>104.61600000000003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-5.1431925385259088E-14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204.787338911576</v>
      </c>
      <c r="CZ60" s="62">
        <f t="shared" si="42"/>
        <v>287.24932051638558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27.427955329044888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27.427955329044888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145.80000000000007</v>
      </c>
      <c r="DP60" s="18">
        <f>DO60*VLOOKUP('Données projet'!$B$14,Paramètres!$A$1:$I$89,3,0)*VLOOKUP('Données projet'!$B$14,Paramètres!$A$1:$I$89,5,0)</f>
        <v>138.74328000000008</v>
      </c>
      <c r="DQ60" s="14">
        <f t="shared" si="43"/>
        <v>36.008957677777083</v>
      </c>
      <c r="DR60" s="22">
        <f t="shared" si="16"/>
        <v>304.36014728879525</v>
      </c>
      <c r="DS60" s="62">
        <f t="shared" si="17"/>
        <v>597.69348062212862</v>
      </c>
      <c r="DT60" s="62">
        <f ca="1">AVERAGE(OFFSET($DS$3,0,0,'Données projet'!$E$14+1,1))-AVERAGE(OFFSET($H$3,0,0,'Données projet'!$E$14+1,1))</f>
        <v>309.55876703480277</v>
      </c>
      <c r="DU60" s="62">
        <f t="shared" si="44"/>
        <v>122.43799205838684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5.3634990188347418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5.3634990188347418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12.656666666666666</v>
      </c>
      <c r="EJ60" s="13">
        <f>IF('Données projet'!$A$192&gt;35,EJ59+EI60-ER59,IF(A60&lt;'Données projet'!$A$192,$EG$205^A60,IF(A60='Données projet'!$A$192,'Données projet'!$B$192,EJ59+EI60-ER59)))</f>
        <v>297.58333333333314</v>
      </c>
      <c r="EK60" s="18">
        <f>EJ60*VLOOKUP('Données projet'!$B$15,Paramètres!$A$1:$I$89,3,0)*VLOOKUP('Données projet'!$B$15,Paramètres!$A$1:$I$89,5,0)</f>
        <v>139.26899999999992</v>
      </c>
      <c r="EL60" s="14">
        <f t="shared" si="45"/>
        <v>36.12949267139296</v>
      </c>
      <c r="EM60" s="22">
        <f t="shared" si="19"/>
        <v>305.48570806934259</v>
      </c>
      <c r="EN60" s="62">
        <f t="shared" si="20"/>
        <v>598.81904140267591</v>
      </c>
      <c r="EO60" s="62">
        <f ca="1">AVERAGE(OFFSET($EN$3,0,0,'Données projet'!$E$15+1,1))-AVERAGE(OFFSET($H$3,0,0,'Données projet'!$E$15+1,1))</f>
        <v>301.04834785168049</v>
      </c>
      <c r="EP60" s="62">
        <f t="shared" si="46"/>
        <v>164.1450425611464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10.38769322968631</v>
      </c>
      <c r="EW60" s="23">
        <f>EXP(-LN(2)/25)*EW59+(1-EXP(-LN(2)/25))/(LN(2)/25)*Calculateur!ER60*Calculateur!ET60*VLOOKUP('Données projet'!$B$15,Paramètres!$A$1:$I$89,3,0)*0.475*44/12</f>
        <v>22.199654663468454</v>
      </c>
      <c r="EX60" s="23">
        <f>EXP(-LN(2)/2)*EX59+(1-EXP(-LN(2)/2))/(LN(2)/2)*ER60*EU60*VLOOKUP('Données projet'!$B$15,Paramètres!$A$1:$I$89,3,0)*0.475*44/12</f>
        <v>3.9711547627946584</v>
      </c>
      <c r="EY60" s="24">
        <f t="shared" si="21"/>
        <v>36.558502655949425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3.1761666666666666</v>
      </c>
      <c r="FE60" s="13">
        <f>IF('Données projet'!$A$218&gt;35,FE59+FD60-FM59,IF(A60&lt;'Données projet'!$A$218,$FB$205^A60,IF(A60='Données projet'!$A$218,'Données projet'!$B$218,FE59+FD60-FM59)))</f>
        <v>181.04149999999976</v>
      </c>
      <c r="FF60" s="18">
        <f>FE60*VLOOKUP('Données projet'!$B$16,Paramètres!$A$1:$I$89,3,0)*VLOOKUP('Données projet'!$B$16,Paramètres!$A$1:$I$89,5,0)</f>
        <v>163.80634919999977</v>
      </c>
      <c r="FG60" s="14">
        <f t="shared" si="47"/>
        <v>41.699869796803455</v>
      </c>
      <c r="FH60" s="22">
        <f t="shared" si="22"/>
        <v>357.92333141943232</v>
      </c>
      <c r="FI60" s="62">
        <f t="shared" si="23"/>
        <v>651.25666475276557</v>
      </c>
      <c r="FJ60" s="62">
        <f ca="1">AVERAGE(OFFSET($FI$3,0,0,'Données projet'!$E$16+1,1))-AVERAGE(OFFSET($H$3,0,0,'Données projet'!$E$16+1,1))</f>
        <v>330.53726676433649</v>
      </c>
      <c r="FK60" s="62">
        <f t="shared" si="48"/>
        <v>228.01260676706528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3.1761666666666666</v>
      </c>
      <c r="FZ60" s="13">
        <f>IF('Données projet'!$A$244&gt;35,FZ59+FY60-GH59,IF(A60&lt;'Données projet'!$A$244,$FW$205^A60,IF(A60='Données projet'!$A$244,'Données projet'!$B$244,FZ59+FY60-GH59)))</f>
        <v>181.04149999999976</v>
      </c>
      <c r="GA60" s="18">
        <f>FZ60*VLOOKUP('Données projet'!$B$17,Paramètres!$A$1:$I$89,3,0)*VLOOKUP('Données projet'!$B$17,Paramètres!$A$1:$I$89,5,0)</f>
        <v>206.17006019999974</v>
      </c>
      <c r="GB60" s="14">
        <f t="shared" si="49"/>
        <v>51.097753043988696</v>
      </c>
      <c r="GC60" s="22">
        <f t="shared" si="25"/>
        <v>448.07477473327981</v>
      </c>
      <c r="GD60" s="62">
        <f t="shared" si="26"/>
        <v>741.40810806661307</v>
      </c>
      <c r="GE60" s="62">
        <f ca="1">AVERAGE(OFFSET($GD$3,0,0,'Données projet'!$E$17+1,1))-AVERAGE(OFFSET($H$3,0,0,'Données projet'!$E$17+1,1))</f>
        <v>405.71017054131318</v>
      </c>
      <c r="GF60" s="62">
        <f t="shared" si="50"/>
        <v>276.12900965322166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3.1761666666666666</v>
      </c>
      <c r="GU60" s="13">
        <f>IF('Données projet'!$A$270&gt;35,GU59+GT60-HC59,IF(A60&lt;'Données projet'!$A$270,$GR$205^A60,IF(A60='Données projet'!$A$270,'Données projet'!$B$270,GU59+GT60-HC59)))</f>
        <v>181.04149999999976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235.87</v>
      </c>
      <c r="L61" s="13">
        <f>VLOOKUP(A61,'Données projet'!$A$35:$I$55,9,0)</f>
        <v>9.5537500000000009</v>
      </c>
      <c r="M61" s="13">
        <f t="array" ref="M61">INDEX(L:L,MIN(IF(ISNUMBER(L61:L257),ROW(L61:L257),"")))</f>
        <v>9.5537500000000009</v>
      </c>
      <c r="N61" s="14">
        <f>IF('Données projet'!$A$36&gt;35,N60+M61-V60,IF(A61&lt;'Données projet'!$A$36,$K$205^A61,IF(A61='Données projet'!$A$36,'Données projet'!$B$36,N60+M61-V60)))</f>
        <v>235.8700000000002</v>
      </c>
      <c r="O61" s="14">
        <f>N61*VLOOKUP('Données projet'!$B$9,Paramètres!$A$1:$I$89,3,0)*VLOOKUP('Données projet'!$B$9,Paramètres!$A$1:$I$89,5,0)</f>
        <v>213.41517600000017</v>
      </c>
      <c r="P61" s="14">
        <f t="shared" si="33"/>
        <v>52.681185448853228</v>
      </c>
      <c r="Q61" s="22">
        <f t="shared" si="53"/>
        <v>463.45116285675294</v>
      </c>
      <c r="R61" s="62">
        <f t="shared" si="0"/>
        <v>756.7844961900862</v>
      </c>
      <c r="S61" s="62">
        <f ca="1">AVERAGE(OFFSET($R$3,0,0,'Données projet'!$E$9+1,1))-AVERAGE(OFFSET($H$3,0,0,'Données projet'!$E$9+1,1))</f>
        <v>452.54136967045082</v>
      </c>
      <c r="T61" s="62">
        <f t="shared" si="34"/>
        <v>269.67340993773422</v>
      </c>
      <c r="U61" s="16">
        <f>IF(ISNA(VLOOKUP(A61,'Données projet'!$A$35:$I$55,3,0)),0,VLOOKUP(A61,'Données projet'!$A$35:$I$55,3,0))</f>
        <v>3</v>
      </c>
      <c r="V61" s="16">
        <f>IF(ISNA(VLOOKUP(A61,'Données projet'!$A$35:$I$55,4,0)),0,VLOOKUP(A61,'Données projet'!$A$35:$I$55,4,0))</f>
        <v>44.93</v>
      </c>
      <c r="W61" s="17">
        <f>IF(ISNA(VLOOKUP(A61,'Données projet'!$A$35:$I$55,5,0)),0%,VLOOKUP(A61,'Données projet'!$A$35:$I$55,5,0)*VLOOKUP('Données projet'!$B$9,Paramètres!$A$1:$I$89,7,0))</f>
        <v>0.129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12.423019402635973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12.423019402635973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14.12</v>
      </c>
      <c r="AI61" s="14">
        <f>IF('Données projet'!$A$62&gt;35,AI60+AH61-AQ60,IF(A61&lt;'Données projet'!$A$62,$AF$205^A61,IF(A61='Données projet'!$A$62,'Données projet'!$B$62,AI60+AH61-AQ60)))</f>
        <v>412.70000000000022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>
        <f>VLOOKUP(A61,'Données projet'!$A$87:$I$107,2,0)</f>
        <v>235.87</v>
      </c>
      <c r="BB61" s="13">
        <f>VLOOKUP(A61,'Données projet'!$A$87:$I$107,9,0)</f>
        <v>9.5537500000000009</v>
      </c>
      <c r="BC61" s="13">
        <f t="array" ref="BC61">INDEX(BB:BB,MIN(IF(ISNUMBER(BB61:BB257),ROW(BB61:BB257),"")))</f>
        <v>9.5537500000000009</v>
      </c>
      <c r="BD61" s="13">
        <f>IF('Données projet'!$A$88&gt;35,BD60+BC61-BL60,IF(A61&lt;'Données projet'!$A$88,$BA$205^A61,IF(A61='Données projet'!$A$88,'Données projet'!$B$88,BD60+BC61-BL60)))</f>
        <v>235.8700000000002</v>
      </c>
      <c r="BE61" s="14">
        <f>BD61*VLOOKUP('Données projet'!$B$11,Paramètres!$A$1:$I$89,3,0)*VLOOKUP('Données projet'!$B$11,Paramètres!$A$1:$I$89,5,0)</f>
        <v>239.1721800000002</v>
      </c>
      <c r="BF61" s="14">
        <f t="shared" si="37"/>
        <v>58.261385175767472</v>
      </c>
      <c r="BG61" s="22">
        <f t="shared" si="7"/>
        <v>518.0301260144621</v>
      </c>
      <c r="BH61" s="62">
        <f t="shared" si="8"/>
        <v>811.36345934779547</v>
      </c>
      <c r="BI61" s="62">
        <f ca="1">AVERAGE(OFFSET($BH$3,0,0,'Données projet'!$E$11+1,1))-AVERAGE(OFFSET($H$3,0,0,'Données projet'!$E$11+1,1))</f>
        <v>502.06005292569733</v>
      </c>
      <c r="BJ61" s="62">
        <f t="shared" si="38"/>
        <v>297.06786598620607</v>
      </c>
      <c r="BK61" s="16">
        <f>IF(ISNA(VLOOKUP(A61,'Données projet'!$A$87:$I$107,3,0)),0,VLOOKUP(A61,'Données projet'!$A$87:$I$107,3,0))</f>
        <v>3</v>
      </c>
      <c r="BL61" s="16">
        <f>IF(ISNA(VLOOKUP(A61,'Données projet'!$A$87:$I$107,4,0)),0,VLOOKUP(A61,'Données projet'!$A$87:$I$107,4,0))</f>
        <v>44.93</v>
      </c>
      <c r="BM61" s="17">
        <f>IF(ISNA(VLOOKUP(A61,'Données projet'!$A$87:$I$107,5,0)),0%,VLOOKUP(A61,'Données projet'!$A$87:$I$107,5,0)*VLOOKUP('Données projet'!$B$11,Paramètres!$A$1:$I$89,7,0))</f>
        <v>0.129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13.922349330540316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13.922349330540316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2.9479999999999991</v>
      </c>
      <c r="BY61" s="13">
        <f>IF('Données projet'!$A$114&gt;35,BY60+BX61-CG60,IF(A61&lt;'Données projet'!$A$114,$BV$205^A61,IF(A61='Données projet'!$A$114,'Données projet'!$B$114,BY60+BX61-CG60)))</f>
        <v>107.56400000000002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-5.1431925385259088E-14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204.787338911576</v>
      </c>
      <c r="CZ61" s="62">
        <f t="shared" si="42"/>
        <v>287.24932051638558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26.890109854443178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26.890109854443178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153.20000000000007</v>
      </c>
      <c r="DP61" s="18">
        <f>DO61*VLOOKUP('Données projet'!$B$14,Paramètres!$A$1:$I$89,3,0)*VLOOKUP('Données projet'!$B$14,Paramètres!$A$1:$I$89,5,0)</f>
        <v>145.78512000000006</v>
      </c>
      <c r="DQ61" s="14">
        <f t="shared" si="43"/>
        <v>37.619155951882753</v>
      </c>
      <c r="DR61" s="22">
        <f t="shared" si="16"/>
        <v>319.42911394952921</v>
      </c>
      <c r="DS61" s="62">
        <f t="shared" si="17"/>
        <v>612.76244728286247</v>
      </c>
      <c r="DT61" s="62">
        <f ca="1">AVERAGE(OFFSET($DS$3,0,0,'Données projet'!$E$14+1,1))-AVERAGE(OFFSET($H$3,0,0,'Données projet'!$E$14+1,1))</f>
        <v>309.55876703480277</v>
      </c>
      <c r="DU61" s="62">
        <f t="shared" si="44"/>
        <v>122.43799205838684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5.2583240744867688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5.2583240744867688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12.656666666666666</v>
      </c>
      <c r="EJ61" s="13">
        <f>IF('Données projet'!$A$192&gt;35,EJ60+EI61-ER60,IF(A61&lt;'Données projet'!$A$192,$EG$205^A61,IF(A61='Données projet'!$A$192,'Données projet'!$B$192,EJ60+EI61-ER60)))</f>
        <v>310.23999999999978</v>
      </c>
      <c r="EK61" s="18">
        <f>EJ61*VLOOKUP('Données projet'!$B$15,Paramètres!$A$1:$I$89,3,0)*VLOOKUP('Données projet'!$B$15,Paramètres!$A$1:$I$89,5,0)</f>
        <v>145.19231999999991</v>
      </c>
      <c r="EL61" s="14">
        <f t="shared" si="45"/>
        <v>37.48396031597408</v>
      </c>
      <c r="EM61" s="22">
        <f t="shared" si="19"/>
        <v>318.16118821698802</v>
      </c>
      <c r="EN61" s="62">
        <f t="shared" si="20"/>
        <v>611.49452155032134</v>
      </c>
      <c r="EO61" s="62">
        <f ca="1">AVERAGE(OFFSET($EN$3,0,0,'Données projet'!$E$15+1,1))-AVERAGE(OFFSET($H$3,0,0,'Données projet'!$E$15+1,1))</f>
        <v>301.04834785168049</v>
      </c>
      <c r="EP61" s="62">
        <f t="shared" si="46"/>
        <v>164.1450425611464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10.183996901319416</v>
      </c>
      <c r="EW61" s="23">
        <f>EXP(-LN(2)/25)*EW60+(1-EXP(-LN(2)/25))/(LN(2)/25)*Calculateur!ER61*Calculateur!ET61*VLOOKUP('Données projet'!$B$15,Paramètres!$A$1:$I$89,3,0)*0.475*44/12</f>
        <v>21.592603939266809</v>
      </c>
      <c r="EX61" s="23">
        <f>EXP(-LN(2)/2)*EX60+(1-EXP(-LN(2)/2))/(LN(2)/2)*ER61*EU61*VLOOKUP('Données projet'!$B$15,Paramètres!$A$1:$I$89,3,0)*0.475*44/12</f>
        <v>2.8080304619133587</v>
      </c>
      <c r="EY61" s="24">
        <f t="shared" si="21"/>
        <v>34.584631302499588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3.1761666666666666</v>
      </c>
      <c r="FE61" s="13">
        <f>IF('Données projet'!$A$218&gt;35,FE60+FD61-FM60,IF(A61&lt;'Données projet'!$A$218,$FB$205^A61,IF(A61='Données projet'!$A$218,'Données projet'!$B$218,FE60+FD61-FM60)))</f>
        <v>184.21766666666642</v>
      </c>
      <c r="FF61" s="18">
        <f>FE61*VLOOKUP('Données projet'!$B$16,Paramètres!$A$1:$I$89,3,0)*VLOOKUP('Données projet'!$B$16,Paramètres!$A$1:$I$89,5,0)</f>
        <v>166.68014479999977</v>
      </c>
      <c r="FG61" s="14">
        <f t="shared" si="47"/>
        <v>42.345635175855847</v>
      </c>
      <c r="FH61" s="22">
        <f t="shared" si="22"/>
        <v>364.05323345794847</v>
      </c>
      <c r="FI61" s="62">
        <f t="shared" si="23"/>
        <v>657.38656679128178</v>
      </c>
      <c r="FJ61" s="62">
        <f ca="1">AVERAGE(OFFSET($FI$3,0,0,'Données projet'!$E$16+1,1))-AVERAGE(OFFSET($H$3,0,0,'Données projet'!$E$16+1,1))</f>
        <v>330.53726676433649</v>
      </c>
      <c r="FK61" s="62">
        <f t="shared" si="48"/>
        <v>228.01260676706528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3.1761666666666666</v>
      </c>
      <c r="FZ61" s="13">
        <f>IF('Données projet'!$A$244&gt;35,FZ60+FY61-GH60,IF(A61&lt;'Données projet'!$A$244,$FW$205^A61,IF(A61='Données projet'!$A$244,'Données projet'!$B$244,FZ60+FY61-GH60)))</f>
        <v>184.21766666666642</v>
      </c>
      <c r="GA61" s="18">
        <f>FZ61*VLOOKUP('Données projet'!$B$17,Paramètres!$A$1:$I$89,3,0)*VLOOKUP('Données projet'!$B$17,Paramètres!$A$1:$I$89,5,0)</f>
        <v>209.78707879999973</v>
      </c>
      <c r="GB61" s="14">
        <f t="shared" si="49"/>
        <v>51.889054312409108</v>
      </c>
      <c r="GC61" s="22">
        <f t="shared" si="25"/>
        <v>455.75259850411197</v>
      </c>
      <c r="GD61" s="62">
        <f t="shared" si="26"/>
        <v>749.08593183744529</v>
      </c>
      <c r="GE61" s="62">
        <f ca="1">AVERAGE(OFFSET($GD$3,0,0,'Données projet'!$E$17+1,1))-AVERAGE(OFFSET($H$3,0,0,'Données projet'!$E$17+1,1))</f>
        <v>405.71017054131318</v>
      </c>
      <c r="GF61" s="62">
        <f t="shared" si="50"/>
        <v>276.12900965322166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3.1761666666666666</v>
      </c>
      <c r="GU61" s="13">
        <f>IF('Données projet'!$A$270&gt;35,GU60+GT61-HC60,IF(A61&lt;'Données projet'!$A$270,$GR$205^A61,IF(A61='Données projet'!$A$270,'Données projet'!$B$270,GU60+GT61-HC60)))</f>
        <v>184.21766666666642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9.2524999999999977</v>
      </c>
      <c r="N62" s="14">
        <f>IF('Données projet'!$A$36&gt;35,N61+M62-V61,IF(A62&lt;'Données projet'!$A$36,$K$205^A62,IF(A62='Données projet'!$A$36,'Données projet'!$B$36,N61+M62-V61)))</f>
        <v>200.19250000000019</v>
      </c>
      <c r="O62" s="14">
        <f>N62*VLOOKUP('Données projet'!$B$9,Paramètres!$A$1:$I$89,3,0)*VLOOKUP('Données projet'!$B$9,Paramètres!$A$1:$I$89,5,0)</f>
        <v>181.13417400000017</v>
      </c>
      <c r="P62" s="14">
        <f t="shared" si="33"/>
        <v>45.574426667354729</v>
      </c>
      <c r="Q62" s="22">
        <f t="shared" si="53"/>
        <v>394.85081282897653</v>
      </c>
      <c r="R62" s="62">
        <f t="shared" si="0"/>
        <v>688.18414616230984</v>
      </c>
      <c r="S62" s="62">
        <f ca="1">AVERAGE(OFFSET($R$3,0,0,'Données projet'!$E$9+1,1))-AVERAGE(OFFSET($H$3,0,0,'Données projet'!$E$9+1,1))</f>
        <v>452.54136967045082</v>
      </c>
      <c r="T62" s="62">
        <f t="shared" si="34"/>
        <v>269.67340993773422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12.179411569443921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12.179411569443921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14.12</v>
      </c>
      <c r="AI62" s="14">
        <f>IF('Données projet'!$A$62&gt;35,AI61+AH62-AQ61,IF(A62&lt;'Données projet'!$A$62,$AF$205^A62,IF(A62='Données projet'!$A$62,'Données projet'!$B$62,AI61+AH62-AQ61)))</f>
        <v>426.82000000000022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9.2524999999999977</v>
      </c>
      <c r="BD62" s="13">
        <f>IF('Données projet'!$A$88&gt;35,BD61+BC62-BL61,IF(A62&lt;'Données projet'!$A$88,$BA$205^A62,IF(A62='Données projet'!$A$88,'Données projet'!$B$88,BD61+BC62-BL61)))</f>
        <v>200.19250000000019</v>
      </c>
      <c r="BE62" s="14">
        <f>BD62*VLOOKUP('Données projet'!$B$11,Paramètres!$A$1:$I$89,3,0)*VLOOKUP('Données projet'!$B$11,Paramètres!$A$1:$I$89,5,0)</f>
        <v>202.99519500000022</v>
      </c>
      <c r="BF62" s="14">
        <f t="shared" si="37"/>
        <v>50.40185036856122</v>
      </c>
      <c r="BG62" s="22">
        <f t="shared" si="7"/>
        <v>441.33318735024449</v>
      </c>
      <c r="BH62" s="62">
        <f t="shared" si="8"/>
        <v>734.6665206835778</v>
      </c>
      <c r="BI62" s="62">
        <f ca="1">AVERAGE(OFFSET($BH$3,0,0,'Données projet'!$E$11+1,1))-AVERAGE(OFFSET($H$3,0,0,'Données projet'!$E$11+1,1))</f>
        <v>502.06005292569733</v>
      </c>
      <c r="BJ62" s="62">
        <f t="shared" si="38"/>
        <v>297.06786598620607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13.649340551963016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13.649340551963016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2.9479999999999991</v>
      </c>
      <c r="BY62" s="13">
        <f>IF('Données projet'!$A$114&gt;35,BY61+BX62-CG61,IF(A62&lt;'Données projet'!$A$114,$BV$205^A62,IF(A62='Données projet'!$A$114,'Données projet'!$B$114,BY61+BX62-CG61)))</f>
        <v>110.51200000000001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-5.1431925385259088E-14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204.787338911576</v>
      </c>
      <c r="CZ62" s="62">
        <f t="shared" si="42"/>
        <v>287.24932051638558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26.36281120154506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26.36281120154506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160.60000000000008</v>
      </c>
      <c r="DP62" s="18">
        <f>DO62*VLOOKUP('Données projet'!$B$14,Paramètres!$A$1:$I$89,3,0)*VLOOKUP('Données projet'!$B$14,Paramètres!$A$1:$I$89,5,0)</f>
        <v>152.82696000000007</v>
      </c>
      <c r="DQ62" s="14">
        <f t="shared" si="43"/>
        <v>39.220322654833289</v>
      </c>
      <c r="DR62" s="22">
        <f t="shared" si="16"/>
        <v>334.48235062383475</v>
      </c>
      <c r="DS62" s="62">
        <f t="shared" si="17"/>
        <v>627.81568395716806</v>
      </c>
      <c r="DT62" s="62">
        <f ca="1">AVERAGE(OFFSET($DS$3,0,0,'Données projet'!$E$14+1,1))-AVERAGE(OFFSET($H$3,0,0,'Données projet'!$E$14+1,1))</f>
        <v>309.55876703480277</v>
      </c>
      <c r="DU62" s="62">
        <f t="shared" si="44"/>
        <v>122.43799205838684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5.1552115466470783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5.1552115466470783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12.656666666666666</v>
      </c>
      <c r="EJ62" s="13">
        <f>IF('Données projet'!$A$192&gt;35,EJ61+EI62-ER61,IF(A62&lt;'Données projet'!$A$192,$EG$205^A62,IF(A62='Données projet'!$A$192,'Données projet'!$B$192,EJ61+EI62-ER61)))</f>
        <v>322.89666666666642</v>
      </c>
      <c r="EK62" s="18">
        <f>EJ62*VLOOKUP('Données projet'!$B$15,Paramètres!$A$1:$I$89,3,0)*VLOOKUP('Données projet'!$B$15,Paramètres!$A$1:$I$89,5,0)</f>
        <v>151.11563999999987</v>
      </c>
      <c r="EL62" s="14">
        <f t="shared" si="45"/>
        <v>38.832009370252678</v>
      </c>
      <c r="EM62" s="22">
        <f t="shared" si="19"/>
        <v>330.82548931985656</v>
      </c>
      <c r="EN62" s="62">
        <f t="shared" si="20"/>
        <v>624.15882265318987</v>
      </c>
      <c r="EO62" s="62">
        <f ca="1">AVERAGE(OFFSET($EN$3,0,0,'Données projet'!$E$15+1,1))-AVERAGE(OFFSET($H$3,0,0,'Données projet'!$E$15+1,1))</f>
        <v>301.04834785168049</v>
      </c>
      <c r="EP62" s="62">
        <f t="shared" si="46"/>
        <v>164.1450425611464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9.9842949337093057</v>
      </c>
      <c r="EW62" s="23">
        <f>EXP(-LN(2)/25)*EW61+(1-EXP(-LN(2)/25))/(LN(2)/25)*Calculateur!ER62*Calculateur!ET62*VLOOKUP('Données projet'!$B$15,Paramètres!$A$1:$I$89,3,0)*0.475*44/12</f>
        <v>21.002153049041866</v>
      </c>
      <c r="EX62" s="23">
        <f>EXP(-LN(2)/2)*EX61+(1-EXP(-LN(2)/2))/(LN(2)/2)*ER62*EU62*VLOOKUP('Données projet'!$B$15,Paramètres!$A$1:$I$89,3,0)*0.475*44/12</f>
        <v>1.9855773813973294</v>
      </c>
      <c r="EY62" s="24">
        <f t="shared" si="21"/>
        <v>32.9720253641485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3.1761666666666666</v>
      </c>
      <c r="FE62" s="13">
        <f>IF('Données projet'!$A$218&gt;35,FE61+FD62-FM61,IF(A62&lt;'Données projet'!$A$218,$FB$205^A62,IF(A62='Données projet'!$A$218,'Données projet'!$B$218,FE61+FD62-FM61)))</f>
        <v>187.39383333333308</v>
      </c>
      <c r="FF62" s="18">
        <f>FE62*VLOOKUP('Données projet'!$B$16,Paramètres!$A$1:$I$89,3,0)*VLOOKUP('Données projet'!$B$16,Paramètres!$A$1:$I$89,5,0)</f>
        <v>169.55394039999976</v>
      </c>
      <c r="FG62" s="14">
        <f t="shared" si="47"/>
        <v>42.990105802361853</v>
      </c>
      <c r="FH62" s="22">
        <f t="shared" si="22"/>
        <v>370.18088046911311</v>
      </c>
      <c r="FI62" s="62">
        <f t="shared" si="23"/>
        <v>663.51421380244642</v>
      </c>
      <c r="FJ62" s="62">
        <f ca="1">AVERAGE(OFFSET($FI$3,0,0,'Données projet'!$E$16+1,1))-AVERAGE(OFFSET($H$3,0,0,'Données projet'!$E$16+1,1))</f>
        <v>330.53726676433649</v>
      </c>
      <c r="FK62" s="62">
        <f t="shared" si="48"/>
        <v>228.01260676706528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3.1761666666666666</v>
      </c>
      <c r="FZ62" s="13">
        <f>IF('Données projet'!$A$244&gt;35,FZ61+FY62-GH61,IF(A62&lt;'Données projet'!$A$244,$FW$205^A62,IF(A62='Données projet'!$A$244,'Données projet'!$B$244,FZ61+FY62-GH61)))</f>
        <v>187.39383333333308</v>
      </c>
      <c r="GA62" s="18">
        <f>FZ62*VLOOKUP('Données projet'!$B$17,Paramètres!$A$1:$I$89,3,0)*VLOOKUP('Données projet'!$B$17,Paramètres!$A$1:$I$89,5,0)</f>
        <v>213.40409739999973</v>
      </c>
      <c r="GB62" s="14">
        <f t="shared" si="49"/>
        <v>52.678769030411253</v>
      </c>
      <c r="GC62" s="22">
        <f t="shared" si="25"/>
        <v>463.42765903296578</v>
      </c>
      <c r="GD62" s="62">
        <f t="shared" si="26"/>
        <v>756.76099236629909</v>
      </c>
      <c r="GE62" s="62">
        <f ca="1">AVERAGE(OFFSET($GD$3,0,0,'Données projet'!$E$17+1,1))-AVERAGE(OFFSET($H$3,0,0,'Données projet'!$E$17+1,1))</f>
        <v>405.71017054131318</v>
      </c>
      <c r="GF62" s="62">
        <f t="shared" si="50"/>
        <v>276.12900965322166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3.1761666666666666</v>
      </c>
      <c r="GU62" s="13">
        <f>IF('Données projet'!$A$270&gt;35,GU61+GT62-HC61,IF(A62&lt;'Données projet'!$A$270,$GR$205^A62,IF(A62='Données projet'!$A$270,'Données projet'!$B$270,GU61+GT62-HC61)))</f>
        <v>187.39383333333308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9.2524999999999977</v>
      </c>
      <c r="N63" s="14">
        <f>IF('Données projet'!$A$36&gt;35,N62+M63-V62,IF(A63&lt;'Données projet'!$A$36,$K$205^A63,IF(A63='Données projet'!$A$36,'Données projet'!$B$36,N62+M63-V62)))</f>
        <v>209.44500000000019</v>
      </c>
      <c r="O63" s="14">
        <f>N63*VLOOKUP('Données projet'!$B$9,Paramètres!$A$1:$I$89,3,0)*VLOOKUP('Données projet'!$B$9,Paramètres!$A$1:$I$89,5,0)</f>
        <v>189.50583600000016</v>
      </c>
      <c r="P63" s="14">
        <f t="shared" si="33"/>
        <v>47.430683653447495</v>
      </c>
      <c r="Q63" s="22">
        <f t="shared" si="53"/>
        <v>412.6644383964213</v>
      </c>
      <c r="R63" s="62">
        <f t="shared" si="0"/>
        <v>705.99777172975462</v>
      </c>
      <c r="S63" s="62">
        <f ca="1">AVERAGE(OFFSET($R$3,0,0,'Données projet'!$E$9+1,1))-AVERAGE(OFFSET($H$3,0,0,'Données projet'!$E$9+1,1))</f>
        <v>452.54136967045082</v>
      </c>
      <c r="T63" s="62">
        <f t="shared" si="34"/>
        <v>269.67340993773422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11.94058073727466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11.94058073727466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440.94</v>
      </c>
      <c r="AG63" s="13">
        <f>VLOOKUP(A63,'Données projet'!$A$61:$I$81,9,0)</f>
        <v>14.12</v>
      </c>
      <c r="AH63" s="13">
        <f t="array" ref="AH63">INDEX(AG:AG,MIN(IF(ISNUMBER(AG63:AG259),ROW(AG63:AG259),"")))</f>
        <v>14.12</v>
      </c>
      <c r="AI63" s="14">
        <f>IF('Données projet'!$A$62&gt;35,AI62+AH63-AQ62,IF(A63&lt;'Données projet'!$A$62,$AF$205^A63,IF(A63='Données projet'!$A$62,'Données projet'!$B$62,AI62+AH63-AQ62)))</f>
        <v>440.94000000000023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69.849999999999994</v>
      </c>
      <c r="AR63" s="17" t="e">
        <f>IF(ISNA(VLOOKUP(A63,'Données projet'!$A$61:$I$81,5,0)),0%,VLOOKUP(A63,'Données projet'!$A$61:$I$81,5,0)*VLOOKUP('Données projet'!$B$10,Paramètres!$A$1:$I$89,7,0))</f>
        <v>#N/A</v>
      </c>
      <c r="AS63" s="17" t="e">
        <f>IF(ISNA(VLOOKUP(A63,'Données projet'!$A$61:$I$81,6,0)),0%,VLOOKUP(A63,'Données projet'!$A$61:$I$81,6,0)*VLOOKUP('Données projet'!$B$10,Paramètres!$A$1:$I$89,7,0))</f>
        <v>#N/A</v>
      </c>
      <c r="AT63" s="17">
        <f>IF(ISNA(VLOOKUP(A63,'Données projet'!$A$61:$I$81,7,0)),0%,VLOOKUP(A63,'Données projet'!$A$61:$I$81,7,0))</f>
        <v>0.18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9.2524999999999977</v>
      </c>
      <c r="BD63" s="13">
        <f>IF('Données projet'!$A$88&gt;35,BD62+BC63-BL62,IF(A63&lt;'Données projet'!$A$88,$BA$205^A63,IF(A63='Données projet'!$A$88,'Données projet'!$B$88,BD62+BC63-BL62)))</f>
        <v>209.44500000000019</v>
      </c>
      <c r="BE63" s="14">
        <f>BD63*VLOOKUP('Données projet'!$B$11,Paramètres!$A$1:$I$89,3,0)*VLOOKUP('Données projet'!$B$11,Paramètres!$A$1:$I$89,5,0)</f>
        <v>212.3772300000002</v>
      </c>
      <c r="BF63" s="14">
        <f t="shared" si="37"/>
        <v>52.454729443519689</v>
      </c>
      <c r="BG63" s="22">
        <f t="shared" si="7"/>
        <v>461.24899603079712</v>
      </c>
      <c r="BH63" s="62">
        <f t="shared" si="8"/>
        <v>754.58232936413037</v>
      </c>
      <c r="BI63" s="62">
        <f ca="1">AVERAGE(OFFSET($BH$3,0,0,'Données projet'!$E$11+1,1))-AVERAGE(OFFSET($H$3,0,0,'Données projet'!$E$11+1,1))</f>
        <v>502.06005292569733</v>
      </c>
      <c r="BJ63" s="62">
        <f t="shared" si="38"/>
        <v>297.06786598620607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13.381685309014706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13.381685309014706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113.46</v>
      </c>
      <c r="BW63" s="13">
        <f>VLOOKUP(A63,'Données projet'!$A$113:$I$133,9,0)</f>
        <v>2.9479999999999991</v>
      </c>
      <c r="BX63" s="13">
        <f t="array" ref="BX63">INDEX(BW:BW,MIN(IF(ISNUMBER(BW63:BW259),ROW(BW63:BW259),"")))</f>
        <v>2.9479999999999991</v>
      </c>
      <c r="BY63" s="13">
        <f>IF('Données projet'!$A$114&gt;35,BY62+BX63-CG62,IF(A63&lt;'Données projet'!$A$114,$BV$205^A63,IF(A63='Données projet'!$A$114,'Données projet'!$B$114,BY62+BX63-CG62)))</f>
        <v>113.46000000000001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10.26</v>
      </c>
      <c r="CH63" s="17" t="e">
        <f>IF(ISNA(VLOOKUP(A63,'Données projet'!$A$113:$I$133,5,0)),0%,VLOOKUP(A63,'Données projet'!$A$113:$I$133,5,0)*VLOOKUP('Données projet'!$B$12,Paramètres!$A$1:$I$89,7,0))</f>
        <v>#N/A</v>
      </c>
      <c r="CI63" s="17" t="e">
        <f>IF(ISNA(VLOOKUP(A63,'Données projet'!$A$113:$I$133,6,0)),0%,VLOOKUP(A63,'Données projet'!$A$113:$I$133,6,0)*VLOOKUP('Données projet'!$B$12,Paramètres!$A$1:$I$89,7,0))</f>
        <v>#N/A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-5.1431925385259088E-14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204.787338911576</v>
      </c>
      <c r="CZ63" s="62">
        <f t="shared" si="42"/>
        <v>287.24932051638558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25.845852553609852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25.845852553609852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168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168.00000000000009</v>
      </c>
      <c r="DP63" s="18">
        <f>DO63*VLOOKUP('Données projet'!$B$14,Paramètres!$A$1:$I$89,3,0)*VLOOKUP('Données projet'!$B$14,Paramètres!$A$1:$I$89,5,0)</f>
        <v>159.86880000000008</v>
      </c>
      <c r="DQ63" s="14">
        <f t="shared" si="43"/>
        <v>40.812921467768035</v>
      </c>
      <c r="DR63" s="22">
        <f t="shared" si="16"/>
        <v>349.52066488969609</v>
      </c>
      <c r="DS63" s="62">
        <f t="shared" si="17"/>
        <v>642.85399822302941</v>
      </c>
      <c r="DT63" s="62">
        <f ca="1">AVERAGE(OFFSET($DS$3,0,0,'Données projet'!$E$14+1,1))-AVERAGE(OFFSET($H$3,0,0,'Données projet'!$E$14+1,1))</f>
        <v>309.55876703480277</v>
      </c>
      <c r="DU63" s="62">
        <f t="shared" si="44"/>
        <v>122.43799205838684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19</v>
      </c>
      <c r="DX63" s="17">
        <f>IF(ISNA(VLOOKUP(A63,'Données projet'!$A$165:$I$185,5,0)),0%,VLOOKUP(A63,'Données projet'!$A$165:$I$185,5,0)*VLOOKUP('Données projet'!$B$14,Paramètres!$A$1:$I$89,7,0))</f>
        <v>0.17200000000000001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8.4919446164043908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8.4919446164043908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12.656666666666666</v>
      </c>
      <c r="EJ63" s="13">
        <f>IF('Données projet'!$A$192&gt;35,EJ62+EI63-ER62,IF(A63&lt;'Données projet'!$A$192,$EG$205^A63,IF(A63='Données projet'!$A$192,'Données projet'!$B$192,EJ62+EI63-ER62)))</f>
        <v>335.55333333333306</v>
      </c>
      <c r="EK63" s="18">
        <f>EJ63*VLOOKUP('Données projet'!$B$15,Paramètres!$A$1:$I$89,3,0)*VLOOKUP('Données projet'!$B$15,Paramètres!$A$1:$I$89,5,0)</f>
        <v>157.03895999999986</v>
      </c>
      <c r="EL63" s="14">
        <f t="shared" si="45"/>
        <v>40.173920217108204</v>
      </c>
      <c r="EM63" s="22">
        <f t="shared" si="19"/>
        <v>343.47909971146322</v>
      </c>
      <c r="EN63" s="62">
        <f t="shared" si="20"/>
        <v>636.81243304479653</v>
      </c>
      <c r="EO63" s="62">
        <f ca="1">AVERAGE(OFFSET($EN$3,0,0,'Données projet'!$E$15+1,1))-AVERAGE(OFFSET($H$3,0,0,'Données projet'!$E$15+1,1))</f>
        <v>301.04834785168049</v>
      </c>
      <c r="EP63" s="62">
        <f t="shared" si="46"/>
        <v>164.1450425611464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9.7885089998778554</v>
      </c>
      <c r="EW63" s="23">
        <f>EXP(-LN(2)/25)*EW62+(1-EXP(-LN(2)/25))/(LN(2)/25)*Calculateur!ER63*Calculateur!ET63*VLOOKUP('Données projet'!$B$15,Paramètres!$A$1:$I$89,3,0)*0.475*44/12</f>
        <v>20.427848069460588</v>
      </c>
      <c r="EX63" s="23">
        <f>EXP(-LN(2)/2)*EX62+(1-EXP(-LN(2)/2))/(LN(2)/2)*ER63*EU63*VLOOKUP('Données projet'!$B$15,Paramètres!$A$1:$I$89,3,0)*0.475*44/12</f>
        <v>1.4040152309566796</v>
      </c>
      <c r="EY63" s="24">
        <f t="shared" si="21"/>
        <v>31.620372300295124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190.57</v>
      </c>
      <c r="FC63" s="13">
        <f>VLOOKUP(A63,'Données projet'!$A$217:$I$237,9,0)</f>
        <v>3.1761666666666666</v>
      </c>
      <c r="FD63" s="13">
        <f t="array" ref="FD63">INDEX(FC:FC,MIN(IF(ISNUMBER(FC63:FC259),ROW(FC63:FC259),"")))</f>
        <v>3.1761666666666666</v>
      </c>
      <c r="FE63" s="13">
        <f>IF('Données projet'!$A$218&gt;35,FE62+FD63-FM62,IF(A63&lt;'Données projet'!$A$218,$FB$205^A63,IF(A63='Données projet'!$A$218,'Données projet'!$B$218,FE62+FD63-FM62)))</f>
        <v>190.56999999999974</v>
      </c>
      <c r="FF63" s="18">
        <f>FE63*VLOOKUP('Données projet'!$B$16,Paramètres!$A$1:$I$89,3,0)*VLOOKUP('Données projet'!$B$16,Paramètres!$A$1:$I$89,5,0)</f>
        <v>172.42773599999975</v>
      </c>
      <c r="FG63" s="14">
        <f t="shared" si="47"/>
        <v>43.633306153883723</v>
      </c>
      <c r="FH63" s="22">
        <f t="shared" si="22"/>
        <v>376.30631508468036</v>
      </c>
      <c r="FI63" s="62">
        <f t="shared" si="23"/>
        <v>669.63964841801362</v>
      </c>
      <c r="FJ63" s="62">
        <f ca="1">AVERAGE(OFFSET($FI$3,0,0,'Données projet'!$E$16+1,1))-AVERAGE(OFFSET($H$3,0,0,'Données projet'!$E$16+1,1))</f>
        <v>330.53726676433649</v>
      </c>
      <c r="FK63" s="62">
        <f t="shared" si="48"/>
        <v>228.01260676706528</v>
      </c>
      <c r="FL63" s="16">
        <f>IF(ISNA(VLOOKUP(A63,'Données projet'!$A$217:$I$237,3,0)),0,VLOOKUP(A63,'Données projet'!$A$217:$I$237,3,0))</f>
        <v>1</v>
      </c>
      <c r="FM63" s="16">
        <f>IF(ISNA(VLOOKUP(A63,'Données projet'!$A$217:$I$237,4,0)),0,VLOOKUP(A63,'Données projet'!$A$217:$I$237,4,0))</f>
        <v>69.84</v>
      </c>
      <c r="FN63" s="17">
        <f>IF(ISNA(VLOOKUP(A63,'Données projet'!$A$217:$I$237,5,0)),0%,VLOOKUP(A63,'Données projet'!$A$217:$I$237,5,0)*VLOOKUP('Données projet'!$B$16,Paramètres!$A$1:$I$89,7,0))</f>
        <v>8.6000000000000007E-2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6.0076190291087457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6.0076190291087457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190.57</v>
      </c>
      <c r="FX63" s="13">
        <f>VLOOKUP(A63,'Données projet'!$A$243:$I$263,9,0)</f>
        <v>3.1761666666666666</v>
      </c>
      <c r="FY63" s="13">
        <f t="array" ref="FY63">INDEX(FX:FX,MIN(IF(ISNUMBER(FX63:FX259),ROW(FX63:FX259),"")))</f>
        <v>3.1761666666666666</v>
      </c>
      <c r="FZ63" s="13">
        <f>IF('Données projet'!$A$244&gt;35,FZ62+FY63-GH62,IF(A63&lt;'Données projet'!$A$244,$FW$205^A63,IF(A63='Données projet'!$A$244,'Données projet'!$B$244,FZ62+FY63-GH62)))</f>
        <v>190.56999999999974</v>
      </c>
      <c r="GA63" s="18">
        <f>FZ63*VLOOKUP('Données projet'!$B$17,Paramètres!$A$1:$I$89,3,0)*VLOOKUP('Données projet'!$B$17,Paramètres!$A$1:$I$89,5,0)</f>
        <v>217.02111599999972</v>
      </c>
      <c r="GB63" s="14">
        <f t="shared" si="49"/>
        <v>53.466927192055934</v>
      </c>
      <c r="GC63" s="22">
        <f t="shared" si="25"/>
        <v>471.10000855949693</v>
      </c>
      <c r="GD63" s="62">
        <f t="shared" si="26"/>
        <v>764.43334189283019</v>
      </c>
      <c r="GE63" s="62">
        <f ca="1">AVERAGE(OFFSET($GD$3,0,0,'Données projet'!$E$17+1,1))-AVERAGE(OFFSET($H$3,0,0,'Données projet'!$E$17+1,1))</f>
        <v>405.71017054131318</v>
      </c>
      <c r="GF63" s="62">
        <f t="shared" si="50"/>
        <v>276.12900965322166</v>
      </c>
      <c r="GG63" s="16">
        <f>IF(ISNA(VLOOKUP(A63,'Données projet'!$A$243:$I$263,3,0)),0,VLOOKUP(A63,'Données projet'!$A$243:$I$263,3,0))</f>
        <v>1</v>
      </c>
      <c r="GH63" s="16">
        <f>IF(ISNA(VLOOKUP(A63,'Données projet'!$A$243:$I$263,4,0)),0,VLOOKUP(A63,'Données projet'!$A$243:$I$263,4,0))</f>
        <v>69.84</v>
      </c>
      <c r="GI63" s="17">
        <f>IF(ISNA(VLOOKUP(A63,'Données projet'!$A$243:$I$263,5,0)),0%,VLOOKUP(A63,'Données projet'!$A$243:$I$263,5,0)*VLOOKUP('Données projet'!$B$17,Paramètres!$A$1:$I$89,7,0))</f>
        <v>8.6000000000000007E-2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7.5613136056023862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7.5613136056023862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190.57</v>
      </c>
      <c r="GS63" s="13">
        <f>VLOOKUP(A63,'Données projet'!$A$269:$I$289,9,0)</f>
        <v>3.1761666666666666</v>
      </c>
      <c r="GT63" s="13">
        <f t="array" ref="GT63">INDEX(GS:GS,MIN(IF(ISNUMBER(GS63:GS259),ROW(GS63:GS259),"")))</f>
        <v>3.1761666666666666</v>
      </c>
      <c r="GU63" s="13">
        <f>IF('Données projet'!$A$270&gt;35,GU62+GT63-HC62,IF(A63&lt;'Données projet'!$A$270,$GR$205^A63,IF(A63='Données projet'!$A$270,'Données projet'!$B$270,GU62+GT63-HC62)))</f>
        <v>190.56999999999974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1</v>
      </c>
      <c r="HC63" s="16">
        <f>IF(ISNA(VLOOKUP(A63,'Données projet'!$A$269:$I$289,4,0)),0,VLOOKUP(A63,'Données projet'!$A$269:$I$289,4,0))</f>
        <v>69.84</v>
      </c>
      <c r="HD63" s="17" t="e">
        <f>IF(ISNA(VLOOKUP(A63,'Données projet'!$A$269:$I$289,5,0)),0%,VLOOKUP(A63,'Données projet'!$A$269:$I$289,5,0)*VLOOKUP('Données projet'!$B$18,Paramètres!$A$1:$I$89,7,0))</f>
        <v>#N/A</v>
      </c>
      <c r="HE63" s="17" t="e">
        <f>IF(ISNA(VLOOKUP(A63,'Données projet'!$A$269:$I$289,6,0)),0%,VLOOKUP(A63,'Données projet'!$A$269:$I$289,6,0)*VLOOKUP('Données projet'!$B$18,Paramètres!$A$1:$I$89,7,0))</f>
        <v>#N/A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9.2524999999999977</v>
      </c>
      <c r="N64" s="14">
        <f>IF('Données projet'!$A$36&gt;35,N63+M64-V63,IF(A64&lt;'Données projet'!$A$36,$K$205^A64,IF(A64='Données projet'!$A$36,'Données projet'!$B$36,N63+M64-V63)))</f>
        <v>218.69750000000019</v>
      </c>
      <c r="O64" s="14">
        <f>N64*VLOOKUP('Données projet'!$B$9,Paramètres!$A$1:$I$89,3,0)*VLOOKUP('Données projet'!$B$9,Paramètres!$A$1:$I$89,5,0)</f>
        <v>197.87749800000014</v>
      </c>
      <c r="P64" s="14">
        <f t="shared" si="33"/>
        <v>49.277416774103372</v>
      </c>
      <c r="Q64" s="22">
        <f t="shared" si="53"/>
        <v>430.46147656489694</v>
      </c>
      <c r="R64" s="62">
        <f t="shared" si="0"/>
        <v>723.79480989823026</v>
      </c>
      <c r="S64" s="62">
        <f ca="1">AVERAGE(OFFSET($R$3,0,0,'Données projet'!$E$9+1,1))-AVERAGE(OFFSET($H$3,0,0,'Données projet'!$E$9+1,1))</f>
        <v>452.54136967045082</v>
      </c>
      <c r="T64" s="62">
        <f t="shared" si="34"/>
        <v>269.67340993773422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11.706433232051813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11.706433232051813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11.949999999999996</v>
      </c>
      <c r="AI64" s="14">
        <f>IF('Données projet'!$A$62&gt;35,AI63+AH64-AQ63,IF(A64&lt;'Données projet'!$A$62,$AF$205^A64,IF(A64='Données projet'!$A$62,'Données projet'!$B$62,AI63+AH64-AQ63)))</f>
        <v>383.04000000000019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9.2524999999999977</v>
      </c>
      <c r="BD64" s="13">
        <f>IF('Données projet'!$A$88&gt;35,BD63+BC64-BL63,IF(A64&lt;'Données projet'!$A$88,$BA$205^A64,IF(A64='Données projet'!$A$88,'Données projet'!$B$88,BD63+BC64-BL63)))</f>
        <v>218.69750000000019</v>
      </c>
      <c r="BE64" s="14">
        <f>BD64*VLOOKUP('Données projet'!$B$11,Paramètres!$A$1:$I$89,3,0)*VLOOKUP('Données projet'!$B$11,Paramètres!$A$1:$I$89,5,0)</f>
        <v>221.7592650000002</v>
      </c>
      <c r="BF64" s="14">
        <f t="shared" si="37"/>
        <v>54.497075847509379</v>
      </c>
      <c r="BG64" s="22">
        <f t="shared" si="7"/>
        <v>481.14646030941248</v>
      </c>
      <c r="BH64" s="62">
        <f t="shared" si="8"/>
        <v>774.47979364274579</v>
      </c>
      <c r="BI64" s="62">
        <f ca="1">AVERAGE(OFFSET($BH$3,0,0,'Données projet'!$E$11+1,1))-AVERAGE(OFFSET($H$3,0,0,'Données projet'!$E$11+1,1))</f>
        <v>502.06005292569733</v>
      </c>
      <c r="BJ64" s="62">
        <f t="shared" si="38"/>
        <v>297.06786598620607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13.119278622127034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13.119278622127034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2.5660000000000025</v>
      </c>
      <c r="BY64" s="13">
        <f>IF('Données projet'!$A$114&gt;35,BY63+BX64-CG63,IF(A64&lt;'Données projet'!$A$114,$BV$205^A64,IF(A64='Données projet'!$A$114,'Données projet'!$B$114,BY63+BX64-CG63)))</f>
        <v>105.76600000000001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-5.1431925385259088E-14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204.787338911576</v>
      </c>
      <c r="CZ64" s="62">
        <f t="shared" si="42"/>
        <v>287.24932051638558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25.339031149447013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25.339031149447013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6.6</v>
      </c>
      <c r="DO64" s="13">
        <f>IF('Données projet'!$A$166&gt;35,DO63+DN64-DW63,IF(A64&lt;'Données projet'!$A$166,$DL$205^A64,IF(A64='Données projet'!$A$166,'Données projet'!$B$166,DO63+DN64-DW63)))</f>
        <v>155.60000000000008</v>
      </c>
      <c r="DP64" s="18">
        <f>DO64*VLOOKUP('Données projet'!$B$14,Paramètres!$A$1:$I$89,3,0)*VLOOKUP('Données projet'!$B$14,Paramètres!$A$1:$I$89,5,0)</f>
        <v>148.06896000000006</v>
      </c>
      <c r="DQ64" s="14">
        <f t="shared" si="43"/>
        <v>38.139419470750966</v>
      </c>
      <c r="DR64" s="22">
        <f t="shared" si="16"/>
        <v>324.31292757822467</v>
      </c>
      <c r="DS64" s="62">
        <f t="shared" si="17"/>
        <v>617.64626091155799</v>
      </c>
      <c r="DT64" s="62">
        <f ca="1">AVERAGE(OFFSET($DS$3,0,0,'Données projet'!$E$14+1,1))-AVERAGE(OFFSET($H$3,0,0,'Données projet'!$E$14+1,1))</f>
        <v>309.55876703480277</v>
      </c>
      <c r="DU64" s="62">
        <f t="shared" si="44"/>
        <v>122.43799205838684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8.3254227620514758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8.3254227620514758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>
        <f>VLOOKUP(A64,'Données projet'!$A$191:$I$211,2,0)</f>
        <v>348.21</v>
      </c>
      <c r="EH64" s="13">
        <f>VLOOKUP(A64,'Données projet'!$A$191:$I$211,9,0)</f>
        <v>12.656666666666666</v>
      </c>
      <c r="EI64" s="13">
        <f t="array" ref="EI64">INDEX(EH:EH,MIN(IF(ISNUMBER(EH64:EH260),ROW(EH64:EH260),"")))</f>
        <v>12.656666666666666</v>
      </c>
      <c r="EJ64" s="13">
        <f>IF('Données projet'!$A$192&gt;35,EJ63+EI64-ER63,IF(A64&lt;'Données projet'!$A$192,$EG$205^A64,IF(A64='Données projet'!$A$192,'Données projet'!$B$192,EJ63+EI64-ER63)))</f>
        <v>348.2099999999997</v>
      </c>
      <c r="EK64" s="18">
        <f>EJ64*VLOOKUP('Données projet'!$B$15,Paramètres!$A$1:$I$89,3,0)*VLOOKUP('Données projet'!$B$15,Paramètres!$A$1:$I$89,5,0)</f>
        <v>162.96227999999985</v>
      </c>
      <c r="EL64" s="14">
        <f t="shared" si="45"/>
        <v>41.509950889873814</v>
      </c>
      <c r="EM64" s="22">
        <f t="shared" si="19"/>
        <v>356.12246879986333</v>
      </c>
      <c r="EN64" s="62">
        <f t="shared" si="20"/>
        <v>649.45580213319658</v>
      </c>
      <c r="EO64" s="62">
        <f ca="1">AVERAGE(OFFSET($EN$3,0,0,'Données projet'!$E$15+1,1))-AVERAGE(OFFSET($H$3,0,0,'Données projet'!$E$15+1,1))</f>
        <v>301.04834785168049</v>
      </c>
      <c r="EP64" s="62">
        <f t="shared" si="46"/>
        <v>164.1450425611464</v>
      </c>
      <c r="EQ64" s="16">
        <f>IF(ISNA(VLOOKUP(A64,'Données projet'!$A$191:$I$211,3,0)),0,VLOOKUP(A64,'Données projet'!$A$191:$I$211,3,0))</f>
        <v>2</v>
      </c>
      <c r="ER64" s="16">
        <f>IF(ISNA(VLOOKUP(A64,'Données projet'!$A$191:$I$211,4,0)),0,VLOOKUP(A64,'Données projet'!$A$191:$I$211,4,0))</f>
        <v>100.2</v>
      </c>
      <c r="ES64" s="17">
        <f>IF(ISNA(VLOOKUP(A64,'Données projet'!$A$191:$I$211,5,0)),0%,VLOOKUP(A64,'Données projet'!$A$191:$I$211,5,0)*VLOOKUP('Données projet'!$B$15,Paramètres!$A$1:$I$89,7,0))</f>
        <v>0.16500000000000001</v>
      </c>
      <c r="ET64" s="17">
        <f>IF(ISNA(VLOOKUP(A64,'Données projet'!$A$191:$I$211,6,0)),0%,VLOOKUP(A64,'Données projet'!$A$191:$I$211,6,0)*VLOOKUP('Données projet'!$B$15,Paramètres!$A$1:$I$89,7,0))</f>
        <v>0.21450000000000002</v>
      </c>
      <c r="EU64" s="17">
        <f>IF(ISNA(VLOOKUP(A64,'Données projet'!$A$191:$I$211,7,0)),0%,VLOOKUP(A64,'Données projet'!$A$191:$I$211,7,0))</f>
        <v>0.31</v>
      </c>
      <c r="EV64" s="23">
        <f>EXP(-LN(2)/35)*EV63+(1-EXP(-LN(2)/35))/(LN(2)/35)*ER64*ES64*VLOOKUP('Données projet'!$B$15,Paramètres!$A$1:$I$89,3,0)*0.475*44/12</f>
        <v>19.86078049514515</v>
      </c>
      <c r="EW64" s="23">
        <f>EXP(-LN(2)/25)*EW63+(1-EXP(-LN(2)/25))/(LN(2)/25)*Calculateur!ER64*Calculateur!ET64*VLOOKUP('Données projet'!$B$15,Paramètres!$A$1:$I$89,3,0)*0.475*44/12</f>
        <v>33.160192752642018</v>
      </c>
      <c r="EX64" s="23">
        <f>EXP(-LN(2)/2)*EX63+(1-EXP(-LN(2)/2))/(LN(2)/2)*ER64*EU64*VLOOKUP('Données projet'!$B$15,Paramètres!$A$1:$I$89,3,0)*0.475*44/12</f>
        <v>17.452067715557657</v>
      </c>
      <c r="EY64" s="24">
        <f t="shared" si="21"/>
        <v>70.473040963344829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6.1000000000000041</v>
      </c>
      <c r="FE64" s="13">
        <f>IF('Données projet'!$A$218&gt;35,FE63+FD64-FM63,IF(A64&lt;'Données projet'!$A$218,$FB$205^A64,IF(A64='Données projet'!$A$218,'Données projet'!$B$218,FE63+FD64-FM63)))</f>
        <v>126.82999999999973</v>
      </c>
      <c r="FF64" s="18">
        <f>FE64*VLOOKUP('Données projet'!$B$16,Paramètres!$A$1:$I$89,3,0)*VLOOKUP('Données projet'!$B$16,Paramètres!$A$1:$I$89,5,0)</f>
        <v>114.75578399999975</v>
      </c>
      <c r="FG64" s="14">
        <f t="shared" si="47"/>
        <v>30.448709279436439</v>
      </c>
      <c r="FH64" s="22">
        <f t="shared" si="22"/>
        <v>252.89782579501798</v>
      </c>
      <c r="FI64" s="62">
        <f t="shared" si="23"/>
        <v>546.23115912835124</v>
      </c>
      <c r="FJ64" s="62">
        <f ca="1">AVERAGE(OFFSET($FI$3,0,0,'Données projet'!$E$16+1,1))-AVERAGE(OFFSET($H$3,0,0,'Données projet'!$E$16+1,1))</f>
        <v>330.53726676433649</v>
      </c>
      <c r="FK64" s="62">
        <f t="shared" si="48"/>
        <v>228.01260676706528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5.8898132842337132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5.8898132842337132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6.1000000000000041</v>
      </c>
      <c r="FZ64" s="13">
        <f>IF('Données projet'!$A$244&gt;35,FZ63+FY64-GH63,IF(A64&lt;'Données projet'!$A$244,$FW$205^A64,IF(A64='Données projet'!$A$244,'Données projet'!$B$244,FZ63+FY64-GH63)))</f>
        <v>126.82999999999973</v>
      </c>
      <c r="GA64" s="18">
        <f>FZ64*VLOOKUP('Données projet'!$B$17,Paramètres!$A$1:$I$89,3,0)*VLOOKUP('Données projet'!$B$17,Paramètres!$A$1:$I$89,5,0)</f>
        <v>144.43400399999967</v>
      </c>
      <c r="GB64" s="14">
        <f t="shared" si="49"/>
        <v>37.310922908160158</v>
      </c>
      <c r="GC64" s="22">
        <f t="shared" si="25"/>
        <v>316.5390810317117</v>
      </c>
      <c r="GD64" s="62">
        <f t="shared" si="26"/>
        <v>609.87241436504496</v>
      </c>
      <c r="GE64" s="62">
        <f ca="1">AVERAGE(OFFSET($GD$3,0,0,'Données projet'!$E$17+1,1))-AVERAGE(OFFSET($H$3,0,0,'Données projet'!$E$17+1,1))</f>
        <v>405.71017054131318</v>
      </c>
      <c r="GF64" s="62">
        <f t="shared" si="50"/>
        <v>276.12900965322166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7.4130408577424314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7.4130408577424314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6.1000000000000041</v>
      </c>
      <c r="GU64" s="13">
        <f>IF('Données projet'!$A$270&gt;35,GU63+GT64-HC63,IF(A64&lt;'Données projet'!$A$270,$GR$205^A64,IF(A64='Données projet'!$A$270,'Données projet'!$B$270,GU63+GT64-HC63)))</f>
        <v>126.82999999999973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9.2524999999999977</v>
      </c>
      <c r="N65" s="14">
        <f>IF('Données projet'!$A$36&gt;35,N64+M65-V64,IF(A65&lt;'Données projet'!$A$36,$K$205^A65,IF(A65='Données projet'!$A$36,'Données projet'!$B$36,N64+M65-V64)))</f>
        <v>227.95000000000019</v>
      </c>
      <c r="O65" s="14">
        <f>N65*VLOOKUP('Données projet'!$B$9,Paramètres!$A$1:$I$89,3,0)*VLOOKUP('Données projet'!$B$9,Paramètres!$A$1:$I$89,5,0)</f>
        <v>206.24916000000016</v>
      </c>
      <c r="P65" s="14">
        <f t="shared" si="33"/>
        <v>51.115075026737237</v>
      </c>
      <c r="Q65" s="22">
        <f t="shared" si="53"/>
        <v>448.24270933823431</v>
      </c>
      <c r="R65" s="62">
        <f t="shared" si="0"/>
        <v>741.57604267156762</v>
      </c>
      <c r="S65" s="62">
        <f ca="1">AVERAGE(OFFSET($R$3,0,0,'Données projet'!$E$9+1,1))-AVERAGE(OFFSET($H$3,0,0,'Données projet'!$E$9+1,1))</f>
        <v>452.54136967045082</v>
      </c>
      <c r="T65" s="62">
        <f t="shared" si="34"/>
        <v>269.67340993773422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11.476877216590511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11.476877216590511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11.949999999999996</v>
      </c>
      <c r="AI65" s="14">
        <f>IF('Données projet'!$A$62&gt;35,AI64+AH65-AQ64,IF(A65&lt;'Données projet'!$A$62,$AF$205^A65,IF(A65='Données projet'!$A$62,'Données projet'!$B$62,AI64+AH65-AQ64)))</f>
        <v>394.99000000000018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9.2524999999999977</v>
      </c>
      <c r="BD65" s="13">
        <f>IF('Données projet'!$A$88&gt;35,BD64+BC65-BL64,IF(A65&lt;'Données projet'!$A$88,$BA$205^A65,IF(A65='Données projet'!$A$88,'Données projet'!$B$88,BD64+BC65-BL64)))</f>
        <v>227.95000000000019</v>
      </c>
      <c r="BE65" s="14">
        <f>BD65*VLOOKUP('Données projet'!$B$11,Paramètres!$A$1:$I$89,3,0)*VLOOKUP('Données projet'!$B$11,Paramètres!$A$1:$I$89,5,0)</f>
        <v>231.1413000000002</v>
      </c>
      <c r="BF65" s="14">
        <f t="shared" si="37"/>
        <v>56.529386137528874</v>
      </c>
      <c r="BG65" s="22">
        <f t="shared" si="7"/>
        <v>501.02644502286307</v>
      </c>
      <c r="BH65" s="62">
        <f t="shared" si="8"/>
        <v>794.35977835619633</v>
      </c>
      <c r="BI65" s="62">
        <f ca="1">AVERAGE(OFFSET($BH$3,0,0,'Données projet'!$E$11+1,1))-AVERAGE(OFFSET($H$3,0,0,'Données projet'!$E$11+1,1))</f>
        <v>502.06005292569733</v>
      </c>
      <c r="BJ65" s="62">
        <f t="shared" si="38"/>
        <v>297.06786598620607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12.862017570316953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12.862017570316953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2.5660000000000025</v>
      </c>
      <c r="BY65" s="13">
        <f>IF('Données projet'!$A$114&gt;35,BY64+BX65-CG64,IF(A65&lt;'Données projet'!$A$114,$BV$205^A65,IF(A65='Données projet'!$A$114,'Données projet'!$B$114,BY64+BX65-CG64)))</f>
        <v>108.33200000000001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-5.1431925385259088E-14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204.787338911576</v>
      </c>
      <c r="CZ65" s="62">
        <f t="shared" si="42"/>
        <v>287.24932051638558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24.842148203889277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24.842148203889277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6.6</v>
      </c>
      <c r="DO65" s="13">
        <f>IF('Données projet'!$A$166&gt;35,DO64+DN65-DW64,IF(A65&lt;'Données projet'!$A$166,$DL$205^A65,IF(A65='Données projet'!$A$166,'Données projet'!$B$166,DO64+DN65-DW64)))</f>
        <v>162.20000000000007</v>
      </c>
      <c r="DP65" s="18">
        <f>DO65*VLOOKUP('Données projet'!$B$14,Paramètres!$A$1:$I$89,3,0)*VLOOKUP('Données projet'!$B$14,Paramètres!$A$1:$I$89,5,0)</f>
        <v>154.34952000000007</v>
      </c>
      <c r="DQ65" s="14">
        <f t="shared" si="43"/>
        <v>39.565379265558612</v>
      </c>
      <c r="DR65" s="22">
        <f t="shared" si="16"/>
        <v>337.73511622084806</v>
      </c>
      <c r="DS65" s="62">
        <f t="shared" si="17"/>
        <v>631.06844955418137</v>
      </c>
      <c r="DT65" s="62">
        <f ca="1">AVERAGE(OFFSET($DS$3,0,0,'Données projet'!$E$14+1,1))-AVERAGE(OFFSET($H$3,0,0,'Données projet'!$E$14+1,1))</f>
        <v>309.55876703480277</v>
      </c>
      <c r="DU65" s="62">
        <f t="shared" si="44"/>
        <v>122.43799205838684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8.1621662996941193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8.1621662996941193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11.620000000000005</v>
      </c>
      <c r="EJ65" s="13">
        <f>IF('Données projet'!$A$192&gt;35,EJ64+EI65-ER64,IF(A65&lt;'Données projet'!$A$192,$EG$205^A65,IF(A65='Données projet'!$A$192,'Données projet'!$B$192,EJ64+EI65-ER64)))</f>
        <v>259.62999999999971</v>
      </c>
      <c r="EK65" s="18">
        <f>EJ65*VLOOKUP('Données projet'!$B$15,Paramètres!$A$1:$I$89,3,0)*VLOOKUP('Données projet'!$B$15,Paramètres!$A$1:$I$89,5,0)</f>
        <v>121.50683999999987</v>
      </c>
      <c r="EL65" s="14">
        <f t="shared" si="45"/>
        <v>32.026189328661609</v>
      </c>
      <c r="EM65" s="22">
        <f t="shared" si="19"/>
        <v>267.4033594140854</v>
      </c>
      <c r="EN65" s="62">
        <f t="shared" si="20"/>
        <v>560.73669274741872</v>
      </c>
      <c r="EO65" s="62">
        <f ca="1">AVERAGE(OFFSET($EN$3,0,0,'Données projet'!$E$15+1,1))-AVERAGE(OFFSET($H$3,0,0,'Données projet'!$E$15+1,1))</f>
        <v>301.04834785168049</v>
      </c>
      <c r="EP65" s="62">
        <f t="shared" si="46"/>
        <v>164.1450425611464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19.471322703515309</v>
      </c>
      <c r="EW65" s="23">
        <f>EXP(-LN(2)/25)*EW64+(1-EXP(-LN(2)/25))/(LN(2)/25)*Calculateur!ER65*Calculateur!ET65*VLOOKUP('Données projet'!$B$15,Paramètres!$A$1:$I$89,3,0)*0.475*44/12</f>
        <v>32.253425538002276</v>
      </c>
      <c r="EX65" s="23">
        <f>EXP(-LN(2)/2)*EX64+(1-EXP(-LN(2)/2))/(LN(2)/2)*ER65*EU65*VLOOKUP('Données projet'!$B$15,Paramètres!$A$1:$I$89,3,0)*0.475*44/12</f>
        <v>12.340475427397639</v>
      </c>
      <c r="EY65" s="24">
        <f t="shared" si="21"/>
        <v>64.065223668915223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6.1000000000000041</v>
      </c>
      <c r="FE65" s="13">
        <f>IF('Données projet'!$A$218&gt;35,FE64+FD65-FM64,IF(A65&lt;'Données projet'!$A$218,$FB$205^A65,IF(A65='Données projet'!$A$218,'Données projet'!$B$218,FE64+FD65-FM64)))</f>
        <v>132.92999999999972</v>
      </c>
      <c r="FF65" s="18">
        <f>FE65*VLOOKUP('Données projet'!$B$16,Paramètres!$A$1:$I$89,3,0)*VLOOKUP('Données projet'!$B$16,Paramètres!$A$1:$I$89,5,0)</f>
        <v>120.27506399999974</v>
      </c>
      <c r="FG65" s="14">
        <f t="shared" si="47"/>
        <v>31.739144903798397</v>
      </c>
      <c r="FH65" s="22">
        <f t="shared" si="22"/>
        <v>264.75808050744837</v>
      </c>
      <c r="FI65" s="62">
        <f t="shared" si="23"/>
        <v>558.09141384078168</v>
      </c>
      <c r="FJ65" s="62">
        <f ca="1">AVERAGE(OFFSET($FI$3,0,0,'Données projet'!$E$16+1,1))-AVERAGE(OFFSET($H$3,0,0,'Données projet'!$E$16+1,1))</f>
        <v>330.53726676433649</v>
      </c>
      <c r="FK65" s="62">
        <f t="shared" si="48"/>
        <v>228.01260676706528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5.7743176381612704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5.7743176381612704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6.1000000000000041</v>
      </c>
      <c r="FZ65" s="13">
        <f>IF('Données projet'!$A$244&gt;35,FZ64+FY65-GH64,IF(A65&lt;'Données projet'!$A$244,$FW$205^A65,IF(A65='Données projet'!$A$244,'Données projet'!$B$244,FZ64+FY65-GH64)))</f>
        <v>132.92999999999972</v>
      </c>
      <c r="GA65" s="18">
        <f>FZ65*VLOOKUP('Données projet'!$B$17,Paramètres!$A$1:$I$89,3,0)*VLOOKUP('Données projet'!$B$17,Paramètres!$A$1:$I$89,5,0)</f>
        <v>151.38068399999969</v>
      </c>
      <c r="GB65" s="14">
        <f t="shared" si="49"/>
        <v>38.89218350139749</v>
      </c>
      <c r="GC65" s="22">
        <f t="shared" si="25"/>
        <v>331.3919108982667</v>
      </c>
      <c r="GD65" s="62">
        <f t="shared" si="26"/>
        <v>624.72524423160007</v>
      </c>
      <c r="GE65" s="62">
        <f ca="1">AVERAGE(OFFSET($GD$3,0,0,'Données projet'!$E$17+1,1))-AVERAGE(OFFSET($H$3,0,0,'Données projet'!$E$17+1,1))</f>
        <v>405.71017054131318</v>
      </c>
      <c r="GF65" s="62">
        <f t="shared" si="50"/>
        <v>276.12900965322166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7.267675648030564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7.267675648030564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6.1000000000000041</v>
      </c>
      <c r="GU65" s="13">
        <f>IF('Données projet'!$A$270&gt;35,GU64+GT65-HC64,IF(A65&lt;'Données projet'!$A$270,$GR$205^A65,IF(A65='Données projet'!$A$270,'Données projet'!$B$270,GU64+GT65-HC64)))</f>
        <v>132.92999999999972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9.2524999999999977</v>
      </c>
      <c r="N66" s="14">
        <f>IF('Données projet'!$A$36&gt;35,N65+M66-V65,IF(A66&lt;'Données projet'!$A$36,$K$205^A66,IF(A66='Données projet'!$A$36,'Données projet'!$B$36,N65+M66-V65)))</f>
        <v>237.20250000000019</v>
      </c>
      <c r="O66" s="14">
        <f>N66*VLOOKUP('Données projet'!$B$9,Paramètres!$A$1:$I$89,3,0)*VLOOKUP('Données projet'!$B$9,Paramètres!$A$1:$I$89,5,0)</f>
        <v>214.62082200000015</v>
      </c>
      <c r="P66" s="14">
        <f t="shared" si="33"/>
        <v>52.944068896315315</v>
      </c>
      <c r="Q66" s="22">
        <f t="shared" si="53"/>
        <v>466.0088516444161</v>
      </c>
      <c r="R66" s="62">
        <f t="shared" si="0"/>
        <v>759.34218497774941</v>
      </c>
      <c r="S66" s="62">
        <f ca="1">AVERAGE(OFFSET($R$3,0,0,'Données projet'!$E$9+1,1))-AVERAGE(OFFSET($H$3,0,0,'Données projet'!$E$9+1,1))</f>
        <v>452.54136967045082</v>
      </c>
      <c r="T66" s="62">
        <f t="shared" si="34"/>
        <v>269.67340993773422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11.25182265457706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11.25182265457706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11.949999999999996</v>
      </c>
      <c r="AI66" s="14">
        <f>IF('Données projet'!$A$62&gt;35,AI65+AH66-AQ65,IF(A66&lt;'Données projet'!$A$62,$AF$205^A66,IF(A66='Données projet'!$A$62,'Données projet'!$B$62,AI65+AH66-AQ65)))</f>
        <v>406.94000000000017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9.2524999999999977</v>
      </c>
      <c r="BD66" s="13">
        <f>IF('Données projet'!$A$88&gt;35,BD65+BC66-BL65,IF(A66&lt;'Données projet'!$A$88,$BA$205^A66,IF(A66='Données projet'!$A$88,'Données projet'!$B$88,BD65+BC66-BL65)))</f>
        <v>237.20250000000019</v>
      </c>
      <c r="BE66" s="14">
        <f>BD66*VLOOKUP('Données projet'!$B$11,Paramètres!$A$1:$I$89,3,0)*VLOOKUP('Données projet'!$B$11,Paramètres!$A$1:$I$89,5,0)</f>
        <v>240.52333500000023</v>
      </c>
      <c r="BF66" s="14">
        <f t="shared" si="37"/>
        <v>58.552114278737164</v>
      </c>
      <c r="BG66" s="22">
        <f t="shared" si="7"/>
        <v>520.88974082713423</v>
      </c>
      <c r="BH66" s="62">
        <f t="shared" si="8"/>
        <v>814.2230741604676</v>
      </c>
      <c r="BI66" s="62">
        <f ca="1">AVERAGE(OFFSET($BH$3,0,0,'Données projet'!$E$11+1,1))-AVERAGE(OFFSET($H$3,0,0,'Données projet'!$E$11+1,1))</f>
        <v>502.06005292569733</v>
      </c>
      <c r="BJ66" s="62">
        <f t="shared" si="38"/>
        <v>297.06786598620607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12.609801250819119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12.609801250819119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2.5660000000000025</v>
      </c>
      <c r="BY66" s="13">
        <f>IF('Données projet'!$A$114&gt;35,BY65+BX66-CG65,IF(A66&lt;'Données projet'!$A$114,$BV$205^A66,IF(A66='Données projet'!$A$114,'Données projet'!$B$114,BY65+BX66-CG65)))</f>
        <v>110.89800000000001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-5.1431925385259088E-14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204.787338911576</v>
      </c>
      <c r="CZ66" s="62">
        <f t="shared" si="42"/>
        <v>287.24932051638558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24.355008829825255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24.355008829825255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6.6</v>
      </c>
      <c r="DO66" s="13">
        <f>IF('Données projet'!$A$166&gt;35,DO65+DN66-DW65,IF(A66&lt;'Données projet'!$A$166,$DL$205^A66,IF(A66='Données projet'!$A$166,'Données projet'!$B$166,DO65+DN66-DW65)))</f>
        <v>168.80000000000007</v>
      </c>
      <c r="DP66" s="18">
        <f>DO66*VLOOKUP('Données projet'!$B$14,Paramètres!$A$1:$I$89,3,0)*VLOOKUP('Données projet'!$B$14,Paramètres!$A$1:$I$89,5,0)</f>
        <v>160.63008000000008</v>
      </c>
      <c r="DQ66" s="14">
        <f t="shared" si="43"/>
        <v>40.984599185229996</v>
      </c>
      <c r="DR66" s="22">
        <f t="shared" si="16"/>
        <v>351.145566247609</v>
      </c>
      <c r="DS66" s="62">
        <f t="shared" si="17"/>
        <v>644.47889958094231</v>
      </c>
      <c r="DT66" s="62">
        <f ca="1">AVERAGE(OFFSET($DS$3,0,0,'Données projet'!$E$14+1,1))-AVERAGE(OFFSET($H$3,0,0,'Données projet'!$E$14+1,1))</f>
        <v>309.55876703480277</v>
      </c>
      <c r="DU66" s="62">
        <f t="shared" si="44"/>
        <v>122.43799205838684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8.0021111969869807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8.0021111969869807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11.620000000000005</v>
      </c>
      <c r="EJ66" s="13">
        <f>IF('Données projet'!$A$192&gt;35,EJ65+EI66-ER65,IF(A66&lt;'Données projet'!$A$192,$EG$205^A66,IF(A66='Données projet'!$A$192,'Données projet'!$B$192,EJ65+EI66-ER65)))</f>
        <v>271.24999999999972</v>
      </c>
      <c r="EK66" s="18">
        <f>EJ66*VLOOKUP('Données projet'!$B$15,Paramètres!$A$1:$I$89,3,0)*VLOOKUP('Données projet'!$B$15,Paramètres!$A$1:$I$89,5,0)</f>
        <v>126.94499999999987</v>
      </c>
      <c r="EL66" s="14">
        <f t="shared" si="45"/>
        <v>33.289464491608804</v>
      </c>
      <c r="EM66" s="22">
        <f t="shared" si="19"/>
        <v>279.07502565621843</v>
      </c>
      <c r="EN66" s="62">
        <f t="shared" si="20"/>
        <v>572.40835898955174</v>
      </c>
      <c r="EO66" s="62">
        <f ca="1">AVERAGE(OFFSET($EN$3,0,0,'Données projet'!$E$15+1,1))-AVERAGE(OFFSET($H$3,0,0,'Données projet'!$E$15+1,1))</f>
        <v>301.04834785168049</v>
      </c>
      <c r="EP66" s="62">
        <f t="shared" si="46"/>
        <v>164.1450425611464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19.089501941633532</v>
      </c>
      <c r="EW66" s="23">
        <f>EXP(-LN(2)/25)*EW65+(1-EXP(-LN(2)/25))/(LN(2)/25)*Calculateur!ER66*Calculateur!ET66*VLOOKUP('Données projet'!$B$15,Paramètres!$A$1:$I$89,3,0)*0.475*44/12</f>
        <v>31.371453920531671</v>
      </c>
      <c r="EX66" s="23">
        <f>EXP(-LN(2)/2)*EX65+(1-EXP(-LN(2)/2))/(LN(2)/2)*ER66*EU66*VLOOKUP('Données projet'!$B$15,Paramètres!$A$1:$I$89,3,0)*0.475*44/12</f>
        <v>8.7260338577788286</v>
      </c>
      <c r="EY66" s="24">
        <f t="shared" si="21"/>
        <v>59.186989719944037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>
        <f>VLOOKUP(A66,'Données projet'!$A$217:$I$237,2,0)</f>
        <v>139.03</v>
      </c>
      <c r="FC66" s="13">
        <f>VLOOKUP(A66,'Données projet'!$A$217:$I$237,9,0)</f>
        <v>6.1000000000000041</v>
      </c>
      <c r="FD66" s="13">
        <f t="array" ref="FD66">INDEX(FC:FC,MIN(IF(ISNUMBER(FC66:FC262),ROW(FC66:FC262),"")))</f>
        <v>6.1000000000000041</v>
      </c>
      <c r="FE66" s="13">
        <f>IF('Données projet'!$A$218&gt;35,FE65+FD66-FM65,IF(A66&lt;'Données projet'!$A$218,$FB$205^A66,IF(A66='Données projet'!$A$218,'Données projet'!$B$218,FE65+FD66-FM65)))</f>
        <v>139.02999999999972</v>
      </c>
      <c r="FF66" s="18">
        <f>FE66*VLOOKUP('Données projet'!$B$16,Paramètres!$A$1:$I$89,3,0)*VLOOKUP('Données projet'!$B$16,Paramètres!$A$1:$I$89,5,0)</f>
        <v>125.79434399999974</v>
      </c>
      <c r="FG66" s="14">
        <f t="shared" si="47"/>
        <v>33.022703548147135</v>
      </c>
      <c r="FH66" s="22">
        <f t="shared" si="22"/>
        <v>276.6063578130225</v>
      </c>
      <c r="FI66" s="62">
        <f t="shared" si="23"/>
        <v>569.93969114635581</v>
      </c>
      <c r="FJ66" s="62">
        <f ca="1">AVERAGE(OFFSET($FI$3,0,0,'Données projet'!$E$16+1,1))-AVERAGE(OFFSET($H$3,0,0,'Données projet'!$E$16+1,1))</f>
        <v>330.53726676433649</v>
      </c>
      <c r="FK66" s="62">
        <f t="shared" si="48"/>
        <v>228.01260676706528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5.6610867912629201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5.6610867912629201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>
        <f>VLOOKUP(A66,'Données projet'!$A$243:$I$263,2,0)</f>
        <v>139.03</v>
      </c>
      <c r="FX66" s="13">
        <f>VLOOKUP(A66,'Données projet'!$A$243:$I$263,9,0)</f>
        <v>6.1000000000000041</v>
      </c>
      <c r="FY66" s="13">
        <f t="array" ref="FY66">INDEX(FX:FX,MIN(IF(ISNUMBER(FX66:FX262),ROW(FX66:FX262),"")))</f>
        <v>6.1000000000000041</v>
      </c>
      <c r="FZ66" s="13">
        <f>IF('Données projet'!$A$244&gt;35,FZ65+FY66-GH65,IF(A66&lt;'Données projet'!$A$244,$FW$205^A66,IF(A66='Données projet'!$A$244,'Données projet'!$B$244,FZ65+FY66-GH65)))</f>
        <v>139.02999999999972</v>
      </c>
      <c r="GA66" s="18">
        <f>FZ66*VLOOKUP('Données projet'!$B$17,Paramètres!$A$1:$I$89,3,0)*VLOOKUP('Données projet'!$B$17,Paramètres!$A$1:$I$89,5,0)</f>
        <v>158.32736399999968</v>
      </c>
      <c r="GB66" s="14">
        <f t="shared" si="49"/>
        <v>40.465017252342143</v>
      </c>
      <c r="GC66" s="22">
        <f t="shared" si="25"/>
        <v>346.23006401449533</v>
      </c>
      <c r="GD66" s="62">
        <f t="shared" si="26"/>
        <v>639.56339734782864</v>
      </c>
      <c r="GE66" s="62">
        <f ca="1">AVERAGE(OFFSET($GD$3,0,0,'Données projet'!$E$17+1,1))-AVERAGE(OFFSET($H$3,0,0,'Données projet'!$E$17+1,1))</f>
        <v>405.71017054131318</v>
      </c>
      <c r="GF66" s="62">
        <f t="shared" si="50"/>
        <v>276.12900965322166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7.125160961417123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7.125160961417123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>
        <f>VLOOKUP(A66,'Données projet'!$A$269:$I$289,2,0)</f>
        <v>139.03</v>
      </c>
      <c r="GS66" s="13">
        <f>VLOOKUP(A66,'Données projet'!$A$269:$I$289,9,0)</f>
        <v>6.1000000000000041</v>
      </c>
      <c r="GT66" s="13">
        <f t="array" ref="GT66">INDEX(GS:GS,MIN(IF(ISNUMBER(GS66:GS262),ROW(GS66:GS262),"")))</f>
        <v>6.1000000000000041</v>
      </c>
      <c r="GU66" s="13">
        <f>IF('Données projet'!$A$270&gt;35,GU65+GT66-HC65,IF(A66&lt;'Données projet'!$A$270,$GR$205^A66,IF(A66='Données projet'!$A$270,'Données projet'!$B$270,GU65+GT66-HC65)))</f>
        <v>139.02999999999972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 t="e">
        <f>IF(ISNA(VLOOKUP(A66,'Données projet'!$A$269:$I$289,5,0)),0%,VLOOKUP(A66,'Données projet'!$A$269:$I$289,5,0)*VLOOKUP('Données projet'!$B$18,Paramètres!$A$1:$I$89,7,0))</f>
        <v>#N/A</v>
      </c>
      <c r="HE66" s="17" t="e">
        <f>IF(ISNA(VLOOKUP(A66,'Données projet'!$A$269:$I$289,6,0)),0%,VLOOKUP(A66,'Données projet'!$A$269:$I$289,6,0)*VLOOKUP('Données projet'!$B$18,Paramètres!$A$1:$I$89,7,0))</f>
        <v>#N/A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9.2524999999999977</v>
      </c>
      <c r="N67" s="14">
        <f>IF('Données projet'!$A$36&gt;35,N66+M67-V66,IF(A67&lt;'Données projet'!$A$36,$K$205^A67,IF(A67='Données projet'!$A$36,'Données projet'!$B$36,N66+M67-V66)))</f>
        <v>246.45500000000018</v>
      </c>
      <c r="O67" s="14">
        <f>N67*VLOOKUP('Données projet'!$B$9,Paramètres!$A$1:$I$89,3,0)*VLOOKUP('Données projet'!$B$9,Paramètres!$A$1:$I$89,5,0)</f>
        <v>222.99248400000016</v>
      </c>
      <c r="P67" s="14">
        <f t="shared" si="33"/>
        <v>54.764775031234961</v>
      </c>
      <c r="Q67" s="22">
        <f t="shared" ref="Q67:Q98" si="54">(O67+P67)*0.475*44/12</f>
        <v>483.76055947940108</v>
      </c>
      <c r="R67" s="62">
        <f t="shared" ref="R67:R130" si="55">Q67+(I67+J67)*44/12</f>
        <v>777.09389281273434</v>
      </c>
      <c r="S67" s="62">
        <f ca="1">AVERAGE(OFFSET($R$3,0,0,'Données projet'!$E$9+1,1))-AVERAGE(OFFSET($H$3,0,0,'Données projet'!$E$9+1,1))</f>
        <v>452.54136967045082</v>
      </c>
      <c r="T67" s="62">
        <f t="shared" si="34"/>
        <v>269.67340993773422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11.031181275254964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11.031181275254964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11.949999999999996</v>
      </c>
      <c r="AI67" s="14">
        <f>IF('Données projet'!$A$62&gt;35,AI66+AH67-AQ66,IF(A67&lt;'Données projet'!$A$62,$AF$205^A67,IF(A67='Données projet'!$A$62,'Données projet'!$B$62,AI66+AH67-AQ66)))</f>
        <v>418.89000000000016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9.2524999999999977</v>
      </c>
      <c r="BD67" s="13">
        <f>IF('Données projet'!$A$88&gt;35,BD66+BC67-BL66,IF(A67&lt;'Données projet'!$A$88,$BA$205^A67,IF(A67='Données projet'!$A$88,'Données projet'!$B$88,BD66+BC67-BL66)))</f>
        <v>246.45500000000018</v>
      </c>
      <c r="BE67" s="14">
        <f>BD67*VLOOKUP('Données projet'!$B$11,Paramètres!$A$1:$I$89,3,0)*VLOOKUP('Données projet'!$B$11,Paramètres!$A$1:$I$89,5,0)</f>
        <v>249.9053700000002</v>
      </c>
      <c r="BF67" s="14">
        <f t="shared" si="37"/>
        <v>60.565676815620975</v>
      </c>
      <c r="BG67" s="22">
        <f t="shared" si="7"/>
        <v>540.73707320387359</v>
      </c>
      <c r="BH67" s="62">
        <f t="shared" si="8"/>
        <v>834.07040653720696</v>
      </c>
      <c r="BI67" s="62">
        <f ca="1">AVERAGE(OFFSET($BH$3,0,0,'Données projet'!$E$11+1,1))-AVERAGE(OFFSET($H$3,0,0,'Données projet'!$E$11+1,1))</f>
        <v>502.06005292569733</v>
      </c>
      <c r="BJ67" s="62">
        <f t="shared" si="38"/>
        <v>297.06786598620607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12.362530739509875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12.362530739509875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2.5660000000000025</v>
      </c>
      <c r="BY67" s="13">
        <f>IF('Données projet'!$A$114&gt;35,BY66+BX67-CG66,IF(A67&lt;'Données projet'!$A$114,$BV$205^A67,IF(A67='Données projet'!$A$114,'Données projet'!$B$114,BY66+BX67-CG66)))</f>
        <v>113.46400000000001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-5.1431925385259088E-14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204.787338911576</v>
      </c>
      <c r="CZ67" s="62">
        <f t="shared" si="42"/>
        <v>287.24932051638558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23.877421961760952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23.877421961760952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6.6</v>
      </c>
      <c r="DO67" s="13">
        <f>IF('Données projet'!$A$166&gt;35,DO66+DN67-DW66,IF(A67&lt;'Données projet'!$A$166,$DL$205^A67,IF(A67='Données projet'!$A$166,'Données projet'!$B$166,DO66+DN67-DW66)))</f>
        <v>175.40000000000006</v>
      </c>
      <c r="DP67" s="18">
        <f>DO67*VLOOKUP('Données projet'!$B$14,Paramètres!$A$1:$I$89,3,0)*VLOOKUP('Données projet'!$B$14,Paramètres!$A$1:$I$89,5,0)</f>
        <v>166.91064000000009</v>
      </c>
      <c r="DQ67" s="14">
        <f t="shared" si="43"/>
        <v>42.397372914063496</v>
      </c>
      <c r="DR67" s="22">
        <f t="shared" si="16"/>
        <v>364.54478915866071</v>
      </c>
      <c r="DS67" s="62">
        <f t="shared" si="17"/>
        <v>657.87812249199396</v>
      </c>
      <c r="DT67" s="62">
        <f ca="1">AVERAGE(OFFSET($DS$3,0,0,'Données projet'!$E$14+1,1))-AVERAGE(OFFSET($H$3,0,0,'Données projet'!$E$14+1,1))</f>
        <v>309.55876703480277</v>
      </c>
      <c r="DU67" s="62">
        <f t="shared" si="44"/>
        <v>122.43799205838684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7.8451946772199568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7.8451946772199568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11.620000000000005</v>
      </c>
      <c r="EJ67" s="13">
        <f>IF('Données projet'!$A$192&gt;35,EJ66+EI67-ER66,IF(A67&lt;'Données projet'!$A$192,$EG$205^A67,IF(A67='Données projet'!$A$192,'Données projet'!$B$192,EJ66+EI67-ER66)))</f>
        <v>282.86999999999972</v>
      </c>
      <c r="EK67" s="18">
        <f>EJ67*VLOOKUP('Données projet'!$B$15,Paramètres!$A$1:$I$89,3,0)*VLOOKUP('Données projet'!$B$15,Paramètres!$A$1:$I$89,5,0)</f>
        <v>132.38315999999986</v>
      </c>
      <c r="EL67" s="14">
        <f t="shared" si="45"/>
        <v>34.546454075700026</v>
      </c>
      <c r="EM67" s="22">
        <f t="shared" si="19"/>
        <v>290.73574451517726</v>
      </c>
      <c r="EN67" s="62">
        <f t="shared" si="20"/>
        <v>584.06907784851057</v>
      </c>
      <c r="EO67" s="62">
        <f ca="1">AVERAGE(OFFSET($EN$3,0,0,'Données projet'!$E$15+1,1))-AVERAGE(OFFSET($H$3,0,0,'Données projet'!$E$15+1,1))</f>
        <v>301.04834785168049</v>
      </c>
      <c r="EP67" s="62">
        <f t="shared" si="46"/>
        <v>164.1450425611464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18.715168452004587</v>
      </c>
      <c r="EW67" s="23">
        <f>EXP(-LN(2)/25)*EW66+(1-EXP(-LN(2)/25))/(LN(2)/25)*Calculateur!ER67*Calculateur!ET67*VLOOKUP('Données projet'!$B$15,Paramètres!$A$1:$I$89,3,0)*0.475*44/12</f>
        <v>30.513599863321673</v>
      </c>
      <c r="EX67" s="23">
        <f>EXP(-LN(2)/2)*EX66+(1-EXP(-LN(2)/2))/(LN(2)/2)*ER67*EU67*VLOOKUP('Données projet'!$B$15,Paramètres!$A$1:$I$89,3,0)*0.475*44/12</f>
        <v>6.1702377136988193</v>
      </c>
      <c r="EY67" s="24">
        <f t="shared" si="21"/>
        <v>55.399006029025081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6.3533333333333344</v>
      </c>
      <c r="FE67" s="13">
        <f>IF('Données projet'!$A$218&gt;35,FE66+FD67-FM66,IF(A67&lt;'Données projet'!$A$218,$FB$205^A67,IF(A67='Données projet'!$A$218,'Données projet'!$B$218,FE66+FD67-FM66)))</f>
        <v>145.38333333333304</v>
      </c>
      <c r="FF67" s="18">
        <f>FE67*VLOOKUP('Données projet'!$B$16,Paramètres!$A$1:$I$89,3,0)*VLOOKUP('Données projet'!$B$16,Paramètres!$A$1:$I$89,5,0)</f>
        <v>131.54283999999973</v>
      </c>
      <c r="FG67" s="14">
        <f t="shared" si="47"/>
        <v>34.352619193910854</v>
      </c>
      <c r="FH67" s="22">
        <f t="shared" si="22"/>
        <v>288.93459142939429</v>
      </c>
      <c r="FI67" s="62">
        <f t="shared" si="23"/>
        <v>582.2679247627276</v>
      </c>
      <c r="FJ67" s="62">
        <f ca="1">AVERAGE(OFFSET($FI$3,0,0,'Données projet'!$E$16+1,1))-AVERAGE(OFFSET($H$3,0,0,'Données projet'!$E$16+1,1))</f>
        <v>330.53726676433649</v>
      </c>
      <c r="FK67" s="62">
        <f t="shared" si="48"/>
        <v>228.01260676706528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5.5500763322082491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5.5500763322082491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6.3533333333333344</v>
      </c>
      <c r="FZ67" s="13">
        <f>IF('Données projet'!$A$244&gt;35,FZ66+FY67-GH66,IF(A67&lt;'Données projet'!$A$244,$FW$205^A67,IF(A67='Données projet'!$A$244,'Données projet'!$B$244,FZ66+FY67-GH66)))</f>
        <v>145.38333333333304</v>
      </c>
      <c r="GA67" s="18">
        <f>FZ67*VLOOKUP('Données projet'!$B$17,Paramètres!$A$1:$I$89,3,0)*VLOOKUP('Données projet'!$B$17,Paramètres!$A$1:$I$89,5,0)</f>
        <v>165.56253999999967</v>
      </c>
      <c r="GB67" s="14">
        <f t="shared" si="49"/>
        <v>42.094655463869145</v>
      </c>
      <c r="GC67" s="22">
        <f t="shared" si="25"/>
        <v>361.66961543290489</v>
      </c>
      <c r="GD67" s="62">
        <f t="shared" si="26"/>
        <v>655.00294876623821</v>
      </c>
      <c r="GE67" s="62">
        <f ca="1">AVERAGE(OFFSET($GD$3,0,0,'Données projet'!$E$17+1,1))-AVERAGE(OFFSET($H$3,0,0,'Données projet'!$E$17+1,1))</f>
        <v>405.71017054131318</v>
      </c>
      <c r="GF67" s="62">
        <f t="shared" si="50"/>
        <v>276.12900965322166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6.9854409008827956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6.9854409008827956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6.3533333333333344</v>
      </c>
      <c r="GU67" s="13">
        <f>IF('Données projet'!$A$270&gt;35,GU66+GT67-HC66,IF(A67&lt;'Données projet'!$A$270,$GR$205^A67,IF(A67='Données projet'!$A$270,'Données projet'!$B$270,GU66+GT67-HC66)))</f>
        <v>145.38333333333304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9.2524999999999977</v>
      </c>
      <c r="N68" s="14">
        <f>IF('Données projet'!$A$36&gt;35,N67+M68-V67,IF(A68&lt;'Données projet'!$A$36,$K$205^A68,IF(A68='Données projet'!$A$36,'Données projet'!$B$36,N67+M68-V67)))</f>
        <v>255.70750000000018</v>
      </c>
      <c r="O68" s="14">
        <f>N68*VLOOKUP('Données projet'!$B$9,Paramètres!$A$1:$I$89,3,0)*VLOOKUP('Données projet'!$B$9,Paramètres!$A$1:$I$89,5,0)</f>
        <v>231.36414600000015</v>
      </c>
      <c r="P68" s="14">
        <f t="shared" si="33"/>
        <v>56.57754019728695</v>
      </c>
      <c r="Q68" s="22">
        <f t="shared" si="54"/>
        <v>501.49843679360833</v>
      </c>
      <c r="R68" s="62">
        <f t="shared" si="55"/>
        <v>794.83177012694159</v>
      </c>
      <c r="S68" s="62">
        <f ca="1">AVERAGE(OFFSET($R$3,0,0,'Données projet'!$E$9+1,1))-AVERAGE(OFFSET($H$3,0,0,'Données projet'!$E$9+1,1))</f>
        <v>452.54136967045082</v>
      </c>
      <c r="T68" s="62">
        <f t="shared" si="34"/>
        <v>269.67340993773422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10.814866538803422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10.814866538803422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11.949999999999996</v>
      </c>
      <c r="AI68" s="14">
        <f>IF('Données projet'!$A$62&gt;35,AI67+AH68-AQ67,IF(A68&lt;'Données projet'!$A$62,$AF$205^A68,IF(A68='Données projet'!$A$62,'Données projet'!$B$62,AI67+AH68-AQ67)))</f>
        <v>430.84000000000015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9.2524999999999977</v>
      </c>
      <c r="BD68" s="13">
        <f>IF('Données projet'!$A$88&gt;35,BD67+BC68-BL67,IF(A68&lt;'Données projet'!$A$88,$BA$205^A68,IF(A68='Données projet'!$A$88,'Données projet'!$B$88,BD67+BC68-BL67)))</f>
        <v>255.70750000000018</v>
      </c>
      <c r="BE68" s="14">
        <f>BD68*VLOOKUP('Données projet'!$B$11,Paramètres!$A$1:$I$89,3,0)*VLOOKUP('Données projet'!$B$11,Paramètres!$A$1:$I$89,5,0)</f>
        <v>259.28740500000021</v>
      </c>
      <c r="BF68" s="14">
        <f t="shared" si="37"/>
        <v>62.570457244776364</v>
      </c>
      <c r="BG68" s="22">
        <f t="shared" ref="BG68:BG131" si="61">(BE68+BF68)*0.475*44/12</f>
        <v>560.56911007631913</v>
      </c>
      <c r="BH68" s="62">
        <f t="shared" ref="BH68:BH131" si="62">BG68+(AY68+AZ68)*44/12</f>
        <v>853.90244340965251</v>
      </c>
      <c r="BI68" s="62">
        <f ca="1">AVERAGE(OFFSET($BH$3,0,0,'Données projet'!$E$11+1,1))-AVERAGE(OFFSET($H$3,0,0,'Données projet'!$E$11+1,1))</f>
        <v>502.06005292569733</v>
      </c>
      <c r="BJ68" s="62">
        <f t="shared" si="38"/>
        <v>297.06786598620607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12.120109052107285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12.120109052107285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116.03</v>
      </c>
      <c r="BW68" s="13">
        <f>VLOOKUP(A68,'Données projet'!$A$113:$I$133,9,0)</f>
        <v>2.5660000000000025</v>
      </c>
      <c r="BX68" s="13">
        <f t="array" ref="BX68">INDEX(BW:BW,MIN(IF(ISNUMBER(BW68:BW264),ROW(BW68:BW264),"")))</f>
        <v>2.5660000000000025</v>
      </c>
      <c r="BY68" s="13">
        <f>IF('Données projet'!$A$114&gt;35,BY67+BX68-CG67,IF(A68&lt;'Données projet'!$A$114,$BV$205^A68,IF(A68='Données projet'!$A$114,'Données projet'!$B$114,BY67+BX68-CG67)))</f>
        <v>116.03000000000002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8.9700000000000006</v>
      </c>
      <c r="CH68" s="17" t="e">
        <f>IF(ISNA(VLOOKUP(A68,'Données projet'!$A$113:$I$133,5,0)),0%,VLOOKUP(A68,'Données projet'!$A$113:$I$133,5,0)*VLOOKUP('Données projet'!$B$12,Paramètres!$A$1:$I$89,7,0))</f>
        <v>#N/A</v>
      </c>
      <c r="CI68" s="17" t="e">
        <f>IF(ISNA(VLOOKUP(A68,'Données projet'!$A$113:$I$133,6,0)),0%,VLOOKUP(A68,'Données projet'!$A$113:$I$133,6,0)*VLOOKUP('Données projet'!$B$12,Paramètres!$A$1:$I$89,7,0))</f>
        <v>#N/A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-5.1431925385259088E-14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204.787338911576</v>
      </c>
      <c r="CZ68" s="62">
        <f t="shared" si="42"/>
        <v>287.24932051638558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23.40920028088016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23.40920028088016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182</v>
      </c>
      <c r="DM68" s="13">
        <f>VLOOKUP(A68,'Données projet'!$A$165:$I$185,9,0)</f>
        <v>6.6</v>
      </c>
      <c r="DN68" s="13">
        <f t="array" ref="DN68">INDEX(DM:DM,MIN(IF(ISNUMBER(DM68:DM264),ROW(DM68:DM264),"")))</f>
        <v>6.6</v>
      </c>
      <c r="DO68" s="13">
        <f>IF('Données projet'!$A$166&gt;35,DO67+DN68-DW67,IF(A68&lt;'Données projet'!$A$166,$DL$205^A68,IF(A68='Données projet'!$A$166,'Données projet'!$B$166,DO67+DN68-DW67)))</f>
        <v>182.00000000000006</v>
      </c>
      <c r="DP68" s="18">
        <f>DO68*VLOOKUP('Données projet'!$B$14,Paramètres!$A$1:$I$89,3,0)*VLOOKUP('Données projet'!$B$14,Paramètres!$A$1:$I$89,5,0)</f>
        <v>173.19120000000007</v>
      </c>
      <c r="DQ68" s="14">
        <f t="shared" si="43"/>
        <v>43.803970782681198</v>
      </c>
      <c r="DR68" s="22">
        <f t="shared" ref="DR68:DR131" si="70">(DP68+DQ68)*0.475*44/12</f>
        <v>377.93325577983654</v>
      </c>
      <c r="DS68" s="62">
        <f t="shared" ref="DS68:DS131" si="71">DR68+(DJ68+DK68)*44/12</f>
        <v>671.26658911316986</v>
      </c>
      <c r="DT68" s="62">
        <f ca="1">AVERAGE(OFFSET($DS$3,0,0,'Données projet'!$E$14+1,1))-AVERAGE(OFFSET($H$3,0,0,'Données projet'!$E$14+1,1))</f>
        <v>309.55876703480277</v>
      </c>
      <c r="DU68" s="62">
        <f t="shared" si="44"/>
        <v>122.43799205838684</v>
      </c>
      <c r="DV68" s="16">
        <f>IF(ISNA(VLOOKUP(A68,'Données projet'!$A$165:$I$185,3,0)),0,VLOOKUP(A68,'Données projet'!$A$165:$I$185,3,0))</f>
        <v>6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0.17200000000000001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11.4910549894427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11.4910549894427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294.49</v>
      </c>
      <c r="EH68" s="13">
        <f>VLOOKUP(A68,'Données projet'!$A$191:$I$211,9,0)</f>
        <v>11.620000000000005</v>
      </c>
      <c r="EI68" s="13">
        <f t="array" ref="EI68">INDEX(EH:EH,MIN(IF(ISNUMBER(EH68:EH264),ROW(EH68:EH264),"")))</f>
        <v>11.620000000000005</v>
      </c>
      <c r="EJ68" s="13">
        <f>IF('Données projet'!$A$192&gt;35,EJ67+EI68-ER67,IF(A68&lt;'Données projet'!$A$192,$EG$205^A68,IF(A68='Données projet'!$A$192,'Données projet'!$B$192,EJ67+EI68-ER67)))</f>
        <v>294.48999999999972</v>
      </c>
      <c r="EK68" s="18">
        <f>EJ68*VLOOKUP('Données projet'!$B$15,Paramètres!$A$1:$I$89,3,0)*VLOOKUP('Données projet'!$B$15,Paramètres!$A$1:$I$89,5,0)</f>
        <v>137.82131999999987</v>
      </c>
      <c r="EL68" s="14">
        <f t="shared" si="45"/>
        <v>35.79744581783897</v>
      </c>
      <c r="EM68" s="22">
        <f t="shared" ref="EM68:EM131" si="73">(EK68+EL68)*0.475*44/12</f>
        <v>302.38601713273596</v>
      </c>
      <c r="EN68" s="62">
        <f t="shared" ref="EN68:EN131" si="74">EM68+(EE68+EF68)*44/12</f>
        <v>595.71935046606927</v>
      </c>
      <c r="EO68" s="62">
        <f ca="1">AVERAGE(OFFSET($EN$3,0,0,'Données projet'!$E$15+1,1))-AVERAGE(OFFSET($H$3,0,0,'Données projet'!$E$15+1,1))</f>
        <v>301.04834785168049</v>
      </c>
      <c r="EP68" s="62">
        <f t="shared" si="46"/>
        <v>164.1450425611464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18.348175413786382</v>
      </c>
      <c r="EW68" s="23">
        <f>EXP(-LN(2)/25)*EW67+(1-EXP(-LN(2)/25))/(LN(2)/25)*Calculateur!ER68*Calculateur!ET68*VLOOKUP('Données projet'!$B$15,Paramètres!$A$1:$I$89,3,0)*0.475*44/12</f>
        <v>29.679203870418664</v>
      </c>
      <c r="EX68" s="23">
        <f>EXP(-LN(2)/2)*EX67+(1-EXP(-LN(2)/2))/(LN(2)/2)*ER68*EU68*VLOOKUP('Données projet'!$B$15,Paramètres!$A$1:$I$89,3,0)*0.475*44/12</f>
        <v>4.3630169288894143</v>
      </c>
      <c r="EY68" s="24">
        <f t="shared" ref="EY68:EY131" si="75">SUM(EV68:EX68)</f>
        <v>52.390396213094462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6.3533333333333344</v>
      </c>
      <c r="FE68" s="13">
        <f>IF('Données projet'!$A$218&gt;35,FE67+FD68-FM67,IF(A68&lt;'Données projet'!$A$218,$FB$205^A68,IF(A68='Données projet'!$A$218,'Données projet'!$B$218,FE67+FD68-FM67)))</f>
        <v>151.73666666666637</v>
      </c>
      <c r="FF68" s="18">
        <f>FE68*VLOOKUP('Données projet'!$B$16,Paramètres!$A$1:$I$89,3,0)*VLOOKUP('Données projet'!$B$16,Paramètres!$A$1:$I$89,5,0)</f>
        <v>137.29133599999972</v>
      </c>
      <c r="FG68" s="14">
        <f t="shared" si="47"/>
        <v>35.675784805251325</v>
      </c>
      <c r="FH68" s="22">
        <f t="shared" ref="FH68:FH131" si="76">(FF68+FG68)*0.475*44/12</f>
        <v>301.25106873581223</v>
      </c>
      <c r="FI68" s="62">
        <f t="shared" ref="FI68:FI131" si="77">FH68+(EZ68+FA68)*44/12</f>
        <v>594.58440206914554</v>
      </c>
      <c r="FJ68" s="62">
        <f ca="1">AVERAGE(OFFSET($FI$3,0,0,'Données projet'!$E$16+1,1))-AVERAGE(OFFSET($H$3,0,0,'Données projet'!$E$16+1,1))</f>
        <v>330.53726676433649</v>
      </c>
      <c r="FK68" s="62">
        <f t="shared" si="48"/>
        <v>228.01260676706528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5.4412427205459464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5.4412427205459464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6.3533333333333344</v>
      </c>
      <c r="FZ68" s="13">
        <f>IF('Données projet'!$A$244&gt;35,FZ67+FY68-GH67,IF(A68&lt;'Données projet'!$A$244,$FW$205^A68,IF(A68='Données projet'!$A$244,'Données projet'!$B$244,FZ67+FY68-GH67)))</f>
        <v>151.73666666666637</v>
      </c>
      <c r="GA68" s="18">
        <f>FZ68*VLOOKUP('Données projet'!$B$17,Paramètres!$A$1:$I$89,3,0)*VLOOKUP('Données projet'!$B$17,Paramètres!$A$1:$I$89,5,0)</f>
        <v>172.79771599999967</v>
      </c>
      <c r="GB68" s="14">
        <f t="shared" si="49"/>
        <v>43.716022388371023</v>
      </c>
      <c r="GC68" s="22">
        <f t="shared" ref="GC68:GC131" si="79">(GA68+GB68)*0.475*44/12</f>
        <v>377.0947610264123</v>
      </c>
      <c r="GD68" s="62">
        <f t="shared" ref="GD68:GD131" si="80">GC68+(FU68+FV68)*44/12</f>
        <v>670.42809435974561</v>
      </c>
      <c r="GE68" s="62">
        <f ca="1">AVERAGE(OFFSET($GD$3,0,0,'Données projet'!$E$17+1,1))-AVERAGE(OFFSET($H$3,0,0,'Données projet'!$E$17+1,1))</f>
        <v>405.71017054131318</v>
      </c>
      <c r="GF68" s="62">
        <f t="shared" si="50"/>
        <v>276.12900965322166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6.8484606655147244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6.8484606655147244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6.3533333333333344</v>
      </c>
      <c r="GU68" s="13">
        <f>IF('Données projet'!$A$270&gt;35,GU67+GT68-HC67,IF(A68&lt;'Données projet'!$A$270,$GR$205^A68,IF(A68='Données projet'!$A$270,'Données projet'!$B$270,GU67+GT68-HC67)))</f>
        <v>151.73666666666637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264.95999999999998</v>
      </c>
      <c r="L69" s="13">
        <f>VLOOKUP(A69,'Données projet'!$A$35:$I$55,9,0)</f>
        <v>9.2524999999999977</v>
      </c>
      <c r="M69" s="13">
        <f t="array" ref="M69">INDEX(L:L,MIN(IF(ISNUMBER(L69:L265),ROW(L69:L265),"")))</f>
        <v>9.2524999999999977</v>
      </c>
      <c r="N69" s="14">
        <f>IF('Données projet'!$A$36&gt;35,N68+M69-V68,IF(A69&lt;'Données projet'!$A$36,$K$205^A69,IF(A69='Données projet'!$A$36,'Données projet'!$B$36,N68+M69-V68)))</f>
        <v>264.96000000000015</v>
      </c>
      <c r="O69" s="14">
        <f>N69*VLOOKUP('Données projet'!$B$9,Paramètres!$A$1:$I$89,3,0)*VLOOKUP('Données projet'!$B$9,Paramètres!$A$1:$I$89,5,0)</f>
        <v>239.73580800000011</v>
      </c>
      <c r="P69" s="14">
        <f t="shared" ref="P69:P132" si="87">EXP(-1.0587+0.8836*LN(O69)+0.284)</f>
        <v>58.38268464325516</v>
      </c>
      <c r="Q69" s="22">
        <f t="shared" si="54"/>
        <v>519.22304135366949</v>
      </c>
      <c r="R69" s="62">
        <f t="shared" si="55"/>
        <v>812.55637468700274</v>
      </c>
      <c r="S69" s="62">
        <f ca="1">AVERAGE(OFFSET($R$3,0,0,'Données projet'!$E$9+1,1))-AVERAGE(OFFSET($H$3,0,0,'Données projet'!$E$9+1,1))</f>
        <v>452.54136967045082</v>
      </c>
      <c r="T69" s="62">
        <f t="shared" ref="T69:T132" si="88">$T$3</f>
        <v>269.67340993773422</v>
      </c>
      <c r="U69" s="16">
        <f>IF(ISNA(VLOOKUP(A69,'Données projet'!$A$35:$I$55,3,0)),0,VLOOKUP(A69,'Données projet'!$A$35:$I$55,3,0))</f>
        <v>4</v>
      </c>
      <c r="V69" s="16">
        <f>IF(ISNA(VLOOKUP(A69,'Données projet'!$A$35:$I$55,4,0)),0,VLOOKUP(A69,'Données projet'!$A$35:$I$55,4,0))</f>
        <v>49.91</v>
      </c>
      <c r="W69" s="17">
        <f>IF(ISNA(VLOOKUP(A69,'Données projet'!$A$35:$I$55,5,0)),0%,VLOOKUP(A69,'Données projet'!$A$35:$I$55,5,0)*VLOOKUP('Données projet'!$B$9,Paramètres!$A$1:$I$89,7,0))</f>
        <v>0.17200000000000001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19.189284603048151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19.189284603048151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11.949999999999996</v>
      </c>
      <c r="AI69" s="14">
        <f>IF('Données projet'!$A$62&gt;35,AI68+AH69-AQ68,IF(A69&lt;'Données projet'!$A$62,$AF$205^A69,IF(A69='Données projet'!$A$62,'Données projet'!$B$62,AI68+AH69-AQ68)))</f>
        <v>442.79000000000013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264.95999999999998</v>
      </c>
      <c r="BB69" s="13">
        <f>VLOOKUP(A69,'Données projet'!$A$87:$I$107,9,0)</f>
        <v>9.2524999999999977</v>
      </c>
      <c r="BC69" s="13">
        <f t="array" ref="BC69">INDEX(BB:BB,MIN(IF(ISNUMBER(BB69:BB265),ROW(BB69:BB265),"")))</f>
        <v>9.2524999999999977</v>
      </c>
      <c r="BD69" s="13">
        <f>IF('Données projet'!$A$88&gt;35,BD68+BC69-BL68,IF(A69&lt;'Données projet'!$A$88,$BA$205^A69,IF(A69='Données projet'!$A$88,'Données projet'!$B$88,BD68+BC69-BL68)))</f>
        <v>264.96000000000015</v>
      </c>
      <c r="BE69" s="14">
        <f>BD69*VLOOKUP('Données projet'!$B$11,Paramètres!$A$1:$I$89,3,0)*VLOOKUP('Données projet'!$B$11,Paramètres!$A$1:$I$89,5,0)</f>
        <v>268.66944000000018</v>
      </c>
      <c r="BF69" s="14">
        <f t="shared" ref="BF69:BF132" si="91">EXP(-1.0587+0.8836*LN(BE69)+0.284)</f>
        <v>64.566809737006352</v>
      </c>
      <c r="BG69" s="22">
        <f t="shared" si="61"/>
        <v>580.38646829195295</v>
      </c>
      <c r="BH69" s="62">
        <f t="shared" si="62"/>
        <v>873.71980162528621</v>
      </c>
      <c r="BI69" s="62">
        <f ca="1">AVERAGE(OFFSET($BH$3,0,0,'Données projet'!$E$11+1,1))-AVERAGE(OFFSET($H$3,0,0,'Données projet'!$E$11+1,1))</f>
        <v>502.06005292569733</v>
      </c>
      <c r="BJ69" s="62">
        <f t="shared" ref="BJ69:BJ132" si="92">$BJ$3</f>
        <v>297.06786598620607</v>
      </c>
      <c r="BK69" s="16">
        <f>IF(ISNA(VLOOKUP(A69,'Données projet'!$A$87:$I$107,3,0)),0,VLOOKUP(A69,'Données projet'!$A$87:$I$107,3,0))</f>
        <v>4</v>
      </c>
      <c r="BL69" s="16">
        <f>IF(ISNA(VLOOKUP(A69,'Données projet'!$A$87:$I$107,4,0)),0,VLOOKUP(A69,'Données projet'!$A$87:$I$107,4,0))</f>
        <v>49.91</v>
      </c>
      <c r="BM69" s="17">
        <f>IF(ISNA(VLOOKUP(A69,'Données projet'!$A$87:$I$107,5,0)),0%,VLOOKUP(A69,'Données projet'!$A$87:$I$107,5,0)*VLOOKUP('Données projet'!$B$11,Paramètres!$A$1:$I$89,7,0))</f>
        <v>0.17200000000000001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21.50523274479535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21.50523274479535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2.1779999999999999</v>
      </c>
      <c r="BY69" s="13">
        <f>IF('Données projet'!$A$114&gt;35,BY68+BX69-CG68,IF(A69&lt;'Données projet'!$A$114,$BV$205^A69,IF(A69='Données projet'!$A$114,'Données projet'!$B$114,BY68+BX69-CG68)))</f>
        <v>109.23800000000001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-5.1431925385259088E-14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204.787338911576</v>
      </c>
      <c r="CZ69" s="62">
        <f t="shared" ref="CZ69:CZ132" si="96">$CZ$3</f>
        <v>287.24932051638558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22.950160141574415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22.950160141574415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167.80000000000007</v>
      </c>
      <c r="DP69" s="18">
        <f>DO69*VLOOKUP('Données projet'!$B$14,Paramètres!$A$1:$I$89,3,0)*VLOOKUP('Données projet'!$B$14,Paramètres!$A$1:$I$89,5,0)</f>
        <v>159.67848000000006</v>
      </c>
      <c r="DQ69" s="14">
        <f t="shared" ref="DQ69:DQ132" si="97">EXP(-1.0587+0.8836*LN(DP69)+0.284)</f>
        <v>40.769987185484034</v>
      </c>
      <c r="DR69" s="22">
        <f t="shared" si="70"/>
        <v>349.1144136813848</v>
      </c>
      <c r="DS69" s="62">
        <f t="shared" si="71"/>
        <v>642.44774701471806</v>
      </c>
      <c r="DT69" s="62">
        <f ca="1">AVERAGE(OFFSET($DS$3,0,0,'Données projet'!$E$14+1,1))-AVERAGE(OFFSET($H$3,0,0,'Données projet'!$E$14+1,1))</f>
        <v>309.55876703480277</v>
      </c>
      <c r="DU69" s="62">
        <f t="shared" ref="DU69:DU132" si="98">$DU$3</f>
        <v>122.43799205838684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11.265722409951206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11.265722409951206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11.9925</v>
      </c>
      <c r="EJ69" s="13">
        <f>IF('Données projet'!$A$192&gt;35,EJ68+EI69-ER68,IF(A69&lt;'Données projet'!$A$192,$EG$205^A69,IF(A69='Données projet'!$A$192,'Données projet'!$B$192,EJ68+EI69-ER68)))</f>
        <v>306.48249999999973</v>
      </c>
      <c r="EK69" s="18">
        <f>EJ69*VLOOKUP('Données projet'!$B$15,Paramètres!$A$1:$I$89,3,0)*VLOOKUP('Données projet'!$B$15,Paramètres!$A$1:$I$89,5,0)</f>
        <v>143.43380999999988</v>
      </c>
      <c r="EL69" s="14">
        <f t="shared" ref="EL69:EL132" si="99">EXP(-1.0587+0.8836*LN(EK69)+0.284)</f>
        <v>37.08253035255936</v>
      </c>
      <c r="EM69" s="22">
        <f t="shared" si="73"/>
        <v>314.39929278070736</v>
      </c>
      <c r="EN69" s="62">
        <f t="shared" si="74"/>
        <v>607.73262611404061</v>
      </c>
      <c r="EO69" s="62">
        <f ca="1">AVERAGE(OFFSET($EN$3,0,0,'Données projet'!$E$15+1,1))-AVERAGE(OFFSET($H$3,0,0,'Données projet'!$E$15+1,1))</f>
        <v>301.04834785168049</v>
      </c>
      <c r="EP69" s="62">
        <f t="shared" ref="EP69:EP132" si="100">$EP$3</f>
        <v>164.1450425611464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17.988378885203986</v>
      </c>
      <c r="EW69" s="23">
        <f>EXP(-LN(2)/25)*EW68+(1-EXP(-LN(2)/25))/(LN(2)/25)*Calculateur!ER69*Calculateur!ET69*VLOOKUP('Données projet'!$B$15,Paramètres!$A$1:$I$89,3,0)*0.475*44/12</f>
        <v>28.867624479820567</v>
      </c>
      <c r="EX69" s="23">
        <f>EXP(-LN(2)/2)*EX68+(1-EXP(-LN(2)/2))/(LN(2)/2)*ER69*EU69*VLOOKUP('Données projet'!$B$15,Paramètres!$A$1:$I$89,3,0)*0.475*44/12</f>
        <v>3.0851188568494097</v>
      </c>
      <c r="EY69" s="24">
        <f t="shared" si="75"/>
        <v>49.941122221873961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>
        <f>VLOOKUP(A69,'Données projet'!$A$217:$I$237,2,0)</f>
        <v>158.09</v>
      </c>
      <c r="FC69" s="13">
        <f>VLOOKUP(A69,'Données projet'!$A$217:$I$237,9,0)</f>
        <v>6.3533333333333344</v>
      </c>
      <c r="FD69" s="13">
        <f t="array" ref="FD69">INDEX(FC:FC,MIN(IF(ISNUMBER(FC69:FC265),ROW(FC69:FC265),"")))</f>
        <v>6.3533333333333344</v>
      </c>
      <c r="FE69" s="13">
        <f>IF('Données projet'!$A$218&gt;35,FE68+FD69-FM68,IF(A69&lt;'Données projet'!$A$218,$FB$205^A69,IF(A69='Données projet'!$A$218,'Données projet'!$B$218,FE68+FD69-FM68)))</f>
        <v>158.08999999999969</v>
      </c>
      <c r="FF69" s="18">
        <f>FE69*VLOOKUP('Données projet'!$B$16,Paramètres!$A$1:$I$89,3,0)*VLOOKUP('Données projet'!$B$16,Paramètres!$A$1:$I$89,5,0)</f>
        <v>143.03983199999971</v>
      </c>
      <c r="FG69" s="14">
        <f t="shared" ref="FG69:FG132" si="101">EXP(-1.0587+0.8836*LN(FF69)+0.284)</f>
        <v>36.992515329506936</v>
      </c>
      <c r="FH69" s="22">
        <f t="shared" si="76"/>
        <v>313.55633826555743</v>
      </c>
      <c r="FI69" s="62">
        <f t="shared" si="77"/>
        <v>606.8896715988908</v>
      </c>
      <c r="FJ69" s="62">
        <f ca="1">AVERAGE(OFFSET($FI$3,0,0,'Données projet'!$E$16+1,1))-AVERAGE(OFFSET($H$3,0,0,'Données projet'!$E$16+1,1))</f>
        <v>330.53726676433649</v>
      </c>
      <c r="FK69" s="62">
        <f t="shared" ref="FK69:FK132" si="102">$FK$3</f>
        <v>228.01260676706528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5.3345432696263924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5.3345432696263924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>
        <f>VLOOKUP(A69,'Données projet'!$A$243:$I$263,2,0)</f>
        <v>158.09</v>
      </c>
      <c r="FX69" s="13">
        <f>VLOOKUP(A69,'Données projet'!$A$243:$I$263,9,0)</f>
        <v>6.3533333333333344</v>
      </c>
      <c r="FY69" s="13">
        <f t="array" ref="FY69">INDEX(FX:FX,MIN(IF(ISNUMBER(FX69:FX265),ROW(FX69:FX265),"")))</f>
        <v>6.3533333333333344</v>
      </c>
      <c r="FZ69" s="13">
        <f>IF('Données projet'!$A$244&gt;35,FZ68+FY69-GH68,IF(A69&lt;'Données projet'!$A$244,$FW$205^A69,IF(A69='Données projet'!$A$244,'Données projet'!$B$244,FZ68+FY69-GH68)))</f>
        <v>158.08999999999969</v>
      </c>
      <c r="GA69" s="18">
        <f>FZ69*VLOOKUP('Données projet'!$B$17,Paramètres!$A$1:$I$89,3,0)*VLOOKUP('Données projet'!$B$17,Paramètres!$A$1:$I$89,5,0)</f>
        <v>180.03289199999963</v>
      </c>
      <c r="GB69" s="14">
        <f t="shared" ref="GB69:GB132" si="103">EXP(-1.0587+0.8836*LN(GA69)+0.284)</f>
        <v>45.32950395274402</v>
      </c>
      <c r="GC69" s="22">
        <f t="shared" si="79"/>
        <v>392.50617295102853</v>
      </c>
      <c r="GD69" s="62">
        <f t="shared" si="80"/>
        <v>685.83950628436185</v>
      </c>
      <c r="GE69" s="62">
        <f ca="1">AVERAGE(OFFSET($GD$3,0,0,'Données projet'!$E$17+1,1))-AVERAGE(OFFSET($H$3,0,0,'Données projet'!$E$17+1,1))</f>
        <v>405.71017054131318</v>
      </c>
      <c r="GF69" s="62">
        <f t="shared" ref="GF69:GF132" si="104">$GF$3</f>
        <v>276.12900965322166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6.7141665290125276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6.7141665290125276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>
        <f>VLOOKUP(A69,'Données projet'!$A$269:$I$289,2,0)</f>
        <v>158.09</v>
      </c>
      <c r="GS69" s="13">
        <f>VLOOKUP(A69,'Données projet'!$A$269:$I$289,9,0)</f>
        <v>6.3533333333333344</v>
      </c>
      <c r="GT69" s="13">
        <f t="array" ref="GT69">INDEX(GS:GS,MIN(IF(ISNUMBER(GS69:GS265),ROW(GS69:GS265),"")))</f>
        <v>6.3533333333333344</v>
      </c>
      <c r="GU69" s="13">
        <f>IF('Données projet'!$A$270&gt;35,GU68+GT69-HC68,IF(A69&lt;'Données projet'!$A$270,$GR$205^A69,IF(A69='Données projet'!$A$270,'Données projet'!$B$270,GU68+GT69-HC68)))</f>
        <v>158.08999999999969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 t="e">
        <f>IF(ISNA(VLOOKUP(A69,'Données projet'!$A$269:$I$289,5,0)),0%,VLOOKUP(A69,'Données projet'!$A$269:$I$289,5,0)*VLOOKUP('Données projet'!$B$18,Paramètres!$A$1:$I$89,7,0))</f>
        <v>#N/A</v>
      </c>
      <c r="HE69" s="17" t="e">
        <f>IF(ISNA(VLOOKUP(A69,'Données projet'!$A$269:$I$289,6,0)),0%,VLOOKUP(A69,'Données projet'!$A$269:$I$289,6,0)*VLOOKUP('Données projet'!$B$18,Paramètres!$A$1:$I$89,7,0))</f>
        <v>#N/A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8.8662500000000044</v>
      </c>
      <c r="N70" s="14">
        <f>IF('Données projet'!$A$36&gt;35,N69+M70-V69,IF(A70&lt;'Données projet'!$A$36,$K$205^A70,IF(A70='Données projet'!$A$36,'Données projet'!$B$36,N69+M70-V69)))</f>
        <v>223.91625000000013</v>
      </c>
      <c r="O70" s="14">
        <f>N70*VLOOKUP('Données projet'!$B$9,Paramètres!$A$1:$I$89,3,0)*VLOOKUP('Données projet'!$B$9,Paramètres!$A$1:$I$89,5,0)</f>
        <v>202.59942300000012</v>
      </c>
      <c r="P70" s="14">
        <f t="shared" si="87"/>
        <v>50.315012169520465</v>
      </c>
      <c r="Q70" s="22">
        <f t="shared" si="54"/>
        <v>440.49264125358167</v>
      </c>
      <c r="R70" s="62">
        <f t="shared" si="55"/>
        <v>733.82597458691498</v>
      </c>
      <c r="S70" s="62">
        <f ca="1">AVERAGE(OFFSET($R$3,0,0,'Données projet'!$E$9+1,1))-AVERAGE(OFFSET($H$3,0,0,'Données projet'!$E$9+1,1))</f>
        <v>452.54136967045082</v>
      </c>
      <c r="T70" s="62">
        <f t="shared" si="88"/>
        <v>269.67340993773422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18.812994436290278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18.812994436290278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11.949999999999996</v>
      </c>
      <c r="AI70" s="14">
        <f>IF('Données projet'!$A$62&gt;35,AI69+AH70-AQ69,IF(A70&lt;'Données projet'!$A$62,$AF$205^A70,IF(A70='Données projet'!$A$62,'Données projet'!$B$62,AI69+AH70-AQ69)))</f>
        <v>454.74000000000012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8.8662500000000044</v>
      </c>
      <c r="BD70" s="13">
        <f>IF('Données projet'!$A$88&gt;35,BD69+BC70-BL69,IF(A70&lt;'Données projet'!$A$88,$BA$205^A70,IF(A70='Données projet'!$A$88,'Données projet'!$B$88,BD69+BC70-BL69)))</f>
        <v>223.91625000000013</v>
      </c>
      <c r="BE70" s="14">
        <f>BD70*VLOOKUP('Données projet'!$B$11,Paramètres!$A$1:$I$89,3,0)*VLOOKUP('Données projet'!$B$11,Paramètres!$A$1:$I$89,5,0)</f>
        <v>227.05107750000016</v>
      </c>
      <c r="BF70" s="14">
        <f t="shared" si="91"/>
        <v>55.644577455036639</v>
      </c>
      <c r="BG70" s="22">
        <f t="shared" si="61"/>
        <v>492.36159904668904</v>
      </c>
      <c r="BH70" s="62">
        <f t="shared" si="62"/>
        <v>785.69493238002235</v>
      </c>
      <c r="BI70" s="62">
        <f ca="1">AVERAGE(OFFSET($BH$3,0,0,'Données projet'!$E$11+1,1))-AVERAGE(OFFSET($H$3,0,0,'Données projet'!$E$11+1,1))</f>
        <v>502.06005292569733</v>
      </c>
      <c r="BJ70" s="62">
        <f t="shared" si="92"/>
        <v>297.06786598620607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21.083528247566701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21.083528247566701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2.1779999999999999</v>
      </c>
      <c r="BY70" s="13">
        <f>IF('Données projet'!$A$114&gt;35,BY69+BX70-CG69,IF(A70&lt;'Données projet'!$A$114,$BV$205^A70,IF(A70='Données projet'!$A$114,'Données projet'!$B$114,BY69+BX70-CG69)))</f>
        <v>111.41600000000001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-5.1431925385259088E-14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204.787338911576</v>
      </c>
      <c r="CZ70" s="62">
        <f t="shared" si="96"/>
        <v>287.24932051638558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22.500121499413616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22.500121499413616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174.60000000000008</v>
      </c>
      <c r="DP70" s="18">
        <f>DO70*VLOOKUP('Données projet'!$B$14,Paramètres!$A$1:$I$89,3,0)*VLOOKUP('Données projet'!$B$14,Paramètres!$A$1:$I$89,5,0)</f>
        <v>166.14936000000006</v>
      </c>
      <c r="DQ70" s="14">
        <f t="shared" si="97"/>
        <v>42.226461716737191</v>
      </c>
      <c r="DR70" s="22">
        <f t="shared" si="70"/>
        <v>362.92122282331735</v>
      </c>
      <c r="DS70" s="62">
        <f t="shared" si="71"/>
        <v>656.25455615665066</v>
      </c>
      <c r="DT70" s="62">
        <f ca="1">AVERAGE(OFFSET($DS$3,0,0,'Données projet'!$E$14+1,1))-AVERAGE(OFFSET($H$3,0,0,'Données projet'!$E$14+1,1))</f>
        <v>309.55876703480277</v>
      </c>
      <c r="DU70" s="62">
        <f t="shared" si="98"/>
        <v>122.43799205838684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11.044808464904238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11.044808464904238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11.9925</v>
      </c>
      <c r="EJ70" s="13">
        <f>IF('Données projet'!$A$192&gt;35,EJ69+EI70-ER69,IF(A70&lt;'Données projet'!$A$192,$EG$205^A70,IF(A70='Données projet'!$A$192,'Données projet'!$B$192,EJ69+EI70-ER69)))</f>
        <v>318.47499999999974</v>
      </c>
      <c r="EK70" s="18">
        <f>EJ70*VLOOKUP('Données projet'!$B$15,Paramètres!$A$1:$I$89,3,0)*VLOOKUP('Données projet'!$B$15,Paramètres!$A$1:$I$89,5,0)</f>
        <v>149.04629999999986</v>
      </c>
      <c r="EL70" s="14">
        <f t="shared" si="99"/>
        <v>38.361773484776549</v>
      </c>
      <c r="EM70" s="22">
        <f t="shared" si="73"/>
        <v>326.40239465265228</v>
      </c>
      <c r="EN70" s="62">
        <f t="shared" si="74"/>
        <v>619.73572798598559</v>
      </c>
      <c r="EO70" s="62">
        <f ca="1">AVERAGE(OFFSET($EN$3,0,0,'Données projet'!$E$15+1,1))-AVERAGE(OFFSET($H$3,0,0,'Données projet'!$E$15+1,1))</f>
        <v>301.04834785168049</v>
      </c>
      <c r="EP70" s="62">
        <f t="shared" si="100"/>
        <v>164.1450425611464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17.635637747092879</v>
      </c>
      <c r="EW70" s="23">
        <f>EXP(-LN(2)/25)*EW69+(1-EXP(-LN(2)/25))/(LN(2)/25)*Calculateur!ER70*Calculateur!ET70*VLOOKUP('Données projet'!$B$15,Paramètres!$A$1:$I$89,3,0)*0.475*44/12</f>
        <v>28.078237770337481</v>
      </c>
      <c r="EX70" s="23">
        <f>EXP(-LN(2)/2)*EX69+(1-EXP(-LN(2)/2))/(LN(2)/2)*ER70*EU70*VLOOKUP('Données projet'!$B$15,Paramètres!$A$1:$I$89,3,0)*0.475*44/12</f>
        <v>2.1815084644447071</v>
      </c>
      <c r="EY70" s="24">
        <f t="shared" si="75"/>
        <v>47.895383981875064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6.4933333333333296</v>
      </c>
      <c r="FE70" s="13">
        <f>IF('Données projet'!$A$218&gt;35,FE69+FD70-FM69,IF(A70&lt;'Données projet'!$A$218,$FB$205^A70,IF(A70='Données projet'!$A$218,'Données projet'!$B$218,FE69+FD70-FM69)))</f>
        <v>164.58333333333303</v>
      </c>
      <c r="FF70" s="18">
        <f>FE70*VLOOKUP('Données projet'!$B$16,Paramètres!$A$1:$I$89,3,0)*VLOOKUP('Données projet'!$B$16,Paramètres!$A$1:$I$89,5,0)</f>
        <v>148.91499999999971</v>
      </c>
      <c r="FG70" s="14">
        <f t="shared" si="101"/>
        <v>38.331911395897535</v>
      </c>
      <c r="FH70" s="22">
        <f t="shared" si="76"/>
        <v>326.12170401452101</v>
      </c>
      <c r="FI70" s="62">
        <f t="shared" si="77"/>
        <v>619.45503734785439</v>
      </c>
      <c r="FJ70" s="62">
        <f ca="1">AVERAGE(OFFSET($FI$3,0,0,'Données projet'!$E$16+1,1))-AVERAGE(OFFSET($H$3,0,0,'Données projet'!$E$16+1,1))</f>
        <v>330.53726676433649</v>
      </c>
      <c r="FK70" s="62">
        <f t="shared" si="102"/>
        <v>228.01260676706528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5.2299361298591318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5.2299361298591318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6.4933333333333296</v>
      </c>
      <c r="FZ70" s="13">
        <f>IF('Données projet'!$A$244&gt;35,FZ69+FY70-GH69,IF(A70&lt;'Données projet'!$A$244,$FW$205^A70,IF(A70='Données projet'!$A$244,'Données projet'!$B$244,FZ69+FY70-GH69)))</f>
        <v>164.58333333333303</v>
      </c>
      <c r="GA70" s="18">
        <f>FZ70*VLOOKUP('Données projet'!$B$17,Paramètres!$A$1:$I$89,3,0)*VLOOKUP('Données projet'!$B$17,Paramètres!$A$1:$I$89,5,0)</f>
        <v>187.42749999999967</v>
      </c>
      <c r="GB70" s="14">
        <f t="shared" si="103"/>
        <v>46.970759183563978</v>
      </c>
      <c r="GC70" s="22">
        <f t="shared" si="79"/>
        <v>408.24363474470664</v>
      </c>
      <c r="GD70" s="62">
        <f t="shared" si="80"/>
        <v>701.57696807803995</v>
      </c>
      <c r="GE70" s="62">
        <f ca="1">AVERAGE(OFFSET($GD$3,0,0,'Données projet'!$E$17+1,1))-AVERAGE(OFFSET($H$3,0,0,'Données projet'!$E$17+1,1))</f>
        <v>405.71017054131318</v>
      </c>
      <c r="GF70" s="62">
        <f t="shared" si="104"/>
        <v>276.12900965322166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6.5825058186158039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6.5825058186158039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6.4933333333333296</v>
      </c>
      <c r="GU70" s="13">
        <f>IF('Données projet'!$A$270&gt;35,GU69+GT70-HC69,IF(A70&lt;'Données projet'!$A$270,$GR$205^A70,IF(A70='Données projet'!$A$270,'Données projet'!$B$270,GU69+GT70-HC69)))</f>
        <v>164.58333333333303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8.8662500000000044</v>
      </c>
      <c r="N71" s="14">
        <f>IF('Données projet'!$A$36&gt;35,N70+M71-V70,IF(A71&lt;'Données projet'!$A$36,$K$205^A71,IF(A71='Données projet'!$A$36,'Données projet'!$B$36,N70+M71-V70)))</f>
        <v>232.78250000000014</v>
      </c>
      <c r="O71" s="14">
        <f>N71*VLOOKUP('Données projet'!$B$9,Paramètres!$A$1:$I$89,3,0)*VLOOKUP('Données projet'!$B$9,Paramètres!$A$1:$I$89,5,0)</f>
        <v>210.62160600000013</v>
      </c>
      <c r="P71" s="14">
        <f t="shared" si="87"/>
        <v>52.071398873356536</v>
      </c>
      <c r="Q71" s="22">
        <f t="shared" si="54"/>
        <v>457.5236501544295</v>
      </c>
      <c r="R71" s="62">
        <f t="shared" si="55"/>
        <v>750.85698348776282</v>
      </c>
      <c r="S71" s="62">
        <f ca="1">AVERAGE(OFFSET($R$3,0,0,'Données projet'!$E$9+1,1))-AVERAGE(OFFSET($H$3,0,0,'Données projet'!$E$9+1,1))</f>
        <v>452.54136967045082</v>
      </c>
      <c r="T71" s="62">
        <f t="shared" si="88"/>
        <v>269.67340993773422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18.44408309018819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18.44408309018819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11.949999999999996</v>
      </c>
      <c r="AI71" s="14">
        <f>IF('Données projet'!$A$62&gt;35,AI70+AH71-AQ70,IF(A71&lt;'Données projet'!$A$62,$AF$205^A71,IF(A71='Données projet'!$A$62,'Données projet'!$B$62,AI70+AH71-AQ70)))</f>
        <v>466.69000000000011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8.8662500000000044</v>
      </c>
      <c r="BD71" s="13">
        <f>IF('Données projet'!$A$88&gt;35,BD70+BC71-BL70,IF(A71&lt;'Données projet'!$A$88,$BA$205^A71,IF(A71='Données projet'!$A$88,'Données projet'!$B$88,BD70+BC71-BL70)))</f>
        <v>232.78250000000014</v>
      </c>
      <c r="BE71" s="14">
        <f>BD71*VLOOKUP('Données projet'!$B$11,Paramètres!$A$1:$I$89,3,0)*VLOOKUP('Données projet'!$B$11,Paramètres!$A$1:$I$89,5,0)</f>
        <v>236.04145500000016</v>
      </c>
      <c r="BF71" s="14">
        <f t="shared" si="91"/>
        <v>57.587007592056594</v>
      </c>
      <c r="BG71" s="22">
        <f t="shared" si="61"/>
        <v>511.40290568116535</v>
      </c>
      <c r="BH71" s="62">
        <f t="shared" si="62"/>
        <v>804.73623901449866</v>
      </c>
      <c r="BI71" s="62">
        <f ca="1">AVERAGE(OFFSET($BH$3,0,0,'Données projet'!$E$11+1,1))-AVERAGE(OFFSET($H$3,0,0,'Données projet'!$E$11+1,1))</f>
        <v>502.06005292569733</v>
      </c>
      <c r="BJ71" s="62">
        <f t="shared" si="92"/>
        <v>297.06786598620607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20.670093118314362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20.670093118314362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2.1779999999999999</v>
      </c>
      <c r="BY71" s="13">
        <f>IF('Données projet'!$A$114&gt;35,BY70+BX71-CG70,IF(A71&lt;'Données projet'!$A$114,$BV$205^A71,IF(A71='Données projet'!$A$114,'Données projet'!$B$114,BY70+BX71-CG70)))</f>
        <v>113.59400000000001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-5.1431925385259088E-14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204.787338911576</v>
      </c>
      <c r="CZ71" s="62">
        <f t="shared" si="96"/>
        <v>287.24932051638558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22.058907840529127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22.058907840529127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181.40000000000009</v>
      </c>
      <c r="DP71" s="18">
        <f>DO71*VLOOKUP('Données projet'!$B$14,Paramètres!$A$1:$I$89,3,0)*VLOOKUP('Données projet'!$B$14,Paramètres!$A$1:$I$89,5,0)</f>
        <v>172.62024000000008</v>
      </c>
      <c r="DQ71" s="14">
        <f t="shared" si="97"/>
        <v>43.676346747508447</v>
      </c>
      <c r="DR71" s="22">
        <f t="shared" si="70"/>
        <v>376.71655525191062</v>
      </c>
      <c r="DS71" s="62">
        <f t="shared" si="71"/>
        <v>670.04988858524393</v>
      </c>
      <c r="DT71" s="62">
        <f ca="1">AVERAGE(OFFSET($DS$3,0,0,'Données projet'!$E$14+1,1))-AVERAGE(OFFSET($H$3,0,0,'Données projet'!$E$14+1,1))</f>
        <v>309.55876703480277</v>
      </c>
      <c r="DU71" s="62">
        <f t="shared" si="98"/>
        <v>122.43799205838684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10.828226507575438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10.828226507575438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11.9925</v>
      </c>
      <c r="EJ71" s="13">
        <f>IF('Données projet'!$A$192&gt;35,EJ70+EI71-ER70,IF(A71&lt;'Données projet'!$A$192,$EG$205^A71,IF(A71='Données projet'!$A$192,'Données projet'!$B$192,EJ70+EI71-ER70)))</f>
        <v>330.46749999999975</v>
      </c>
      <c r="EK71" s="18">
        <f>EJ71*VLOOKUP('Données projet'!$B$15,Paramètres!$A$1:$I$89,3,0)*VLOOKUP('Données projet'!$B$15,Paramètres!$A$1:$I$89,5,0)</f>
        <v>154.65878999999987</v>
      </c>
      <c r="EL71" s="14">
        <f t="shared" si="99"/>
        <v>39.635420362777175</v>
      </c>
      <c r="EM71" s="22">
        <f t="shared" si="73"/>
        <v>338.39574971516998</v>
      </c>
      <c r="EN71" s="62">
        <f t="shared" si="74"/>
        <v>631.7290830485033</v>
      </c>
      <c r="EO71" s="62">
        <f ca="1">AVERAGE(OFFSET($EN$3,0,0,'Données projet'!$E$15+1,1))-AVERAGE(OFFSET($H$3,0,0,'Données projet'!$E$15+1,1))</f>
        <v>301.04834785168049</v>
      </c>
      <c r="EP71" s="62">
        <f t="shared" si="100"/>
        <v>164.1450425611464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17.289813647549281</v>
      </c>
      <c r="EW71" s="23">
        <f>EXP(-LN(2)/25)*EW70+(1-EXP(-LN(2)/25))/(LN(2)/25)*Calculateur!ER71*Calculateur!ET71*VLOOKUP('Données projet'!$B$15,Paramètres!$A$1:$I$89,3,0)*0.475*44/12</f>
        <v>27.310436881937253</v>
      </c>
      <c r="EX71" s="23">
        <f>EXP(-LN(2)/2)*EX70+(1-EXP(-LN(2)/2))/(LN(2)/2)*ER71*EU71*VLOOKUP('Données projet'!$B$15,Paramètres!$A$1:$I$89,3,0)*0.475*44/12</f>
        <v>1.5425594284247048</v>
      </c>
      <c r="EY71" s="24">
        <f t="shared" si="75"/>
        <v>46.142809957911233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6.4933333333333296</v>
      </c>
      <c r="FE71" s="13">
        <f>IF('Données projet'!$A$218&gt;35,FE70+FD71-FM70,IF(A71&lt;'Données projet'!$A$218,$FB$205^A71,IF(A71='Données projet'!$A$218,'Données projet'!$B$218,FE70+FD71-FM70)))</f>
        <v>171.07666666666637</v>
      </c>
      <c r="FF71" s="18">
        <f>FE71*VLOOKUP('Données projet'!$B$16,Paramètres!$A$1:$I$89,3,0)*VLOOKUP('Données projet'!$B$16,Paramètres!$A$1:$I$89,5,0)</f>
        <v>154.79016799999974</v>
      </c>
      <c r="FG71" s="14">
        <f t="shared" si="101"/>
        <v>39.665168909129306</v>
      </c>
      <c r="FH71" s="22">
        <f t="shared" si="76"/>
        <v>338.67637845006647</v>
      </c>
      <c r="FI71" s="62">
        <f t="shared" si="77"/>
        <v>632.00971178339978</v>
      </c>
      <c r="FJ71" s="62">
        <f ca="1">AVERAGE(OFFSET($FI$3,0,0,'Données projet'!$E$16+1,1))-AVERAGE(OFFSET($H$3,0,0,'Données projet'!$E$16+1,1))</f>
        <v>330.53726676433649</v>
      </c>
      <c r="FK71" s="62">
        <f t="shared" si="102"/>
        <v>228.01260676706528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5.1273802722986526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5.1273802722986526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6.4933333333333296</v>
      </c>
      <c r="FZ71" s="13">
        <f>IF('Données projet'!$A$244&gt;35,FZ70+FY71-GH70,IF(A71&lt;'Données projet'!$A$244,$FW$205^A71,IF(A71='Données projet'!$A$244,'Données projet'!$B$244,FZ70+FY71-GH70)))</f>
        <v>171.07666666666637</v>
      </c>
      <c r="GA71" s="18">
        <f>FZ71*VLOOKUP('Données projet'!$B$17,Paramètres!$A$1:$I$89,3,0)*VLOOKUP('Données projet'!$B$17,Paramètres!$A$1:$I$89,5,0)</f>
        <v>194.82210799999967</v>
      </c>
      <c r="GB71" s="14">
        <f t="shared" si="103"/>
        <v>48.604492417915274</v>
      </c>
      <c r="GC71" s="22">
        <f t="shared" si="79"/>
        <v>423.96799572786853</v>
      </c>
      <c r="GD71" s="62">
        <f t="shared" si="80"/>
        <v>717.30132906120184</v>
      </c>
      <c r="GE71" s="62">
        <f ca="1">AVERAGE(OFFSET($GD$3,0,0,'Données projet'!$E$17+1,1))-AVERAGE(OFFSET($H$3,0,0,'Données projet'!$E$17+1,1))</f>
        <v>405.71017054131318</v>
      </c>
      <c r="GF71" s="62">
        <f t="shared" si="104"/>
        <v>276.12900965322166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6.4534268944448554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6.4534268944448554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6.4933333333333296</v>
      </c>
      <c r="GU71" s="13">
        <f>IF('Données projet'!$A$270&gt;35,GU70+GT71-HC70,IF(A71&lt;'Données projet'!$A$270,$GR$205^A71,IF(A71='Données projet'!$A$270,'Données projet'!$B$270,GU70+GT71-HC70)))</f>
        <v>171.07666666666637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8.8662500000000044</v>
      </c>
      <c r="N72" s="14">
        <f>IF('Données projet'!$A$36&gt;35,N71+M72-V71,IF(A72&lt;'Données projet'!$A$36,$K$205^A72,IF(A72='Données projet'!$A$36,'Données projet'!$B$36,N71+M72-V71)))</f>
        <v>241.64875000000015</v>
      </c>
      <c r="O72" s="14">
        <f>N72*VLOOKUP('Données projet'!$B$9,Paramètres!$A$1:$I$89,3,0)*VLOOKUP('Données projet'!$B$9,Paramètres!$A$1:$I$89,5,0)</f>
        <v>218.64378900000014</v>
      </c>
      <c r="P72" s="14">
        <f t="shared" si="87"/>
        <v>53.820013961218514</v>
      </c>
      <c r="Q72" s="22">
        <f t="shared" si="54"/>
        <v>474.54112349078923</v>
      </c>
      <c r="R72" s="62">
        <f t="shared" si="55"/>
        <v>767.87445682412249</v>
      </c>
      <c r="S72" s="62">
        <f ca="1">AVERAGE(OFFSET($R$3,0,0,'Données projet'!$E$9+1,1))-AVERAGE(OFFSET($H$3,0,0,'Données projet'!$E$9+1,1))</f>
        <v>452.54136967045082</v>
      </c>
      <c r="T72" s="62">
        <f t="shared" si="88"/>
        <v>269.67340993773422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18.08240587056946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18.08240587056946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478.64</v>
      </c>
      <c r="AG72" s="13">
        <f>VLOOKUP(A72,'Données projet'!$A$61:$I$81,9,0)</f>
        <v>11.949999999999996</v>
      </c>
      <c r="AH72" s="13">
        <f t="array" ref="AH72">INDEX(AG:AG,MIN(IF(ISNUMBER(AG72:AG268),ROW(AG72:AG268),"")))</f>
        <v>11.949999999999996</v>
      </c>
      <c r="AI72" s="14">
        <f>IF('Données projet'!$A$62&gt;35,AI71+AH72-AQ71,IF(A72&lt;'Données projet'!$A$62,$AF$205^A72,IF(A72='Données projet'!$A$62,'Données projet'!$B$62,AI71+AH72-AQ71)))</f>
        <v>478.6400000000001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 t="e">
        <f>IF(ISNA(VLOOKUP(A72,'Données projet'!$A$61:$I$81,5,0)),0%,VLOOKUP(A72,'Données projet'!$A$61:$I$81,5,0)*VLOOKUP('Données projet'!$B$10,Paramètres!$A$1:$I$89,7,0))</f>
        <v>#N/A</v>
      </c>
      <c r="AS72" s="17" t="e">
        <f>IF(ISNA(VLOOKUP(A72,'Données projet'!$A$61:$I$81,6,0)),0%,VLOOKUP(A72,'Données projet'!$A$61:$I$81,6,0)*VLOOKUP('Données projet'!$B$10,Paramètres!$A$1:$I$89,7,0))</f>
        <v>#N/A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8.8662500000000044</v>
      </c>
      <c r="BD72" s="13">
        <f>IF('Données projet'!$A$88&gt;35,BD71+BC72-BL71,IF(A72&lt;'Données projet'!$A$88,$BA$205^A72,IF(A72='Données projet'!$A$88,'Données projet'!$B$88,BD71+BC72-BL71)))</f>
        <v>241.64875000000015</v>
      </c>
      <c r="BE72" s="14">
        <f>BD72*VLOOKUP('Données projet'!$B$11,Paramètres!$A$1:$I$89,3,0)*VLOOKUP('Données projet'!$B$11,Paramètres!$A$1:$I$89,5,0)</f>
        <v>245.03183250000018</v>
      </c>
      <c r="BF72" s="14">
        <f t="shared" si="91"/>
        <v>59.520842912770703</v>
      </c>
      <c r="BG72" s="22">
        <f t="shared" si="61"/>
        <v>530.42924301057599</v>
      </c>
      <c r="BH72" s="62">
        <f t="shared" si="62"/>
        <v>823.76257634390936</v>
      </c>
      <c r="BI72" s="62">
        <f ca="1">AVERAGE(OFFSET($BH$3,0,0,'Données projet'!$E$11+1,1))-AVERAGE(OFFSET($H$3,0,0,'Données projet'!$E$11+1,1))</f>
        <v>502.06005292569733</v>
      </c>
      <c r="BJ72" s="62">
        <f t="shared" si="92"/>
        <v>297.06786598620607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20.264765199776132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20.264765199776132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2.1779999999999999</v>
      </c>
      <c r="BY72" s="13">
        <f>IF('Données projet'!$A$114&gt;35,BY71+BX72-CG71,IF(A72&lt;'Données projet'!$A$114,$BV$205^A72,IF(A72='Données projet'!$A$114,'Données projet'!$B$114,BY71+BX72-CG71)))</f>
        <v>115.77200000000001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-5.1431925385259088E-14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204.787338911576</v>
      </c>
      <c r="CZ72" s="62">
        <f t="shared" si="96"/>
        <v>287.24932051638558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21.626346112381601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21.626346112381601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188.2000000000001</v>
      </c>
      <c r="DP72" s="18">
        <f>DO72*VLOOKUP('Données projet'!$B$14,Paramètres!$A$1:$I$89,3,0)*VLOOKUP('Données projet'!$B$14,Paramètres!$A$1:$I$89,5,0)</f>
        <v>179.0911200000001</v>
      </c>
      <c r="DQ72" s="14">
        <f t="shared" si="97"/>
        <v>45.119917576309504</v>
      </c>
      <c r="DR72" s="22">
        <f t="shared" si="70"/>
        <v>390.5008904454059</v>
      </c>
      <c r="DS72" s="62">
        <f t="shared" si="71"/>
        <v>683.83422377873922</v>
      </c>
      <c r="DT72" s="62">
        <f ca="1">AVERAGE(OFFSET($DS$3,0,0,'Données projet'!$E$14+1,1))-AVERAGE(OFFSET($H$3,0,0,'Données projet'!$E$14+1,1))</f>
        <v>309.55876703480277</v>
      </c>
      <c r="DU72" s="62">
        <f t="shared" si="98"/>
        <v>122.43799205838684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10.615891590327907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10.615891590327907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11.9925</v>
      </c>
      <c r="EJ72" s="13">
        <f>IF('Données projet'!$A$192&gt;35,EJ71+EI72-ER71,IF(A72&lt;'Données projet'!$A$192,$EG$205^A72,IF(A72='Données projet'!$A$192,'Données projet'!$B$192,EJ71+EI72-ER71)))</f>
        <v>342.45999999999975</v>
      </c>
      <c r="EK72" s="18">
        <f>EJ72*VLOOKUP('Données projet'!$B$15,Paramètres!$A$1:$I$89,3,0)*VLOOKUP('Données projet'!$B$15,Paramètres!$A$1:$I$89,5,0)</f>
        <v>160.27127999999988</v>
      </c>
      <c r="EL72" s="14">
        <f t="shared" si="99"/>
        <v>40.90369733382321</v>
      </c>
      <c r="EM72" s="22">
        <f t="shared" si="73"/>
        <v>350.37975218974185</v>
      </c>
      <c r="EN72" s="62">
        <f t="shared" si="74"/>
        <v>643.71308552307516</v>
      </c>
      <c r="EO72" s="62">
        <f ca="1">AVERAGE(OFFSET($EN$3,0,0,'Données projet'!$E$15+1,1))-AVERAGE(OFFSET($H$3,0,0,'Données projet'!$E$15+1,1))</f>
        <v>301.04834785168049</v>
      </c>
      <c r="EP72" s="62">
        <f t="shared" si="100"/>
        <v>164.1450425611464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16.950770947665859</v>
      </c>
      <c r="EW72" s="23">
        <f>EXP(-LN(2)/25)*EW71+(1-EXP(-LN(2)/25))/(LN(2)/25)*Calculateur!ER72*Calculateur!ET72*VLOOKUP('Données projet'!$B$15,Paramètres!$A$1:$I$89,3,0)*0.475*44/12</f>
        <v>26.563631549207223</v>
      </c>
      <c r="EX72" s="23">
        <f>EXP(-LN(2)/2)*EX71+(1-EXP(-LN(2)/2))/(LN(2)/2)*ER72*EU72*VLOOKUP('Données projet'!$B$15,Paramètres!$A$1:$I$89,3,0)*0.475*44/12</f>
        <v>1.0907542322223536</v>
      </c>
      <c r="EY72" s="24">
        <f t="shared" si="75"/>
        <v>44.605156729095434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177.57</v>
      </c>
      <c r="FC72" s="13">
        <f>VLOOKUP(A72,'Données projet'!$A$217:$I$237,9,0)</f>
        <v>6.4933333333333296</v>
      </c>
      <c r="FD72" s="13">
        <f t="array" ref="FD72">INDEX(FC:FC,MIN(IF(ISNUMBER(FC72:FC268),ROW(FC72:FC268),"")))</f>
        <v>6.4933333333333296</v>
      </c>
      <c r="FE72" s="13">
        <f>IF('Données projet'!$A$218&gt;35,FE71+FD72-FM71,IF(A72&lt;'Données projet'!$A$218,$FB$205^A72,IF(A72='Données projet'!$A$218,'Données projet'!$B$218,FE71+FD72-FM71)))</f>
        <v>177.56999999999971</v>
      </c>
      <c r="FF72" s="18">
        <f>FE72*VLOOKUP('Données projet'!$B$16,Paramètres!$A$1:$I$89,3,0)*VLOOKUP('Données projet'!$B$16,Paramètres!$A$1:$I$89,5,0)</f>
        <v>160.66533599999974</v>
      </c>
      <c r="FG72" s="14">
        <f t="shared" si="101"/>
        <v>40.992547535801783</v>
      </c>
      <c r="FH72" s="22">
        <f t="shared" si="76"/>
        <v>351.2208138248543</v>
      </c>
      <c r="FI72" s="62">
        <f t="shared" si="77"/>
        <v>644.55414715818756</v>
      </c>
      <c r="FJ72" s="62">
        <f ca="1">AVERAGE(OFFSET($FI$3,0,0,'Données projet'!$E$16+1,1))-AVERAGE(OFFSET($H$3,0,0,'Données projet'!$E$16+1,1))</f>
        <v>330.53726676433649</v>
      </c>
      <c r="FK72" s="62">
        <f t="shared" si="102"/>
        <v>228.01260676706528</v>
      </c>
      <c r="FL72" s="16">
        <f>IF(ISNA(VLOOKUP(A72,'Données projet'!$A$217:$I$237,3,0)),0,VLOOKUP(A72,'Données projet'!$A$217:$I$237,3,0))</f>
        <v>2</v>
      </c>
      <c r="FM72" s="16">
        <f>IF(ISNA(VLOOKUP(A72,'Données projet'!$A$217:$I$237,4,0)),0,VLOOKUP(A72,'Données projet'!$A$217:$I$237,4,0))</f>
        <v>39.35</v>
      </c>
      <c r="FN72" s="17">
        <f>IF(ISNA(VLOOKUP(A72,'Données projet'!$A$217:$I$237,5,0)),0%,VLOOKUP(A72,'Données projet'!$A$217:$I$237,5,0)*VLOOKUP('Données projet'!$B$16,Paramètres!$A$1:$I$89,7,0))</f>
        <v>0.129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10.104150953553523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10.104150953553523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>
        <f>VLOOKUP(A72,'Données projet'!$A$243:$I$263,2,0)</f>
        <v>177.57</v>
      </c>
      <c r="FX72" s="13">
        <f>VLOOKUP(A72,'Données projet'!$A$243:$I$263,9,0)</f>
        <v>6.4933333333333296</v>
      </c>
      <c r="FY72" s="13">
        <f t="array" ref="FY72">INDEX(FX:FX,MIN(IF(ISNUMBER(FX72:FX268),ROW(FX72:FX268),"")))</f>
        <v>6.4933333333333296</v>
      </c>
      <c r="FZ72" s="13">
        <f>IF('Données projet'!$A$244&gt;35,FZ71+FY72-GH71,IF(A72&lt;'Données projet'!$A$244,$FW$205^A72,IF(A72='Données projet'!$A$244,'Données projet'!$B$244,FZ71+FY72-GH71)))</f>
        <v>177.56999999999971</v>
      </c>
      <c r="GA72" s="18">
        <f>FZ72*VLOOKUP('Données projet'!$B$17,Paramètres!$A$1:$I$89,3,0)*VLOOKUP('Données projet'!$B$17,Paramètres!$A$1:$I$89,5,0)</f>
        <v>202.21671599999968</v>
      </c>
      <c r="GB72" s="14">
        <f t="shared" si="103"/>
        <v>50.23102184335675</v>
      </c>
      <c r="GC72" s="22">
        <f t="shared" si="79"/>
        <v>439.67981007717913</v>
      </c>
      <c r="GD72" s="62">
        <f t="shared" si="80"/>
        <v>733.01314341051238</v>
      </c>
      <c r="GE72" s="62">
        <f ca="1">AVERAGE(OFFSET($GD$3,0,0,'Données projet'!$E$17+1,1))-AVERAGE(OFFSET($H$3,0,0,'Données projet'!$E$17+1,1))</f>
        <v>405.71017054131318</v>
      </c>
      <c r="GF72" s="62">
        <f t="shared" si="104"/>
        <v>276.12900965322166</v>
      </c>
      <c r="GG72" s="16">
        <f>IF(ISNA(VLOOKUP(A72,'Données projet'!$A$243:$I$263,3,0)),0,VLOOKUP(A72,'Données projet'!$A$243:$I$263,3,0))</f>
        <v>2</v>
      </c>
      <c r="GH72" s="16">
        <f>IF(ISNA(VLOOKUP(A72,'Données projet'!$A$243:$I$263,4,0)),0,VLOOKUP(A72,'Données projet'!$A$243:$I$263,4,0))</f>
        <v>39.35</v>
      </c>
      <c r="GI72" s="17">
        <f>IF(ISNA(VLOOKUP(A72,'Données projet'!$A$243:$I$263,5,0)),0%,VLOOKUP(A72,'Données projet'!$A$243:$I$263,5,0)*VLOOKUP('Données projet'!$B$17,Paramètres!$A$1:$I$89,7,0))</f>
        <v>0.129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12.717293441541504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12.717293441541504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>
        <f>VLOOKUP(A72,'Données projet'!$A$269:$I$289,2,0)</f>
        <v>177.57</v>
      </c>
      <c r="GS72" s="13">
        <f>VLOOKUP(A72,'Données projet'!$A$269:$I$289,9,0)</f>
        <v>6.4933333333333296</v>
      </c>
      <c r="GT72" s="13">
        <f t="array" ref="GT72">INDEX(GS:GS,MIN(IF(ISNUMBER(GS72:GS268),ROW(GS72:GS268),"")))</f>
        <v>6.4933333333333296</v>
      </c>
      <c r="GU72" s="13">
        <f>IF('Données projet'!$A$270&gt;35,GU71+GT72-HC71,IF(A72&lt;'Données projet'!$A$270,$GR$205^A72,IF(A72='Données projet'!$A$270,'Données projet'!$B$270,GU71+GT72-HC71)))</f>
        <v>177.56999999999971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2</v>
      </c>
      <c r="HC72" s="16">
        <f>IF(ISNA(VLOOKUP(A72,'Données projet'!$A$269:$I$289,4,0)),0,VLOOKUP(A72,'Données projet'!$A$269:$I$289,4,0))</f>
        <v>39.35</v>
      </c>
      <c r="HD72" s="17" t="e">
        <f>IF(ISNA(VLOOKUP(A72,'Données projet'!$A$269:$I$289,5,0)),0%,VLOOKUP(A72,'Données projet'!$A$269:$I$289,5,0)*VLOOKUP('Données projet'!$B$18,Paramètres!$A$1:$I$89,7,0))</f>
        <v>#N/A</v>
      </c>
      <c r="HE72" s="17" t="e">
        <f>IF(ISNA(VLOOKUP(A72,'Données projet'!$A$269:$I$289,6,0)),0%,VLOOKUP(A72,'Données projet'!$A$269:$I$289,6,0)*VLOOKUP('Données projet'!$B$18,Paramètres!$A$1:$I$89,7,0))</f>
        <v>#N/A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8.8662500000000044</v>
      </c>
      <c r="N73" s="14">
        <f>IF('Données projet'!$A$36&gt;35,N72+M73-V72,IF(A73&lt;'Données projet'!$A$36,$K$205^A73,IF(A73='Données projet'!$A$36,'Données projet'!$B$36,N72+M73-V72)))</f>
        <v>250.51500000000016</v>
      </c>
      <c r="O73" s="14">
        <f>N73*VLOOKUP('Données projet'!$B$9,Paramètres!$A$1:$I$89,3,0)*VLOOKUP('Données projet'!$B$9,Paramètres!$A$1:$I$89,5,0)</f>
        <v>226.66597200000012</v>
      </c>
      <c r="P73" s="14">
        <f t="shared" si="87"/>
        <v>55.561175235972904</v>
      </c>
      <c r="Q73" s="22">
        <f t="shared" si="54"/>
        <v>491.54561476931968</v>
      </c>
      <c r="R73" s="62">
        <f t="shared" si="55"/>
        <v>784.878948102653</v>
      </c>
      <c r="S73" s="62">
        <f ca="1">AVERAGE(OFFSET($R$3,0,0,'Données projet'!$E$9+1,1))-AVERAGE(OFFSET($H$3,0,0,'Données projet'!$E$9+1,1))</f>
        <v>452.54136967045082</v>
      </c>
      <c r="T73" s="62">
        <f t="shared" si="88"/>
        <v>269.67340993773422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17.727820920626133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17.727820920626133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490.06</v>
      </c>
      <c r="AG73" s="13">
        <f>VLOOKUP(A73,'Données projet'!$A$61:$I$81,9,0)</f>
        <v>11.420000000000016</v>
      </c>
      <c r="AH73" s="13">
        <f t="array" ref="AH73">INDEX(AG:AG,MIN(IF(ISNUMBER(AG73:AG269),ROW(AG73:AG269),"")))</f>
        <v>11.420000000000016</v>
      </c>
      <c r="AI73" s="14">
        <f>IF('Données projet'!$A$62&gt;35,AI72+AH73-AQ72,IF(A73&lt;'Données projet'!$A$62,$AF$205^A73,IF(A73='Données projet'!$A$62,'Données projet'!$B$62,AI72+AH73-AQ72)))</f>
        <v>490.06000000000012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67.88</v>
      </c>
      <c r="AR73" s="17" t="e">
        <f>IF(ISNA(VLOOKUP(A73,'Données projet'!$A$61:$I$81,5,0)),0%,VLOOKUP(A73,'Données projet'!$A$61:$I$81,5,0)*VLOOKUP('Données projet'!$B$10,Paramètres!$A$1:$I$89,7,0))</f>
        <v>#N/A</v>
      </c>
      <c r="AS73" s="17" t="e">
        <f>IF(ISNA(VLOOKUP(A73,'Données projet'!$A$61:$I$81,6,0)),0%,VLOOKUP(A73,'Données projet'!$A$61:$I$81,6,0)*VLOOKUP('Données projet'!$B$10,Paramètres!$A$1:$I$89,7,0))</f>
        <v>#N/A</v>
      </c>
      <c r="AT73" s="17">
        <f>IF(ISNA(VLOOKUP(A73,'Données projet'!$A$61:$I$81,7,0)),0%,VLOOKUP(A73,'Données projet'!$A$61:$I$81,7,0))</f>
        <v>0.13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8.8662500000000044</v>
      </c>
      <c r="BD73" s="13">
        <f>IF('Données projet'!$A$88&gt;35,BD72+BC73-BL72,IF(A73&lt;'Données projet'!$A$88,$BA$205^A73,IF(A73='Données projet'!$A$88,'Données projet'!$B$88,BD72+BC73-BL72)))</f>
        <v>250.51500000000016</v>
      </c>
      <c r="BE73" s="14">
        <f>BD73*VLOOKUP('Données projet'!$B$11,Paramètres!$A$1:$I$89,3,0)*VLOOKUP('Données projet'!$B$11,Paramètres!$A$1:$I$89,5,0)</f>
        <v>254.02221000000017</v>
      </c>
      <c r="BF73" s="14">
        <f t="shared" si="91"/>
        <v>61.446434882983361</v>
      </c>
      <c r="BG73" s="22">
        <f t="shared" si="61"/>
        <v>549.44122317119627</v>
      </c>
      <c r="BH73" s="62">
        <f t="shared" si="62"/>
        <v>842.77455650452953</v>
      </c>
      <c r="BI73" s="62">
        <f ca="1">AVERAGE(OFFSET($BH$3,0,0,'Données projet'!$E$11+1,1))-AVERAGE(OFFSET($H$3,0,0,'Données projet'!$E$11+1,1))</f>
        <v>502.06005292569733</v>
      </c>
      <c r="BJ73" s="62">
        <f t="shared" si="92"/>
        <v>297.06786598620607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19.867385514494817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19.867385514494817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117.95</v>
      </c>
      <c r="BW73" s="13">
        <f>VLOOKUP(A73,'Données projet'!$A$113:$I$133,9,0)</f>
        <v>2.1779999999999999</v>
      </c>
      <c r="BX73" s="13">
        <f t="array" ref="BX73">INDEX(BW:BW,MIN(IF(ISNUMBER(BW73:BW269),ROW(BW73:BW269),"")))</f>
        <v>2.1779999999999999</v>
      </c>
      <c r="BY73" s="13">
        <f>IF('Données projet'!$A$114&gt;35,BY72+BX73-CG72,IF(A73&lt;'Données projet'!$A$114,$BV$205^A73,IF(A73='Données projet'!$A$114,'Données projet'!$B$114,BY72+BX73-CG72)))</f>
        <v>117.95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7.69</v>
      </c>
      <c r="CH73" s="17" t="e">
        <f>IF(ISNA(VLOOKUP(A73,'Données projet'!$A$113:$I$133,5,0)),0%,VLOOKUP(A73,'Données projet'!$A$113:$I$133,5,0)*VLOOKUP('Données projet'!$B$12,Paramètres!$A$1:$I$89,7,0))</f>
        <v>#N/A</v>
      </c>
      <c r="CI73" s="17" t="e">
        <f>IF(ISNA(VLOOKUP(A73,'Données projet'!$A$113:$I$133,6,0)),0%,VLOOKUP(A73,'Données projet'!$A$113:$I$133,6,0)*VLOOKUP('Données projet'!$B$12,Paramètres!$A$1:$I$89,7,0))</f>
        <v>#N/A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-5.1431925385259088E-14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204.787338911576</v>
      </c>
      <c r="CZ73" s="62">
        <f t="shared" si="96"/>
        <v>287.24932051638558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21.202266655886447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21.202266655886447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195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195.00000000000011</v>
      </c>
      <c r="DP73" s="18">
        <f>DO73*VLOOKUP('Données projet'!$B$14,Paramètres!$A$1:$I$89,3,0)*VLOOKUP('Données projet'!$B$14,Paramètres!$A$1:$I$89,5,0)</f>
        <v>185.5620000000001</v>
      </c>
      <c r="DQ73" s="14">
        <f t="shared" si="97"/>
        <v>46.557428480028591</v>
      </c>
      <c r="DR73" s="22">
        <f t="shared" si="70"/>
        <v>404.2746712693833</v>
      </c>
      <c r="DS73" s="62">
        <f t="shared" si="71"/>
        <v>697.60800460271662</v>
      </c>
      <c r="DT73" s="62">
        <f ca="1">AVERAGE(OFFSET($DS$3,0,0,'Données projet'!$E$14+1,1))-AVERAGE(OFFSET($H$3,0,0,'Données projet'!$E$14+1,1))</f>
        <v>309.55876703480277</v>
      </c>
      <c r="DU73" s="62">
        <f t="shared" si="98"/>
        <v>122.43799205838684</v>
      </c>
      <c r="DV73" s="16">
        <f>IF(ISNA(VLOOKUP(A73,'Données projet'!$A$165:$I$185,3,0)),0,VLOOKUP(A73,'Données projet'!$A$165:$I$185,3,0))</f>
        <v>7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0.215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15.157345174729539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15.157345174729539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11.9925</v>
      </c>
      <c r="EJ73" s="13">
        <f>IF('Données projet'!$A$192&gt;35,EJ72+EI73-ER72,IF(A73&lt;'Données projet'!$A$192,$EG$205^A73,IF(A73='Données projet'!$A$192,'Données projet'!$B$192,EJ72+EI73-ER72)))</f>
        <v>354.45249999999976</v>
      </c>
      <c r="EK73" s="18">
        <f>EJ73*VLOOKUP('Données projet'!$B$15,Paramètres!$A$1:$I$89,3,0)*VLOOKUP('Données projet'!$B$15,Paramètres!$A$1:$I$89,5,0)</f>
        <v>165.88376999999988</v>
      </c>
      <c r="EL73" s="14">
        <f t="shared" si="99"/>
        <v>42.166813993490919</v>
      </c>
      <c r="EM73" s="22">
        <f t="shared" si="73"/>
        <v>362.35476712199647</v>
      </c>
      <c r="EN73" s="62">
        <f t="shared" si="74"/>
        <v>655.68810045532973</v>
      </c>
      <c r="EO73" s="62">
        <f ca="1">AVERAGE(OFFSET($EN$3,0,0,'Données projet'!$E$15+1,1))-AVERAGE(OFFSET($H$3,0,0,'Données projet'!$E$15+1,1))</f>
        <v>301.04834785168049</v>
      </c>
      <c r="EP73" s="62">
        <f t="shared" si="100"/>
        <v>164.1450425611464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16.618376668331525</v>
      </c>
      <c r="EW73" s="23">
        <f>EXP(-LN(2)/25)*EW72+(1-EXP(-LN(2)/25))/(LN(2)/25)*Calculateur!ER73*Calculateur!ET73*VLOOKUP('Données projet'!$B$15,Paramètres!$A$1:$I$89,3,0)*0.475*44/12</f>
        <v>25.837247647573481</v>
      </c>
      <c r="EX73" s="23">
        <f>EXP(-LN(2)/2)*EX72+(1-EXP(-LN(2)/2))/(LN(2)/2)*ER73*EU73*VLOOKUP('Données projet'!$B$15,Paramètres!$A$1:$I$89,3,0)*0.475*44/12</f>
        <v>0.77127971421235242</v>
      </c>
      <c r="EY73" s="24">
        <f t="shared" si="75"/>
        <v>43.22690403011736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6.1312500000000014</v>
      </c>
      <c r="FE73" s="13">
        <f>IF('Données projet'!$A$218&gt;35,FE72+FD73-FM72,IF(A73&lt;'Données projet'!$A$218,$FB$205^A73,IF(A73='Données projet'!$A$218,'Données projet'!$B$218,FE72+FD73-FM72)))</f>
        <v>144.35124999999971</v>
      </c>
      <c r="FF73" s="18">
        <f>FE73*VLOOKUP('Données projet'!$B$16,Paramètres!$A$1:$I$89,3,0)*VLOOKUP('Données projet'!$B$16,Paramètres!$A$1:$I$89,5,0)</f>
        <v>130.60901099999975</v>
      </c>
      <c r="FG73" s="14">
        <f t="shared" si="101"/>
        <v>34.137045591683581</v>
      </c>
      <c r="FH73" s="22">
        <f t="shared" si="76"/>
        <v>286.93271523051516</v>
      </c>
      <c r="FI73" s="62">
        <f t="shared" si="77"/>
        <v>580.26604856384847</v>
      </c>
      <c r="FJ73" s="62">
        <f ca="1">AVERAGE(OFFSET($FI$3,0,0,'Données projet'!$E$16+1,1))-AVERAGE(OFFSET($H$3,0,0,'Données projet'!$E$16+1,1))</f>
        <v>330.53726676433649</v>
      </c>
      <c r="FK73" s="62">
        <f t="shared" si="102"/>
        <v>228.01260676706528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9.9060147162778822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9.9060147162778822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6.1312500000000014</v>
      </c>
      <c r="FZ73" s="13">
        <f>IF('Données projet'!$A$244&gt;35,FZ72+FY73-GH72,IF(A73&lt;'Données projet'!$A$244,$FW$205^A73,IF(A73='Données projet'!$A$244,'Données projet'!$B$244,FZ72+FY73-GH72)))</f>
        <v>144.35124999999971</v>
      </c>
      <c r="GA73" s="18">
        <f>FZ73*VLOOKUP('Données projet'!$B$17,Paramètres!$A$1:$I$89,3,0)*VLOOKUP('Données projet'!$B$17,Paramètres!$A$1:$I$89,5,0)</f>
        <v>164.38720349999969</v>
      </c>
      <c r="GB73" s="14">
        <f t="shared" si="103"/>
        <v>41.830498123736199</v>
      </c>
      <c r="GC73" s="22">
        <f t="shared" si="79"/>
        <v>359.16249699467335</v>
      </c>
      <c r="GD73" s="62">
        <f t="shared" si="80"/>
        <v>652.4958303280066</v>
      </c>
      <c r="GE73" s="62">
        <f ca="1">AVERAGE(OFFSET($GD$3,0,0,'Données projet'!$E$17+1,1))-AVERAGE(OFFSET($H$3,0,0,'Données projet'!$E$17+1,1))</f>
        <v>405.71017054131318</v>
      </c>
      <c r="GF73" s="62">
        <f t="shared" si="104"/>
        <v>276.12900965322166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12.467915073935956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12.467915073935956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6.1312500000000014</v>
      </c>
      <c r="GU73" s="13">
        <f>IF('Données projet'!$A$270&gt;35,GU72+GT73-HC72,IF(A73&lt;'Données projet'!$A$270,$GR$205^A73,IF(A73='Données projet'!$A$270,'Données projet'!$B$270,GU72+GT73-HC72)))</f>
        <v>144.35124999999971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8.8662500000000044</v>
      </c>
      <c r="N74" s="14">
        <f>IF('Données projet'!$A$36&gt;35,N73+M74-V73,IF(A74&lt;'Données projet'!$A$36,$K$205^A74,IF(A74='Données projet'!$A$36,'Données projet'!$B$36,N73+M74-V73)))</f>
        <v>259.38125000000014</v>
      </c>
      <c r="O74" s="14">
        <f>N74*VLOOKUP('Données projet'!$B$9,Paramètres!$A$1:$I$89,3,0)*VLOOKUP('Données projet'!$B$9,Paramètres!$A$1:$I$89,5,0)</f>
        <v>234.68815500000011</v>
      </c>
      <c r="P74" s="14">
        <f t="shared" si="87"/>
        <v>57.295176729679312</v>
      </c>
      <c r="Q74" s="22">
        <f t="shared" si="54"/>
        <v>508.53763609585832</v>
      </c>
      <c r="R74" s="62">
        <f t="shared" si="55"/>
        <v>801.87096942919163</v>
      </c>
      <c r="S74" s="62">
        <f ca="1">AVERAGE(OFFSET($R$3,0,0,'Données projet'!$E$9+1,1))-AVERAGE(OFFSET($H$3,0,0,'Données projet'!$E$9+1,1))</f>
        <v>452.54136967045082</v>
      </c>
      <c r="T74" s="62">
        <f t="shared" si="88"/>
        <v>269.67340993773422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17.380189165275731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17.380189165275731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9.9125000000000014</v>
      </c>
      <c r="AI74" s="14">
        <f>IF('Données projet'!$A$62&gt;35,AI73+AH74-AQ73,IF(A74&lt;'Données projet'!$A$62,$AF$205^A74,IF(A74='Données projet'!$A$62,'Données projet'!$B$62,AI73+AH74-AQ73)))</f>
        <v>432.09250000000014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8.8662500000000044</v>
      </c>
      <c r="BD74" s="13">
        <f>IF('Données projet'!$A$88&gt;35,BD73+BC74-BL73,IF(A74&lt;'Données projet'!$A$88,$BA$205^A74,IF(A74='Données projet'!$A$88,'Données projet'!$B$88,BD73+BC74-BL73)))</f>
        <v>259.38125000000014</v>
      </c>
      <c r="BE74" s="14">
        <f>BD74*VLOOKUP('Données projet'!$B$11,Paramètres!$A$1:$I$89,3,0)*VLOOKUP('Données projet'!$B$11,Paramètres!$A$1:$I$89,5,0)</f>
        <v>263.01258750000017</v>
      </c>
      <c r="BF74" s="14">
        <f t="shared" si="91"/>
        <v>63.364108679793951</v>
      </c>
      <c r="BG74" s="22">
        <f t="shared" si="61"/>
        <v>568.43941251314141</v>
      </c>
      <c r="BH74" s="62">
        <f t="shared" si="62"/>
        <v>861.77274584647466</v>
      </c>
      <c r="BI74" s="62">
        <f ca="1">AVERAGE(OFFSET($BH$3,0,0,'Données projet'!$E$11+1,1))-AVERAGE(OFFSET($H$3,0,0,'Données projet'!$E$11+1,1))</f>
        <v>502.06005292569733</v>
      </c>
      <c r="BJ74" s="62">
        <f t="shared" si="92"/>
        <v>297.06786598620607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19.477798202464193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19.477798202464193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1.9219999999999999</v>
      </c>
      <c r="BY74" s="13">
        <f>IF('Données projet'!$A$114&gt;35,BY73+BX74-CG73,IF(A74&lt;'Données projet'!$A$114,$BV$205^A74,IF(A74='Données projet'!$A$114,'Données projet'!$B$114,BY73+BX74-CG73)))</f>
        <v>112.182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-5.1431925385259088E-14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204.787338911576</v>
      </c>
      <c r="CZ74" s="62">
        <f t="shared" si="96"/>
        <v>287.24932051638558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20.786503138870234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20.786503138870234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180.2000000000001</v>
      </c>
      <c r="DP74" s="18">
        <f>DO74*VLOOKUP('Données projet'!$B$14,Paramètres!$A$1:$I$89,3,0)*VLOOKUP('Données projet'!$B$14,Paramètres!$A$1:$I$89,5,0)</f>
        <v>171.47832000000008</v>
      </c>
      <c r="DQ74" s="14">
        <f t="shared" si="97"/>
        <v>43.420951058513651</v>
      </c>
      <c r="DR74" s="22">
        <f t="shared" si="70"/>
        <v>374.28289709357801</v>
      </c>
      <c r="DS74" s="62">
        <f t="shared" si="71"/>
        <v>667.61623042691133</v>
      </c>
      <c r="DT74" s="62">
        <f ca="1">AVERAGE(OFFSET($DS$3,0,0,'Données projet'!$E$14+1,1))-AVERAGE(OFFSET($H$3,0,0,'Données projet'!$E$14+1,1))</f>
        <v>309.55876703480277</v>
      </c>
      <c r="DU74" s="62">
        <f t="shared" si="98"/>
        <v>122.43799205838684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14.860118880920774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14.860118880920774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11.9925</v>
      </c>
      <c r="EJ74" s="13">
        <f>IF('Données projet'!$A$192&gt;35,EJ73+EI74-ER73,IF(A74&lt;'Données projet'!$A$192,$EG$205^A74,IF(A74='Données projet'!$A$192,'Données projet'!$B$192,EJ73+EI74-ER73)))</f>
        <v>366.44499999999977</v>
      </c>
      <c r="EK74" s="18">
        <f>EJ74*VLOOKUP('Données projet'!$B$15,Paramètres!$A$1:$I$89,3,0)*VLOOKUP('Données projet'!$B$15,Paramètres!$A$1:$I$89,5,0)</f>
        <v>171.49625999999989</v>
      </c>
      <c r="EL74" s="14">
        <f t="shared" si="99"/>
        <v>43.424964949869974</v>
      </c>
      <c r="EM74" s="22">
        <f t="shared" si="73"/>
        <v>374.32113345435664</v>
      </c>
      <c r="EN74" s="62">
        <f t="shared" si="74"/>
        <v>667.6544667876899</v>
      </c>
      <c r="EO74" s="62">
        <f ca="1">AVERAGE(OFFSET($EN$3,0,0,'Données projet'!$E$15+1,1))-AVERAGE(OFFSET($H$3,0,0,'Données projet'!$E$15+1,1))</f>
        <v>301.04834785168049</v>
      </c>
      <c r="EP74" s="62">
        <f t="shared" si="100"/>
        <v>164.1450425611464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16.292500438074445</v>
      </c>
      <c r="EW74" s="23">
        <f>EXP(-LN(2)/25)*EW73+(1-EXP(-LN(2)/25))/(LN(2)/25)*Calculateur!ER74*Calculateur!ET74*VLOOKUP('Données projet'!$B$15,Paramètres!$A$1:$I$89,3,0)*0.475*44/12</f>
        <v>25.130726751928783</v>
      </c>
      <c r="EX74" s="23">
        <f>EXP(-LN(2)/2)*EX73+(1-EXP(-LN(2)/2))/(LN(2)/2)*ER74*EU74*VLOOKUP('Données projet'!$B$15,Paramètres!$A$1:$I$89,3,0)*0.475*44/12</f>
        <v>0.54537711611117679</v>
      </c>
      <c r="EY74" s="24">
        <f t="shared" si="75"/>
        <v>41.968604306114408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6.1312500000000014</v>
      </c>
      <c r="FE74" s="13">
        <f>IF('Données projet'!$A$218&gt;35,FE73+FD74-FM73,IF(A74&lt;'Données projet'!$A$218,$FB$205^A74,IF(A74='Données projet'!$A$218,'Données projet'!$B$218,FE73+FD74-FM73)))</f>
        <v>150.4824999999997</v>
      </c>
      <c r="FF74" s="18">
        <f>FE74*VLOOKUP('Données projet'!$B$16,Paramètres!$A$1:$I$89,3,0)*VLOOKUP('Données projet'!$B$16,Paramètres!$A$1:$I$89,5,0)</f>
        <v>136.15656599999974</v>
      </c>
      <c r="FG74" s="14">
        <f t="shared" si="101"/>
        <v>35.415107352593104</v>
      </c>
      <c r="FH74" s="22">
        <f t="shared" si="76"/>
        <v>298.82066442243251</v>
      </c>
      <c r="FI74" s="62">
        <f t="shared" si="77"/>
        <v>592.15399775576589</v>
      </c>
      <c r="FJ74" s="62">
        <f ca="1">AVERAGE(OFFSET($FI$3,0,0,'Données projet'!$E$16+1,1))-AVERAGE(OFFSET($H$3,0,0,'Données projet'!$E$16+1,1))</f>
        <v>330.53726676433649</v>
      </c>
      <c r="FK74" s="62">
        <f t="shared" si="102"/>
        <v>228.01260676706528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9.7117638097640455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9.7117638097640455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6.1312500000000014</v>
      </c>
      <c r="FZ74" s="13">
        <f>IF('Données projet'!$A$244&gt;35,FZ73+FY74-GH73,IF(A74&lt;'Données projet'!$A$244,$FW$205^A74,IF(A74='Données projet'!$A$244,'Données projet'!$B$244,FZ73+FY74-GH73)))</f>
        <v>150.4824999999997</v>
      </c>
      <c r="GA74" s="18">
        <f>FZ74*VLOOKUP('Données projet'!$B$17,Paramètres!$A$1:$I$89,3,0)*VLOOKUP('Données projet'!$B$17,Paramètres!$A$1:$I$89,5,0)</f>
        <v>171.36947099999966</v>
      </c>
      <c r="GB74" s="14">
        <f t="shared" si="103"/>
        <v>43.396596160783929</v>
      </c>
      <c r="GC74" s="22">
        <f t="shared" si="79"/>
        <v>374.05090030503135</v>
      </c>
      <c r="GD74" s="62">
        <f t="shared" si="80"/>
        <v>667.38423363836466</v>
      </c>
      <c r="GE74" s="62">
        <f ca="1">AVERAGE(OFFSET($GD$3,0,0,'Données projet'!$E$17+1,1))-AVERAGE(OFFSET($H$3,0,0,'Données projet'!$E$17+1,1))</f>
        <v>405.71017054131318</v>
      </c>
      <c r="GF74" s="62">
        <f t="shared" si="104"/>
        <v>276.12900965322166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12.223426864013367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12.223426864013367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6.1312500000000014</v>
      </c>
      <c r="GU74" s="13">
        <f>IF('Données projet'!$A$270&gt;35,GU73+GT74-HC73,IF(A74&lt;'Données projet'!$A$270,$GR$205^A74,IF(A74='Données projet'!$A$270,'Données projet'!$B$270,GU73+GT74-HC73)))</f>
        <v>150.4824999999997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8.8662500000000044</v>
      </c>
      <c r="N75" s="14">
        <f>IF('Données projet'!$A$36&gt;35,N74+M75-V74,IF(A75&lt;'Données projet'!$A$36,$K$205^A75,IF(A75='Données projet'!$A$36,'Données projet'!$B$36,N74+M75-V74)))</f>
        <v>268.24750000000012</v>
      </c>
      <c r="O75" s="14">
        <f>N75*VLOOKUP('Données projet'!$B$9,Paramètres!$A$1:$I$89,3,0)*VLOOKUP('Données projet'!$B$9,Paramètres!$A$1:$I$89,5,0)</f>
        <v>242.71033800000009</v>
      </c>
      <c r="P75" s="14">
        <f t="shared" si="87"/>
        <v>59.022291232778812</v>
      </c>
      <c r="Q75" s="22">
        <f t="shared" si="54"/>
        <v>525.51766258042323</v>
      </c>
      <c r="R75" s="62">
        <f t="shared" si="55"/>
        <v>818.85099591375661</v>
      </c>
      <c r="S75" s="62">
        <f ca="1">AVERAGE(OFFSET($R$3,0,0,'Données projet'!$E$9+1,1))-AVERAGE(OFFSET($H$3,0,0,'Données projet'!$E$9+1,1))</f>
        <v>452.54136967045082</v>
      </c>
      <c r="T75" s="62">
        <f t="shared" si="88"/>
        <v>269.67340993773422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17.039374256613314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17.039374256613314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9.9125000000000014</v>
      </c>
      <c r="AI75" s="14">
        <f>IF('Données projet'!$A$62&gt;35,AI74+AH75-AQ74,IF(A75&lt;'Données projet'!$A$62,$AF$205^A75,IF(A75='Données projet'!$A$62,'Données projet'!$B$62,AI74+AH75-AQ74)))</f>
        <v>442.00500000000017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8.8662500000000044</v>
      </c>
      <c r="BD75" s="13">
        <f>IF('Données projet'!$A$88&gt;35,BD74+BC75-BL74,IF(A75&lt;'Données projet'!$A$88,$BA$205^A75,IF(A75='Données projet'!$A$88,'Données projet'!$B$88,BD74+BC75-BL74)))</f>
        <v>268.24750000000012</v>
      </c>
      <c r="BE75" s="14">
        <f>BD75*VLOOKUP('Données projet'!$B$11,Paramètres!$A$1:$I$89,3,0)*VLOOKUP('Données projet'!$B$11,Paramètres!$A$1:$I$89,5,0)</f>
        <v>272.00296500000013</v>
      </c>
      <c r="BF75" s="14">
        <f t="shared" si="91"/>
        <v>65.274165988687102</v>
      </c>
      <c r="BG75" s="22">
        <f t="shared" si="61"/>
        <v>587.42433647196356</v>
      </c>
      <c r="BH75" s="62">
        <f t="shared" si="62"/>
        <v>880.75766980529693</v>
      </c>
      <c r="BI75" s="62">
        <f ca="1">AVERAGE(OFFSET($BH$3,0,0,'Données projet'!$E$11+1,1))-AVERAGE(OFFSET($H$3,0,0,'Données projet'!$E$11+1,1))</f>
        <v>502.06005292569733</v>
      </c>
      <c r="BJ75" s="62">
        <f t="shared" si="92"/>
        <v>297.06786598620607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19.095850459997692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19.095850459997692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1.9219999999999999</v>
      </c>
      <c r="BY75" s="13">
        <f>IF('Données projet'!$A$114&gt;35,BY74+BX75-CG74,IF(A75&lt;'Données projet'!$A$114,$BV$205^A75,IF(A75='Données projet'!$A$114,'Données projet'!$B$114,BY74+BX75-CG74)))</f>
        <v>114.104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-5.1431925385259088E-14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204.787338911576</v>
      </c>
      <c r="CZ75" s="62">
        <f t="shared" si="96"/>
        <v>287.24932051638558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20.378892490832005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20.378892490832005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186.40000000000009</v>
      </c>
      <c r="DP75" s="18">
        <f>DO75*VLOOKUP('Données projet'!$B$14,Paramètres!$A$1:$I$89,3,0)*VLOOKUP('Données projet'!$B$14,Paramètres!$A$1:$I$89,5,0)</f>
        <v>177.37824000000009</v>
      </c>
      <c r="DQ75" s="14">
        <f t="shared" si="97"/>
        <v>44.738395709564536</v>
      </c>
      <c r="DR75" s="22">
        <f t="shared" si="70"/>
        <v>386.85314052749169</v>
      </c>
      <c r="DS75" s="62">
        <f t="shared" si="71"/>
        <v>680.186473860825</v>
      </c>
      <c r="DT75" s="62">
        <f ca="1">AVERAGE(OFFSET($DS$3,0,0,'Données projet'!$E$14+1,1))-AVERAGE(OFFSET($H$3,0,0,'Données projet'!$E$14+1,1))</f>
        <v>309.55876703480277</v>
      </c>
      <c r="DU75" s="62">
        <f t="shared" si="98"/>
        <v>122.43799205838684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14.568721013443461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14.568721013443461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11.9925</v>
      </c>
      <c r="EJ75" s="13">
        <f>IF('Données projet'!$A$192&gt;35,EJ74+EI75-ER74,IF(A75&lt;'Données projet'!$A$192,$EG$205^A75,IF(A75='Données projet'!$A$192,'Données projet'!$B$192,EJ74+EI75-ER74)))</f>
        <v>378.43749999999977</v>
      </c>
      <c r="EK75" s="18">
        <f>EJ75*VLOOKUP('Données projet'!$B$15,Paramètres!$A$1:$I$89,3,0)*VLOOKUP('Données projet'!$B$15,Paramètres!$A$1:$I$89,5,0)</f>
        <v>177.1087499999999</v>
      </c>
      <c r="EL75" s="14">
        <f t="shared" si="99"/>
        <v>44.678331350330126</v>
      </c>
      <c r="EM75" s="22">
        <f t="shared" si="73"/>
        <v>386.27916668515809</v>
      </c>
      <c r="EN75" s="62">
        <f t="shared" si="74"/>
        <v>679.61250001849135</v>
      </c>
      <c r="EO75" s="62">
        <f ca="1">AVERAGE(OFFSET($EN$3,0,0,'Données projet'!$E$15+1,1))-AVERAGE(OFFSET($H$3,0,0,'Données projet'!$E$15+1,1))</f>
        <v>301.04834785168049</v>
      </c>
      <c r="EP75" s="62">
        <f t="shared" si="100"/>
        <v>164.1450425611464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15.97301444192783</v>
      </c>
      <c r="EW75" s="23">
        <f>EXP(-LN(2)/25)*EW74+(1-EXP(-LN(2)/25))/(LN(2)/25)*Calculateur!ER75*Calculateur!ET75*VLOOKUP('Données projet'!$B$15,Paramètres!$A$1:$I$89,3,0)*0.475*44/12</f>
        <v>24.443525707329808</v>
      </c>
      <c r="EX75" s="23">
        <f>EXP(-LN(2)/2)*EX74+(1-EXP(-LN(2)/2))/(LN(2)/2)*ER75*EU75*VLOOKUP('Données projet'!$B$15,Paramètres!$A$1:$I$89,3,0)*0.475*44/12</f>
        <v>0.38563985710617621</v>
      </c>
      <c r="EY75" s="24">
        <f t="shared" si="75"/>
        <v>40.80218000636382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6.1312500000000014</v>
      </c>
      <c r="FE75" s="13">
        <f>IF('Données projet'!$A$218&gt;35,FE74+FD75-FM74,IF(A75&lt;'Données projet'!$A$218,$FB$205^A75,IF(A75='Données projet'!$A$218,'Données projet'!$B$218,FE74+FD75-FM74)))</f>
        <v>156.6137499999997</v>
      </c>
      <c r="FF75" s="18">
        <f>FE75*VLOOKUP('Données projet'!$B$16,Paramètres!$A$1:$I$89,3,0)*VLOOKUP('Données projet'!$B$16,Paramètres!$A$1:$I$89,5,0)</f>
        <v>141.70412099999973</v>
      </c>
      <c r="FG75" s="14">
        <f t="shared" si="101"/>
        <v>36.687120367673991</v>
      </c>
      <c r="FH75" s="22">
        <f t="shared" si="76"/>
        <v>310.69807871536506</v>
      </c>
      <c r="FI75" s="62">
        <f t="shared" si="77"/>
        <v>604.03141204869837</v>
      </c>
      <c r="FJ75" s="62">
        <f ca="1">AVERAGE(OFFSET($FI$3,0,0,'Données projet'!$E$16+1,1))-AVERAGE(OFFSET($H$3,0,0,'Données projet'!$E$16+1,1))</f>
        <v>330.53726676433649</v>
      </c>
      <c r="FK75" s="62">
        <f t="shared" si="102"/>
        <v>228.01260676706528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9.52132204504559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9.52132204504559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6.1312500000000014</v>
      </c>
      <c r="FZ75" s="13">
        <f>IF('Données projet'!$A$244&gt;35,FZ74+FY75-GH74,IF(A75&lt;'Données projet'!$A$244,$FW$205^A75,IF(A75='Données projet'!$A$244,'Données projet'!$B$244,FZ74+FY75-GH74)))</f>
        <v>156.6137499999997</v>
      </c>
      <c r="GA75" s="18">
        <f>FZ75*VLOOKUP('Données projet'!$B$17,Paramètres!$A$1:$I$89,3,0)*VLOOKUP('Données projet'!$B$17,Paramètres!$A$1:$I$89,5,0)</f>
        <v>178.35173849999967</v>
      </c>
      <c r="GB75" s="14">
        <f t="shared" si="103"/>
        <v>44.955282248535816</v>
      </c>
      <c r="GC75" s="22">
        <f t="shared" si="79"/>
        <v>388.92639447036595</v>
      </c>
      <c r="GD75" s="62">
        <f t="shared" si="80"/>
        <v>682.25972780369921</v>
      </c>
      <c r="GE75" s="62">
        <f ca="1">AVERAGE(OFFSET($GD$3,0,0,'Données projet'!$E$17+1,1))-AVERAGE(OFFSET($H$3,0,0,'Données projet'!$E$17+1,1))</f>
        <v>405.71017054131318</v>
      </c>
      <c r="GF75" s="62">
        <f t="shared" si="104"/>
        <v>276.12900965322166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11.983732918764277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11.983732918764277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6.1312500000000014</v>
      </c>
      <c r="GU75" s="13">
        <f>IF('Données projet'!$A$270&gt;35,GU74+GT75-HC74,IF(A75&lt;'Données projet'!$A$270,$GR$205^A75,IF(A75='Données projet'!$A$270,'Données projet'!$B$270,GU74+GT75-HC74)))</f>
        <v>156.6137499999997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8.8662500000000044</v>
      </c>
      <c r="N76" s="14">
        <f>IF('Données projet'!$A$36&gt;35,N75+M76-V75,IF(A76&lt;'Données projet'!$A$36,$K$205^A76,IF(A76='Données projet'!$A$36,'Données projet'!$B$36,N75+M76-V75)))</f>
        <v>277.1137500000001</v>
      </c>
      <c r="O76" s="14">
        <f>N76*VLOOKUP('Données projet'!$B$9,Paramètres!$A$1:$I$89,3,0)*VLOOKUP('Données projet'!$B$9,Paramètres!$A$1:$I$89,5,0)</f>
        <v>250.73252100000005</v>
      </c>
      <c r="P76" s="14">
        <f t="shared" si="87"/>
        <v>60.74277247950485</v>
      </c>
      <c r="Q76" s="22">
        <f t="shared" si="54"/>
        <v>542.48613614347107</v>
      </c>
      <c r="R76" s="62">
        <f t="shared" si="55"/>
        <v>835.81946947680444</v>
      </c>
      <c r="S76" s="62">
        <f ca="1">AVERAGE(OFFSET($R$3,0,0,'Données projet'!$E$9+1,1))-AVERAGE(OFFSET($H$3,0,0,'Données projet'!$E$9+1,1))</f>
        <v>452.54136967045082</v>
      </c>
      <c r="T76" s="62">
        <f t="shared" si="88"/>
        <v>269.67340993773422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16.705242520433202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16.705242520433202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9.9125000000000014</v>
      </c>
      <c r="AI76" s="14">
        <f>IF('Données projet'!$A$62&gt;35,AI75+AH76-AQ75,IF(A76&lt;'Données projet'!$A$62,$AF$205^A76,IF(A76='Données projet'!$A$62,'Données projet'!$B$62,AI75+AH76-AQ75)))</f>
        <v>451.91750000000019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8.8662500000000044</v>
      </c>
      <c r="BD76" s="13">
        <f>IF('Données projet'!$A$88&gt;35,BD75+BC76-BL75,IF(A76&lt;'Données projet'!$A$88,$BA$205^A76,IF(A76='Données projet'!$A$88,'Données projet'!$B$88,BD75+BC76-BL75)))</f>
        <v>277.1137500000001</v>
      </c>
      <c r="BE76" s="14">
        <f>BD76*VLOOKUP('Données projet'!$B$11,Paramètres!$A$1:$I$89,3,0)*VLOOKUP('Données projet'!$B$11,Paramètres!$A$1:$I$89,5,0)</f>
        <v>280.9933425000001</v>
      </c>
      <c r="BF76" s="14">
        <f t="shared" si="91"/>
        <v>67.176887420430603</v>
      </c>
      <c r="BG76" s="22">
        <f t="shared" si="61"/>
        <v>606.39648377808339</v>
      </c>
      <c r="BH76" s="62">
        <f t="shared" si="62"/>
        <v>899.72981711141665</v>
      </c>
      <c r="BI76" s="62">
        <f ca="1">AVERAGE(OFFSET($BH$3,0,0,'Données projet'!$E$11+1,1))-AVERAGE(OFFSET($H$3,0,0,'Données projet'!$E$11+1,1))</f>
        <v>502.06005292569733</v>
      </c>
      <c r="BJ76" s="62">
        <f t="shared" si="92"/>
        <v>297.06786598620607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18.721392479795842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18.721392479795842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1.9219999999999999</v>
      </c>
      <c r="BY76" s="13">
        <f>IF('Données projet'!$A$114&gt;35,BY75+BX76-CG75,IF(A76&lt;'Données projet'!$A$114,$BV$205^A76,IF(A76='Données projet'!$A$114,'Données projet'!$B$114,BY75+BX76-CG75)))</f>
        <v>116.026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-5.1431925385259088E-14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204.787338911576</v>
      </c>
      <c r="CZ76" s="62">
        <f t="shared" si="96"/>
        <v>287.24932051638558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19.979274838983859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19.979274838983859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192.60000000000008</v>
      </c>
      <c r="DP76" s="18">
        <f>DO76*VLOOKUP('Données projet'!$B$14,Paramètres!$A$1:$I$89,3,0)*VLOOKUP('Données projet'!$B$14,Paramètres!$A$1:$I$89,5,0)</f>
        <v>183.27816000000007</v>
      </c>
      <c r="DQ76" s="14">
        <f t="shared" si="97"/>
        <v>46.050748514194922</v>
      </c>
      <c r="DR76" s="22">
        <f t="shared" si="70"/>
        <v>399.41451566222298</v>
      </c>
      <c r="DS76" s="62">
        <f t="shared" si="71"/>
        <v>692.7478489955563</v>
      </c>
      <c r="DT76" s="62">
        <f ca="1">AVERAGE(OFFSET($DS$3,0,0,'Données projet'!$E$14+1,1))-AVERAGE(OFFSET($H$3,0,0,'Données projet'!$E$14+1,1))</f>
        <v>309.55876703480277</v>
      </c>
      <c r="DU76" s="62">
        <f t="shared" si="98"/>
        <v>122.43799205838684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14.283037280412229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14.283037280412229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>
        <f>VLOOKUP(A76,'Données projet'!$A$191:$I$211,2,0)</f>
        <v>390.43</v>
      </c>
      <c r="EH76" s="13">
        <f>VLOOKUP(A76,'Données projet'!$A$191:$I$211,9,0)</f>
        <v>11.9925</v>
      </c>
      <c r="EI76" s="13">
        <f t="array" ref="EI76">INDEX(EH:EH,MIN(IF(ISNUMBER(EH76:EH272),ROW(EH76:EH272),"")))</f>
        <v>11.9925</v>
      </c>
      <c r="EJ76" s="13">
        <f>IF('Données projet'!$A$192&gt;35,EJ75+EI76-ER75,IF(A76&lt;'Données projet'!$A$192,$EG$205^A76,IF(A76='Données projet'!$A$192,'Données projet'!$B$192,EJ75+EI76-ER75)))</f>
        <v>390.42999999999978</v>
      </c>
      <c r="EK76" s="18">
        <f>EJ76*VLOOKUP('Données projet'!$B$15,Paramètres!$A$1:$I$89,3,0)*VLOOKUP('Données projet'!$B$15,Paramètres!$A$1:$I$89,5,0)</f>
        <v>182.72123999999991</v>
      </c>
      <c r="EL76" s="14">
        <f t="shared" si="99"/>
        <v>45.927082209321753</v>
      </c>
      <c r="EM76" s="22">
        <f t="shared" si="73"/>
        <v>398.22916118123521</v>
      </c>
      <c r="EN76" s="62">
        <f t="shared" si="74"/>
        <v>691.56249451456847</v>
      </c>
      <c r="EO76" s="62">
        <f ca="1">AVERAGE(OFFSET($EN$3,0,0,'Données projet'!$E$15+1,1))-AVERAGE(OFFSET($H$3,0,0,'Données projet'!$E$15+1,1))</f>
        <v>301.04834785168049</v>
      </c>
      <c r="EP76" s="62">
        <f t="shared" si="100"/>
        <v>164.1450425611464</v>
      </c>
      <c r="EQ76" s="16">
        <f>IF(ISNA(VLOOKUP(A76,'Données projet'!$A$191:$I$211,3,0)),0,VLOOKUP(A76,'Données projet'!$A$191:$I$211,3,0))</f>
        <v>3</v>
      </c>
      <c r="ER76" s="16">
        <f>IF(ISNA(VLOOKUP(A76,'Données projet'!$A$191:$I$211,4,0)),0,VLOOKUP(A76,'Données projet'!$A$191:$I$211,4,0))</f>
        <v>102.1</v>
      </c>
      <c r="ES76" s="17">
        <f>IF(ISNA(VLOOKUP(A76,'Données projet'!$A$191:$I$211,5,0)),0%,VLOOKUP(A76,'Données projet'!$A$191:$I$211,5,0)*VLOOKUP('Données projet'!$B$15,Paramètres!$A$1:$I$89,7,0))</f>
        <v>0.22000000000000003</v>
      </c>
      <c r="ET76" s="17">
        <f>IF(ISNA(VLOOKUP(A76,'Données projet'!$A$191:$I$211,6,0)),0%,VLOOKUP(A76,'Données projet'!$A$191:$I$211,6,0)*VLOOKUP('Données projet'!$B$15,Paramètres!$A$1:$I$89,7,0))</f>
        <v>0.18700000000000003</v>
      </c>
      <c r="EU76" s="17">
        <f>IF(ISNA(VLOOKUP(A76,'Données projet'!$A$191:$I$211,7,0)),0%,VLOOKUP(A76,'Données projet'!$A$191:$I$211,7,0))</f>
        <v>0.26</v>
      </c>
      <c r="EV76" s="23">
        <f>EXP(-LN(2)/35)*EV75+(1-EXP(-LN(2)/35))/(LN(2)/35)*ER76*ES76*VLOOKUP('Données projet'!$B$15,Paramètres!$A$1:$I$89,3,0)*0.475*44/12</f>
        <v>29.604925464801255</v>
      </c>
      <c r="EW76" s="23">
        <f>EXP(-LN(2)/25)*EW75+(1-EXP(-LN(2)/25))/(LN(2)/25)*Calculateur!ER76*Calculateur!ET76*VLOOKUP('Données projet'!$B$15,Paramètres!$A$1:$I$89,3,0)*0.475*44/12</f>
        <v>35.581807287131703</v>
      </c>
      <c r="EX76" s="23">
        <f>EXP(-LN(2)/2)*EX75+(1-EXP(-LN(2)/2))/(LN(2)/2)*ER76*EU76*VLOOKUP('Données projet'!$B$15,Paramètres!$A$1:$I$89,3,0)*0.475*44/12</f>
        <v>14.339008208879966</v>
      </c>
      <c r="EY76" s="24">
        <f t="shared" si="75"/>
        <v>79.525740960812925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6.1312500000000014</v>
      </c>
      <c r="FE76" s="13">
        <f>IF('Données projet'!$A$218&gt;35,FE75+FD76-FM75,IF(A76&lt;'Données projet'!$A$218,$FB$205^A76,IF(A76='Données projet'!$A$218,'Données projet'!$B$218,FE75+FD76-FM75)))</f>
        <v>162.74499999999969</v>
      </c>
      <c r="FF76" s="18">
        <f>FE76*VLOOKUP('Données projet'!$B$16,Paramètres!$A$1:$I$89,3,0)*VLOOKUP('Données projet'!$B$16,Paramètres!$A$1:$I$89,5,0)</f>
        <v>147.25167599999972</v>
      </c>
      <c r="FG76" s="14">
        <f t="shared" si="101"/>
        <v>37.953348538016492</v>
      </c>
      <c r="FH76" s="22">
        <f t="shared" si="76"/>
        <v>322.56541773704492</v>
      </c>
      <c r="FI76" s="62">
        <f t="shared" si="77"/>
        <v>615.89875107037824</v>
      </c>
      <c r="FJ76" s="62">
        <f ca="1">AVERAGE(OFFSET($FI$3,0,0,'Données projet'!$E$16+1,1))-AVERAGE(OFFSET($H$3,0,0,'Données projet'!$E$16+1,1))</f>
        <v>330.53726676433649</v>
      </c>
      <c r="FK76" s="62">
        <f t="shared" si="102"/>
        <v>228.01260676706528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9.3346147271752571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9.3346147271752571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6.1312500000000014</v>
      </c>
      <c r="FZ76" s="13">
        <f>IF('Données projet'!$A$244&gt;35,FZ75+FY76-GH75,IF(A76&lt;'Données projet'!$A$244,$FW$205^A76,IF(A76='Données projet'!$A$244,'Données projet'!$B$244,FZ75+FY76-GH75)))</f>
        <v>162.74499999999969</v>
      </c>
      <c r="GA76" s="18">
        <f>FZ76*VLOOKUP('Données projet'!$B$17,Paramètres!$A$1:$I$89,3,0)*VLOOKUP('Données projet'!$B$17,Paramètres!$A$1:$I$89,5,0)</f>
        <v>185.33400599999965</v>
      </c>
      <c r="GB76" s="14">
        <f t="shared" si="103"/>
        <v>46.506879763366967</v>
      </c>
      <c r="GC76" s="22">
        <f t="shared" si="79"/>
        <v>403.78954270453011</v>
      </c>
      <c r="GD76" s="62">
        <f t="shared" si="80"/>
        <v>697.12287603786342</v>
      </c>
      <c r="GE76" s="62">
        <f ca="1">AVERAGE(OFFSET($GD$3,0,0,'Données projet'!$E$17+1,1))-AVERAGE(OFFSET($H$3,0,0,'Données projet'!$E$17+1,1))</f>
        <v>405.71017054131318</v>
      </c>
      <c r="GF76" s="62">
        <f t="shared" si="104"/>
        <v>276.12900965322166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11.748739225582652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11.748739225582652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6.1312500000000014</v>
      </c>
      <c r="GU76" s="13">
        <f>IF('Données projet'!$A$270&gt;35,GU75+GT76-HC75,IF(A76&lt;'Données projet'!$A$270,$GR$205^A76,IF(A76='Données projet'!$A$270,'Données projet'!$B$270,GU75+GT76-HC75)))</f>
        <v>162.74499999999969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285.98</v>
      </c>
      <c r="L77" s="13">
        <f>VLOOKUP(A77,'Données projet'!$A$35:$I$55,9,0)</f>
        <v>8.8662500000000044</v>
      </c>
      <c r="M77" s="13">
        <f t="array" ref="M77">INDEX(L:L,MIN(IF(ISNUMBER(L77:L273),ROW(L77:L273),"")))</f>
        <v>8.8662500000000044</v>
      </c>
      <c r="N77" s="14">
        <f>IF('Données projet'!$A$36&gt;35,N76+M77-V76,IF(A77&lt;'Données projet'!$A$36,$K$205^A77,IF(A77='Données projet'!$A$36,'Données projet'!$B$36,N76+M77-V76)))</f>
        <v>285.98000000000008</v>
      </c>
      <c r="O77" s="14">
        <f>N77*VLOOKUP('Données projet'!$B$9,Paramètres!$A$1:$I$89,3,0)*VLOOKUP('Données projet'!$B$9,Paramètres!$A$1:$I$89,5,0)</f>
        <v>258.75470400000006</v>
      </c>
      <c r="P77" s="14">
        <f t="shared" si="87"/>
        <v>62.456857045748947</v>
      </c>
      <c r="Q77" s="22">
        <f t="shared" si="54"/>
        <v>559.4434688213463</v>
      </c>
      <c r="R77" s="62">
        <f t="shared" si="55"/>
        <v>852.77680215467967</v>
      </c>
      <c r="S77" s="62">
        <f ca="1">AVERAGE(OFFSET($R$3,0,0,'Données projet'!$E$9+1,1))-AVERAGE(OFFSET($H$3,0,0,'Données projet'!$E$9+1,1))</f>
        <v>452.54136967045082</v>
      </c>
      <c r="T77" s="62">
        <f t="shared" si="88"/>
        <v>269.67340993773422</v>
      </c>
      <c r="U77" s="16">
        <f>IF(ISNA(VLOOKUP(A77,'Données projet'!$A$35:$I$55,3,0)),0,VLOOKUP(A77,'Données projet'!$A$35:$I$55,3,0))</f>
        <v>5</v>
      </c>
      <c r="V77" s="16">
        <f>IF(ISNA(VLOOKUP(A77,'Données projet'!$A$35:$I$55,4,0)),0,VLOOKUP(A77,'Données projet'!$A$35:$I$55,4,0))</f>
        <v>47.4</v>
      </c>
      <c r="W77" s="17">
        <f>IF(ISNA(VLOOKUP(A77,'Données projet'!$A$35:$I$55,5,0)),0%,VLOOKUP(A77,'Données projet'!$A$35:$I$55,5,0)*VLOOKUP('Données projet'!$B$9,Paramètres!$A$1:$I$89,7,0))</f>
        <v>0.215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26.571002751299147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26.571002751299147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9.9125000000000014</v>
      </c>
      <c r="AI77" s="14">
        <f>IF('Données projet'!$A$62&gt;35,AI76+AH77-AQ76,IF(A77&lt;'Données projet'!$A$62,$AF$205^A77,IF(A77='Données projet'!$A$62,'Données projet'!$B$62,AI76+AH77-AQ76)))</f>
        <v>461.83000000000021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>
        <f>VLOOKUP(A77,'Données projet'!$A$87:$I$107,2,0)</f>
        <v>285.98</v>
      </c>
      <c r="BB77" s="13">
        <f>VLOOKUP(A77,'Données projet'!$A$87:$I$107,9,0)</f>
        <v>8.8662500000000044</v>
      </c>
      <c r="BC77" s="13">
        <f t="array" ref="BC77">INDEX(BB:BB,MIN(IF(ISNUMBER(BB77:BB273),ROW(BB77:BB273),"")))</f>
        <v>8.8662500000000044</v>
      </c>
      <c r="BD77" s="13">
        <f>IF('Données projet'!$A$88&gt;35,BD76+BC77-BL76,IF(A77&lt;'Données projet'!$A$88,$BA$205^A77,IF(A77='Données projet'!$A$88,'Données projet'!$B$88,BD76+BC77-BL76)))</f>
        <v>285.98000000000008</v>
      </c>
      <c r="BE77" s="14">
        <f>BD77*VLOOKUP('Données projet'!$B$11,Paramètres!$A$1:$I$89,3,0)*VLOOKUP('Données projet'!$B$11,Paramètres!$A$1:$I$89,5,0)</f>
        <v>289.98372000000012</v>
      </c>
      <c r="BF77" s="14">
        <f t="shared" si="91"/>
        <v>69.072534609971271</v>
      </c>
      <c r="BG77" s="22">
        <f t="shared" si="61"/>
        <v>625.35631011236683</v>
      </c>
      <c r="BH77" s="62">
        <f t="shared" si="62"/>
        <v>918.68964344570009</v>
      </c>
      <c r="BI77" s="62">
        <f ca="1">AVERAGE(OFFSET($BH$3,0,0,'Données projet'!$E$11+1,1))-AVERAGE(OFFSET($H$3,0,0,'Données projet'!$E$11+1,1))</f>
        <v>502.06005292569733</v>
      </c>
      <c r="BJ77" s="62">
        <f t="shared" si="92"/>
        <v>297.06786598620607</v>
      </c>
      <c r="BK77" s="16">
        <f>IF(ISNA(VLOOKUP(A77,'Données projet'!$A$87:$I$107,3,0)),0,VLOOKUP(A77,'Données projet'!$A$87:$I$107,3,0))</f>
        <v>5</v>
      </c>
      <c r="BL77" s="16">
        <f>IF(ISNA(VLOOKUP(A77,'Données projet'!$A$87:$I$107,4,0)),0,VLOOKUP(A77,'Données projet'!$A$87:$I$107,4,0))</f>
        <v>47.4</v>
      </c>
      <c r="BM77" s="17">
        <f>IF(ISNA(VLOOKUP(A77,'Données projet'!$A$87:$I$107,5,0)),0%,VLOOKUP(A77,'Données projet'!$A$87:$I$107,5,0)*VLOOKUP('Données projet'!$B$11,Paramètres!$A$1:$I$89,7,0))</f>
        <v>0.215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29.777847910938711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29.777847910938711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1.9219999999999999</v>
      </c>
      <c r="BY77" s="13">
        <f>IF('Données projet'!$A$114&gt;35,BY76+BX77-CG76,IF(A77&lt;'Données projet'!$A$114,$BV$205^A77,IF(A77='Données projet'!$A$114,'Données projet'!$B$114,BY76+BX77-CG76)))</f>
        <v>117.94799999999999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-5.1431925385259088E-14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204.787338911576</v>
      </c>
      <c r="CZ77" s="62">
        <f t="shared" si="96"/>
        <v>287.24932051638558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19.587493445545753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19.587493445545753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198.80000000000007</v>
      </c>
      <c r="DP77" s="18">
        <f>DO77*VLOOKUP('Données projet'!$B$14,Paramètres!$A$1:$I$89,3,0)*VLOOKUP('Données projet'!$B$14,Paramètres!$A$1:$I$89,5,0)</f>
        <v>189.17808000000008</v>
      </c>
      <c r="DQ77" s="14">
        <f t="shared" si="97"/>
        <v>47.358192185392497</v>
      </c>
      <c r="DR77" s="22">
        <f t="shared" si="70"/>
        <v>411.96734072289206</v>
      </c>
      <c r="DS77" s="62">
        <f t="shared" si="71"/>
        <v>705.30067405622538</v>
      </c>
      <c r="DT77" s="62">
        <f ca="1">AVERAGE(OFFSET($DS$3,0,0,'Données projet'!$E$14+1,1))-AVERAGE(OFFSET($H$3,0,0,'Données projet'!$E$14+1,1))</f>
        <v>309.55876703480277</v>
      </c>
      <c r="DU77" s="62">
        <f t="shared" si="98"/>
        <v>122.43799205838684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14.002955631135867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14.002955631135867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10.868571428571427</v>
      </c>
      <c r="EJ77" s="13">
        <f>IF('Données projet'!$A$192&gt;35,EJ76+EI77-ER76,IF(A77&lt;'Données projet'!$A$192,$EG$205^A77,IF(A77='Données projet'!$A$192,'Données projet'!$B$192,EJ76+EI77-ER76)))</f>
        <v>299.1985714285712</v>
      </c>
      <c r="EK77" s="18">
        <f>EJ77*VLOOKUP('Données projet'!$B$15,Paramètres!$A$1:$I$89,3,0)*VLOOKUP('Données projet'!$B$15,Paramètres!$A$1:$I$89,5,0)</f>
        <v>140.02493142857134</v>
      </c>
      <c r="EL77" s="14">
        <f t="shared" si="99"/>
        <v>36.302716876003622</v>
      </c>
      <c r="EM77" s="22">
        <f t="shared" si="73"/>
        <v>307.10398746380133</v>
      </c>
      <c r="EN77" s="62">
        <f t="shared" si="74"/>
        <v>600.43732079713459</v>
      </c>
      <c r="EO77" s="62">
        <f ca="1">AVERAGE(OFFSET($EN$3,0,0,'Données projet'!$E$15+1,1))-AVERAGE(OFFSET($H$3,0,0,'Données projet'!$E$15+1,1))</f>
        <v>301.04834785168049</v>
      </c>
      <c r="EP77" s="62">
        <f t="shared" si="100"/>
        <v>164.1450425611464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29.024390933658033</v>
      </c>
      <c r="EW77" s="23">
        <f>EXP(-LN(2)/25)*EW76+(1-EXP(-LN(2)/25))/(LN(2)/25)*Calculateur!ER77*Calculateur!ET77*VLOOKUP('Données projet'!$B$15,Paramètres!$A$1:$I$89,3,0)*0.475*44/12</f>
        <v>34.608820895699168</v>
      </c>
      <c r="EX77" s="23">
        <f>EXP(-LN(2)/2)*EX76+(1-EXP(-LN(2)/2))/(LN(2)/2)*ER77*EU77*VLOOKUP('Données projet'!$B$15,Paramètres!$A$1:$I$89,3,0)*0.475*44/12</f>
        <v>10.139209939988595</v>
      </c>
      <c r="EY77" s="24">
        <f t="shared" si="75"/>
        <v>73.772421769345797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6.1312500000000014</v>
      </c>
      <c r="FE77" s="13">
        <f>IF('Données projet'!$A$218&gt;35,FE76+FD77-FM76,IF(A77&lt;'Données projet'!$A$218,$FB$205^A77,IF(A77='Données projet'!$A$218,'Données projet'!$B$218,FE76+FD77-FM76)))</f>
        <v>168.87624999999969</v>
      </c>
      <c r="FF77" s="18">
        <f>FE77*VLOOKUP('Données projet'!$B$16,Paramètres!$A$1:$I$89,3,0)*VLOOKUP('Données projet'!$B$16,Paramètres!$A$1:$I$89,5,0)</f>
        <v>152.79923099999971</v>
      </c>
      <c r="FG77" s="14">
        <f t="shared" si="101"/>
        <v>39.214034753922192</v>
      </c>
      <c r="FH77" s="22">
        <f t="shared" si="76"/>
        <v>334.42310452141396</v>
      </c>
      <c r="FI77" s="62">
        <f t="shared" si="77"/>
        <v>627.75643785474722</v>
      </c>
      <c r="FJ77" s="62">
        <f ca="1">AVERAGE(OFFSET($FI$3,0,0,'Données projet'!$E$16+1,1))-AVERAGE(OFFSET($H$3,0,0,'Données projet'!$E$16+1,1))</f>
        <v>330.53726676433649</v>
      </c>
      <c r="FK77" s="62">
        <f t="shared" si="102"/>
        <v>228.01260676706528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9.1515686259281424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9.1515686259281424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6.1312500000000014</v>
      </c>
      <c r="FZ77" s="13">
        <f>IF('Données projet'!$A$244&gt;35,FZ76+FY77-GH76,IF(A77&lt;'Données projet'!$A$244,$FW$205^A77,IF(A77='Données projet'!$A$244,'Données projet'!$B$244,FZ76+FY77-GH76)))</f>
        <v>168.87624999999969</v>
      </c>
      <c r="GA77" s="18">
        <f>FZ77*VLOOKUP('Données projet'!$B$17,Paramètres!$A$1:$I$89,3,0)*VLOOKUP('Données projet'!$B$17,Paramètres!$A$1:$I$89,5,0)</f>
        <v>192.31627349999965</v>
      </c>
      <c r="GB77" s="14">
        <f t="shared" si="103"/>
        <v>48.051686335670652</v>
      </c>
      <c r="GC77" s="22">
        <f t="shared" si="79"/>
        <v>418.64086338045917</v>
      </c>
      <c r="GD77" s="62">
        <f t="shared" si="80"/>
        <v>711.97419671379248</v>
      </c>
      <c r="GE77" s="62">
        <f ca="1">AVERAGE(OFFSET($GD$3,0,0,'Données projet'!$E$17+1,1))-AVERAGE(OFFSET($H$3,0,0,'Données projet'!$E$17+1,1))</f>
        <v>405.71017054131318</v>
      </c>
      <c r="GF77" s="62">
        <f t="shared" si="104"/>
        <v>276.12900965322166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11.518353615392318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11.518353615392318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6.1312500000000014</v>
      </c>
      <c r="GU77" s="13">
        <f>IF('Données projet'!$A$270&gt;35,GU76+GT77-HC76,IF(A77&lt;'Données projet'!$A$270,$GR$205^A77,IF(A77='Données projet'!$A$270,'Données projet'!$B$270,GU76+GT77-HC76)))</f>
        <v>168.87624999999969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8.6770000000000014</v>
      </c>
      <c r="N78" s="14">
        <f>IF('Données projet'!$A$36&gt;35,N77+M78-V77,IF(A78&lt;'Données projet'!$A$36,$K$205^A78,IF(A78='Données projet'!$A$36,'Données projet'!$B$36,N77+M78-V77)))</f>
        <v>247.25700000000009</v>
      </c>
      <c r="O78" s="14">
        <f>N78*VLOOKUP('Données projet'!$B$9,Paramètres!$A$1:$I$89,3,0)*VLOOKUP('Données projet'!$B$9,Paramètres!$A$1:$I$89,5,0)</f>
        <v>223.71813360000007</v>
      </c>
      <c r="P78" s="14">
        <f t="shared" si="87"/>
        <v>54.92221376571495</v>
      </c>
      <c r="Q78" s="22">
        <f t="shared" si="54"/>
        <v>485.29860499528695</v>
      </c>
      <c r="R78" s="62">
        <f t="shared" si="55"/>
        <v>778.63193832862021</v>
      </c>
      <c r="S78" s="62">
        <f ca="1">AVERAGE(OFFSET($R$3,0,0,'Données projet'!$E$9+1,1))-AVERAGE(OFFSET($H$3,0,0,'Données projet'!$E$9+1,1))</f>
        <v>452.54136967045082</v>
      </c>
      <c r="T78" s="62">
        <f t="shared" si="88"/>
        <v>269.67340993773422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26.049961594057571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26.049961594057571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9.9125000000000014</v>
      </c>
      <c r="AI78" s="14">
        <f>IF('Données projet'!$A$62&gt;35,AI77+AH78-AQ77,IF(A78&lt;'Données projet'!$A$62,$AF$205^A78,IF(A78='Données projet'!$A$62,'Données projet'!$B$62,AI77+AH78-AQ77)))</f>
        <v>471.74250000000023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8.6770000000000014</v>
      </c>
      <c r="BD78" s="13">
        <f>IF('Données projet'!$A$88&gt;35,BD77+BC78-BL77,IF(A78&lt;'Données projet'!$A$88,$BA$205^A78,IF(A78='Données projet'!$A$88,'Données projet'!$B$88,BD77+BC78-BL77)))</f>
        <v>247.25700000000009</v>
      </c>
      <c r="BE78" s="14">
        <f>BD78*VLOOKUP('Données projet'!$B$11,Paramètres!$A$1:$I$89,3,0)*VLOOKUP('Données projet'!$B$11,Paramètres!$A$1:$I$89,5,0)</f>
        <v>250.7185980000001</v>
      </c>
      <c r="BF78" s="14">
        <f t="shared" si="91"/>
        <v>60.739792084155006</v>
      </c>
      <c r="BG78" s="22">
        <f t="shared" si="61"/>
        <v>542.45669606323679</v>
      </c>
      <c r="BH78" s="62">
        <f t="shared" si="62"/>
        <v>835.79002939657016</v>
      </c>
      <c r="BI78" s="62">
        <f ca="1">AVERAGE(OFFSET($BH$3,0,0,'Données projet'!$E$11+1,1))-AVERAGE(OFFSET($H$3,0,0,'Données projet'!$E$11+1,1))</f>
        <v>502.06005292569733</v>
      </c>
      <c r="BJ78" s="62">
        <f t="shared" si="92"/>
        <v>297.06786598620607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29.193922476099011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29.193922476099011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119.87</v>
      </c>
      <c r="BW78" s="13">
        <f>VLOOKUP(A78,'Données projet'!$A$113:$I$133,9,0)</f>
        <v>1.9219999999999999</v>
      </c>
      <c r="BX78" s="13">
        <f t="array" ref="BX78">INDEX(BW:BW,MIN(IF(ISNUMBER(BW78:BW274),ROW(BW78:BW274),"")))</f>
        <v>1.9219999999999999</v>
      </c>
      <c r="BY78" s="13">
        <f>IF('Données projet'!$A$114&gt;35,BY77+BX78-CG77,IF(A78&lt;'Données projet'!$A$114,$BV$205^A78,IF(A78='Données projet'!$A$114,'Données projet'!$B$114,BY77+BX78-CG77)))</f>
        <v>119.86999999999999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7.05</v>
      </c>
      <c r="CH78" s="17" t="e">
        <f>IF(ISNA(VLOOKUP(A78,'Données projet'!$A$113:$I$133,5,0)),0%,VLOOKUP(A78,'Données projet'!$A$113:$I$133,5,0)*VLOOKUP('Données projet'!$B$12,Paramètres!$A$1:$I$89,7,0))</f>
        <v>#N/A</v>
      </c>
      <c r="CI78" s="17" t="e">
        <f>IF(ISNA(VLOOKUP(A78,'Données projet'!$A$113:$I$133,6,0)),0%,VLOOKUP(A78,'Données projet'!$A$113:$I$133,6,0)*VLOOKUP('Données projet'!$B$12,Paramètres!$A$1:$I$89,7,0))</f>
        <v>#N/A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-5.1431925385259088E-14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204.787338911576</v>
      </c>
      <c r="CZ78" s="62">
        <f t="shared" si="96"/>
        <v>287.24932051638558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19.203394646269917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19.203394646269917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205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205.00000000000006</v>
      </c>
      <c r="DP78" s="18">
        <f>DO78*VLOOKUP('Données projet'!$B$14,Paramètres!$A$1:$I$89,3,0)*VLOOKUP('Données projet'!$B$14,Paramètres!$A$1:$I$89,5,0)</f>
        <v>195.07800000000006</v>
      </c>
      <c r="DQ78" s="14">
        <f t="shared" si="97"/>
        <v>48.660897392218523</v>
      </c>
      <c r="DR78" s="22">
        <f t="shared" si="70"/>
        <v>424.51191295811401</v>
      </c>
      <c r="DS78" s="62">
        <f t="shared" si="71"/>
        <v>717.84524629144732</v>
      </c>
      <c r="DT78" s="62">
        <f ca="1">AVERAGE(OFFSET($DS$3,0,0,'Données projet'!$E$14+1,1))-AVERAGE(OFFSET($H$3,0,0,'Données projet'!$E$14+1,1))</f>
        <v>309.55876703480277</v>
      </c>
      <c r="DU78" s="62">
        <f t="shared" si="98"/>
        <v>122.43799205838684</v>
      </c>
      <c r="DV78" s="16">
        <f>IF(ISNA(VLOOKUP(A78,'Données projet'!$A$165:$I$185,3,0)),0,VLOOKUP(A78,'Données projet'!$A$165:$I$185,3,0))</f>
        <v>8</v>
      </c>
      <c r="DW78" s="16">
        <f>IF(ISNA(VLOOKUP(A78,'Données projet'!$A$165:$I$185,4,0)),0,VLOOKUP(A78,'Données projet'!$A$165:$I$185,4,0))</f>
        <v>22</v>
      </c>
      <c r="DX78" s="17">
        <f>IF(ISNA(VLOOKUP(A78,'Données projet'!$A$165:$I$185,5,0)),0%,VLOOKUP(A78,'Données projet'!$A$165:$I$185,5,0)*VLOOKUP('Données projet'!$B$14,Paramètres!$A$1:$I$89,7,0))</f>
        <v>0.215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18.704163562432495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18.704163562432495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10.868571428571427</v>
      </c>
      <c r="EJ78" s="13">
        <f>IF('Données projet'!$A$192&gt;35,EJ77+EI78-ER77,IF(A78&lt;'Données projet'!$A$192,$EG$205^A78,IF(A78='Données projet'!$A$192,'Données projet'!$B$192,EJ77+EI78-ER77)))</f>
        <v>310.06714285714264</v>
      </c>
      <c r="EK78" s="18">
        <f>EJ78*VLOOKUP('Données projet'!$B$15,Paramètres!$A$1:$I$89,3,0)*VLOOKUP('Données projet'!$B$15,Paramètres!$A$1:$I$89,5,0)</f>
        <v>145.11142285714274</v>
      </c>
      <c r="EL78" s="14">
        <f t="shared" si="99"/>
        <v>37.46550570898161</v>
      </c>
      <c r="EM78" s="22">
        <f t="shared" si="73"/>
        <v>317.9881505859999</v>
      </c>
      <c r="EN78" s="62">
        <f t="shared" si="74"/>
        <v>611.32148391933322</v>
      </c>
      <c r="EO78" s="62">
        <f ca="1">AVERAGE(OFFSET($EN$3,0,0,'Données projet'!$E$15+1,1))-AVERAGE(OFFSET($H$3,0,0,'Données projet'!$E$15+1,1))</f>
        <v>301.04834785168049</v>
      </c>
      <c r="EP78" s="62">
        <f t="shared" si="100"/>
        <v>164.1450425611464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28.455240330579429</v>
      </c>
      <c r="EW78" s="23">
        <f>EXP(-LN(2)/25)*EW77+(1-EXP(-LN(2)/25))/(LN(2)/25)*Calculateur!ER78*Calculateur!ET78*VLOOKUP('Données projet'!$B$15,Paramètres!$A$1:$I$89,3,0)*0.475*44/12</f>
        <v>33.662440868307485</v>
      </c>
      <c r="EX78" s="23">
        <f>EXP(-LN(2)/2)*EX77+(1-EXP(-LN(2)/2))/(LN(2)/2)*ER78*EU78*VLOOKUP('Données projet'!$B$15,Paramètres!$A$1:$I$89,3,0)*0.475*44/12</f>
        <v>7.1695041044399836</v>
      </c>
      <c r="EY78" s="24">
        <f t="shared" si="75"/>
        <v>69.287185303326893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6.1312500000000014</v>
      </c>
      <c r="FE78" s="13">
        <f>IF('Données projet'!$A$218&gt;35,FE77+FD78-FM77,IF(A78&lt;'Données projet'!$A$218,$FB$205^A78,IF(A78='Données projet'!$A$218,'Données projet'!$B$218,FE77+FD78-FM77)))</f>
        <v>175.00749999999968</v>
      </c>
      <c r="FF78" s="18">
        <f>FE78*VLOOKUP('Données projet'!$B$16,Paramètres!$A$1:$I$89,3,0)*VLOOKUP('Données projet'!$B$16,Paramètres!$A$1:$I$89,5,0)</f>
        <v>158.3467859999997</v>
      </c>
      <c r="FG78" s="14">
        <f t="shared" si="101"/>
        <v>40.469403269286829</v>
      </c>
      <c r="FH78" s="22">
        <f t="shared" si="76"/>
        <v>346.27152964400733</v>
      </c>
      <c r="FI78" s="62">
        <f t="shared" si="77"/>
        <v>639.60486297734064</v>
      </c>
      <c r="FJ78" s="62">
        <f ca="1">AVERAGE(OFFSET($FI$3,0,0,'Données projet'!$E$16+1,1))-AVERAGE(OFFSET($H$3,0,0,'Données projet'!$E$16+1,1))</f>
        <v>330.53726676433649</v>
      </c>
      <c r="FK78" s="62">
        <f t="shared" si="102"/>
        <v>228.01260676706528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8.9721119470793855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8.9721119470793855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6.1312500000000014</v>
      </c>
      <c r="FZ78" s="13">
        <f>IF('Données projet'!$A$244&gt;35,FZ77+FY78-GH77,IF(A78&lt;'Données projet'!$A$244,$FW$205^A78,IF(A78='Données projet'!$A$244,'Données projet'!$B$244,FZ77+FY78-GH77)))</f>
        <v>175.00749999999968</v>
      </c>
      <c r="GA78" s="18">
        <f>FZ78*VLOOKUP('Données projet'!$B$17,Paramètres!$A$1:$I$89,3,0)*VLOOKUP('Données projet'!$B$17,Paramètres!$A$1:$I$89,5,0)</f>
        <v>199.29854099999963</v>
      </c>
      <c r="GB78" s="14">
        <f t="shared" si="103"/>
        <v>49.589976759354904</v>
      </c>
      <c r="GC78" s="22">
        <f t="shared" si="79"/>
        <v>433.48083509754247</v>
      </c>
      <c r="GD78" s="62">
        <f t="shared" si="80"/>
        <v>726.81416843087572</v>
      </c>
      <c r="GE78" s="62">
        <f ca="1">AVERAGE(OFFSET($GD$3,0,0,'Données projet'!$E$17+1,1))-AVERAGE(OFFSET($H$3,0,0,'Données projet'!$E$17+1,1))</f>
        <v>405.71017054131318</v>
      </c>
      <c r="GF78" s="62">
        <f t="shared" si="104"/>
        <v>276.12900965322166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11.292485726496469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11.292485726496469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6.1312500000000014</v>
      </c>
      <c r="GU78" s="13">
        <f>IF('Données projet'!$A$270&gt;35,GU77+GT78-HC77,IF(A78&lt;'Données projet'!$A$270,$GR$205^A78,IF(A78='Données projet'!$A$270,'Données projet'!$B$270,GU77+GT78-HC77)))</f>
        <v>175.00749999999968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8.6770000000000014</v>
      </c>
      <c r="N79" s="14">
        <f>IF('Données projet'!$A$36&gt;35,N78+M79-V78,IF(A79&lt;'Données projet'!$A$36,$K$205^A79,IF(A79='Données projet'!$A$36,'Données projet'!$B$36,N78+M79-V78)))</f>
        <v>255.93400000000008</v>
      </c>
      <c r="O79" s="14">
        <f>N79*VLOOKUP('Données projet'!$B$9,Paramètres!$A$1:$I$89,3,0)*VLOOKUP('Données projet'!$B$9,Paramètres!$A$1:$I$89,5,0)</f>
        <v>231.56908320000005</v>
      </c>
      <c r="P79" s="14">
        <f t="shared" si="87"/>
        <v>56.621819638037671</v>
      </c>
      <c r="Q79" s="22">
        <f t="shared" si="54"/>
        <v>501.93248910958238</v>
      </c>
      <c r="R79" s="62">
        <f t="shared" si="55"/>
        <v>795.26582244291569</v>
      </c>
      <c r="S79" s="62">
        <f ca="1">AVERAGE(OFFSET($R$3,0,0,'Données projet'!$E$9+1,1))-AVERAGE(OFFSET($H$3,0,0,'Données projet'!$E$9+1,1))</f>
        <v>452.54136967045082</v>
      </c>
      <c r="T79" s="62">
        <f t="shared" si="88"/>
        <v>269.67340993773422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25.539137736105776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25.539137736105776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9.9125000000000014</v>
      </c>
      <c r="AI79" s="14">
        <f>IF('Données projet'!$A$62&gt;35,AI78+AH79-AQ78,IF(A79&lt;'Données projet'!$A$62,$AF$205^A79,IF(A79='Données projet'!$A$62,'Données projet'!$B$62,AI78+AH79-AQ78)))</f>
        <v>481.65500000000026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8.6770000000000014</v>
      </c>
      <c r="BD79" s="13">
        <f>IF('Données projet'!$A$88&gt;35,BD78+BC79-BL78,IF(A79&lt;'Données projet'!$A$88,$BA$205^A79,IF(A79='Données projet'!$A$88,'Données projet'!$B$88,BD78+BC79-BL78)))</f>
        <v>255.93400000000008</v>
      </c>
      <c r="BE79" s="14">
        <f>BD79*VLOOKUP('Données projet'!$B$11,Paramètres!$A$1:$I$89,3,0)*VLOOKUP('Données projet'!$B$11,Paramètres!$A$1:$I$89,5,0)</f>
        <v>259.51707600000009</v>
      </c>
      <c r="BF79" s="14">
        <f t="shared" si="91"/>
        <v>62.619426939193161</v>
      </c>
      <c r="BG79" s="22">
        <f t="shared" si="61"/>
        <v>561.05440928576149</v>
      </c>
      <c r="BH79" s="62">
        <f t="shared" si="62"/>
        <v>854.38774261909475</v>
      </c>
      <c r="BI79" s="62">
        <f ca="1">AVERAGE(OFFSET($BH$3,0,0,'Données projet'!$E$11+1,1))-AVERAGE(OFFSET($H$3,0,0,'Données projet'!$E$11+1,1))</f>
        <v>502.06005292569733</v>
      </c>
      <c r="BJ79" s="62">
        <f t="shared" si="92"/>
        <v>297.06786598620607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28.621447462877171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28.621447462877171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1.6659999999999997</v>
      </c>
      <c r="BY79" s="13">
        <f>IF('Données projet'!$A$114&gt;35,BY78+BX79-CG78,IF(A79&lt;'Données projet'!$A$114,$BV$205^A79,IF(A79='Données projet'!$A$114,'Données projet'!$B$114,BY78+BX79-CG78)))</f>
        <v>114.48599999999999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-5.1431925385259088E-14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204.787338911576</v>
      </c>
      <c r="CZ79" s="62">
        <f t="shared" si="96"/>
        <v>287.24932051638558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18.826827790170743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18.826827790170743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189.00000000000006</v>
      </c>
      <c r="DP79" s="18">
        <f>DO79*VLOOKUP('Données projet'!$B$14,Paramètres!$A$1:$I$89,3,0)*VLOOKUP('Données projet'!$B$14,Paramètres!$A$1:$I$89,5,0)</f>
        <v>179.85240000000007</v>
      </c>
      <c r="DQ79" s="14">
        <f t="shared" si="97"/>
        <v>45.289346318280131</v>
      </c>
      <c r="DR79" s="22">
        <f t="shared" si="70"/>
        <v>392.12187483767138</v>
      </c>
      <c r="DS79" s="62">
        <f t="shared" si="71"/>
        <v>685.45520817100464</v>
      </c>
      <c r="DT79" s="62">
        <f ca="1">AVERAGE(OFFSET($DS$3,0,0,'Données projet'!$E$14+1,1))-AVERAGE(OFFSET($H$3,0,0,'Données projet'!$E$14+1,1))</f>
        <v>309.55876703480277</v>
      </c>
      <c r="DU79" s="62">
        <f t="shared" si="98"/>
        <v>122.43799205838684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18.337386323386479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18.337386323386479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10.868571428571427</v>
      </c>
      <c r="EJ79" s="13">
        <f>IF('Données projet'!$A$192&gt;35,EJ78+EI79-ER78,IF(A79&lt;'Données projet'!$A$192,$EG$205^A79,IF(A79='Données projet'!$A$192,'Données projet'!$B$192,EJ78+EI79-ER78)))</f>
        <v>320.93571428571408</v>
      </c>
      <c r="EK79" s="18">
        <f>EJ79*VLOOKUP('Données projet'!$B$15,Paramètres!$A$1:$I$89,3,0)*VLOOKUP('Données projet'!$B$15,Paramètres!$A$1:$I$89,5,0)</f>
        <v>150.19791428571418</v>
      </c>
      <c r="EL79" s="14">
        <f t="shared" si="99"/>
        <v>38.6235589003687</v>
      </c>
      <c r="EM79" s="22">
        <f t="shared" si="73"/>
        <v>328.86406579909431</v>
      </c>
      <c r="EN79" s="62">
        <f t="shared" si="74"/>
        <v>622.19739913242756</v>
      </c>
      <c r="EO79" s="62">
        <f ca="1">AVERAGE(OFFSET($EN$3,0,0,'Données projet'!$E$15+1,1))-AVERAGE(OFFSET($H$3,0,0,'Données projet'!$E$15+1,1))</f>
        <v>301.04834785168049</v>
      </c>
      <c r="EP79" s="62">
        <f t="shared" si="100"/>
        <v>164.1450425611464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27.897250423679608</v>
      </c>
      <c r="EW79" s="23">
        <f>EXP(-LN(2)/25)*EW78+(1-EXP(-LN(2)/25))/(LN(2)/25)*Calculateur!ER79*Calculateur!ET79*VLOOKUP('Données projet'!$B$15,Paramètres!$A$1:$I$89,3,0)*0.475*44/12</f>
        <v>32.741939652532785</v>
      </c>
      <c r="EX79" s="23">
        <f>EXP(-LN(2)/2)*EX78+(1-EXP(-LN(2)/2))/(LN(2)/2)*ER79*EU79*VLOOKUP('Données projet'!$B$15,Paramètres!$A$1:$I$89,3,0)*0.475*44/12</f>
        <v>5.0696049699942982</v>
      </c>
      <c r="EY79" s="24">
        <f t="shared" si="75"/>
        <v>65.708795046206689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6.1312500000000014</v>
      </c>
      <c r="FE79" s="13">
        <f>IF('Données projet'!$A$218&gt;35,FE78+FD79-FM78,IF(A79&lt;'Données projet'!$A$218,$FB$205^A79,IF(A79='Données projet'!$A$218,'Données projet'!$B$218,FE78+FD79-FM78)))</f>
        <v>181.13874999999967</v>
      </c>
      <c r="FF79" s="18">
        <f>FE79*VLOOKUP('Données projet'!$B$16,Paramètres!$A$1:$I$89,3,0)*VLOOKUP('Données projet'!$B$16,Paramètres!$A$1:$I$89,5,0)</f>
        <v>163.89434099999968</v>
      </c>
      <c r="FG79" s="14">
        <f t="shared" si="101"/>
        <v>41.719661733895947</v>
      </c>
      <c r="FH79" s="22">
        <f t="shared" si="76"/>
        <v>358.11105476153489</v>
      </c>
      <c r="FI79" s="62">
        <f t="shared" si="77"/>
        <v>651.44438809486815</v>
      </c>
      <c r="FJ79" s="62">
        <f ca="1">AVERAGE(OFFSET($FI$3,0,0,'Données projet'!$E$16+1,1))-AVERAGE(OFFSET($H$3,0,0,'Données projet'!$E$16+1,1))</f>
        <v>330.53726676433649</v>
      </c>
      <c r="FK79" s="62">
        <f t="shared" si="102"/>
        <v>228.01260676706528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8.7961743042450866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8.7961743042450866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6.1312500000000014</v>
      </c>
      <c r="FZ79" s="13">
        <f>IF('Données projet'!$A$244&gt;35,FZ78+FY79-GH78,IF(A79&lt;'Données projet'!$A$244,$FW$205^A79,IF(A79='Données projet'!$A$244,'Données projet'!$B$244,FZ78+FY79-GH78)))</f>
        <v>181.13874999999967</v>
      </c>
      <c r="GA79" s="18">
        <f>FZ79*VLOOKUP('Données projet'!$B$17,Paramètres!$A$1:$I$89,3,0)*VLOOKUP('Données projet'!$B$17,Paramètres!$A$1:$I$89,5,0)</f>
        <v>206.28080849999961</v>
      </c>
      <c r="GB79" s="14">
        <f t="shared" si="103"/>
        <v>51.122005482155629</v>
      </c>
      <c r="GC79" s="22">
        <f t="shared" si="79"/>
        <v>448.30990101892036</v>
      </c>
      <c r="GD79" s="62">
        <f t="shared" si="80"/>
        <v>741.64323435225367</v>
      </c>
      <c r="GE79" s="62">
        <f ca="1">AVERAGE(OFFSET($GD$3,0,0,'Données projet'!$E$17+1,1))-AVERAGE(OFFSET($H$3,0,0,'Données projet'!$E$17+1,1))</f>
        <v>405.71017054131318</v>
      </c>
      <c r="GF79" s="62">
        <f t="shared" si="104"/>
        <v>276.12900965322166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11.071046969136059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11.071046969136059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6.1312500000000014</v>
      </c>
      <c r="GU79" s="13">
        <f>IF('Données projet'!$A$270&gt;35,GU78+GT79-HC78,IF(A79&lt;'Données projet'!$A$270,$GR$205^A79,IF(A79='Données projet'!$A$270,'Données projet'!$B$270,GU78+GT79-HC78)))</f>
        <v>181.13874999999967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8.6770000000000014</v>
      </c>
      <c r="N80" s="14">
        <f>IF('Données projet'!$A$36&gt;35,N79+M80-V79,IF(A80&lt;'Données projet'!$A$36,$K$205^A80,IF(A80='Données projet'!$A$36,'Données projet'!$B$36,N79+M80-V79)))</f>
        <v>264.6110000000001</v>
      </c>
      <c r="O80" s="14">
        <f>N80*VLOOKUP('Données projet'!$B$9,Paramètres!$A$1:$I$89,3,0)*VLOOKUP('Données projet'!$B$9,Paramètres!$A$1:$I$89,5,0)</f>
        <v>239.42003280000009</v>
      </c>
      <c r="P80" s="14">
        <f t="shared" si="87"/>
        <v>58.314730148380967</v>
      </c>
      <c r="Q80" s="22">
        <f t="shared" si="54"/>
        <v>518.55471213509702</v>
      </c>
      <c r="R80" s="62">
        <f t="shared" si="55"/>
        <v>811.88804546843039</v>
      </c>
      <c r="S80" s="62">
        <f ca="1">AVERAGE(OFFSET($R$3,0,0,'Données projet'!$E$9+1,1))-AVERAGE(OFFSET($H$3,0,0,'Données projet'!$E$9+1,1))</f>
        <v>452.54136967045082</v>
      </c>
      <c r="T80" s="62">
        <f t="shared" si="88"/>
        <v>269.67340993773422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25.038330822436627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25.038330822436627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9.9125000000000014</v>
      </c>
      <c r="AI80" s="14">
        <f>IF('Données projet'!$A$62&gt;35,AI79+AH80-AQ79,IF(A80&lt;'Données projet'!$A$62,$AF$205^A80,IF(A80='Données projet'!$A$62,'Données projet'!$B$62,AI79+AH80-AQ79)))</f>
        <v>491.56750000000028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8.6770000000000014</v>
      </c>
      <c r="BD80" s="13">
        <f>IF('Données projet'!$A$88&gt;35,BD79+BC80-BL79,IF(A80&lt;'Données projet'!$A$88,$BA$205^A80,IF(A80='Données projet'!$A$88,'Données projet'!$B$88,BD79+BC80-BL79)))</f>
        <v>264.6110000000001</v>
      </c>
      <c r="BE80" s="14">
        <f>BD80*VLOOKUP('Données projet'!$B$11,Paramètres!$A$1:$I$89,3,0)*VLOOKUP('Données projet'!$B$11,Paramètres!$A$1:$I$89,5,0)</f>
        <v>268.31555400000013</v>
      </c>
      <c r="BF80" s="14">
        <f t="shared" si="91"/>
        <v>64.491657233004062</v>
      </c>
      <c r="BG80" s="22">
        <f t="shared" si="61"/>
        <v>579.63922623081567</v>
      </c>
      <c r="BH80" s="62">
        <f t="shared" si="62"/>
        <v>872.97255956414892</v>
      </c>
      <c r="BI80" s="62">
        <f ca="1">AVERAGE(OFFSET($BH$3,0,0,'Données projet'!$E$11+1,1))-AVERAGE(OFFSET($H$3,0,0,'Données projet'!$E$11+1,1))</f>
        <v>502.06005292569733</v>
      </c>
      <c r="BJ80" s="62">
        <f t="shared" si="92"/>
        <v>297.06786598620607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28.060198335489332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28.060198335489332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1.6659999999999997</v>
      </c>
      <c r="BY80" s="13">
        <f>IF('Données projet'!$A$114&gt;35,BY79+BX80-CG79,IF(A80&lt;'Données projet'!$A$114,$BV$205^A80,IF(A80='Données projet'!$A$114,'Données projet'!$B$114,BY79+BX80-CG79)))</f>
        <v>116.15199999999999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-5.1431925385259088E-14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204.787338911576</v>
      </c>
      <c r="CZ80" s="62">
        <f t="shared" si="96"/>
        <v>287.24932051638558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18.457645180436572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18.457645180436572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195.00000000000006</v>
      </c>
      <c r="DP80" s="18">
        <f>DO80*VLOOKUP('Données projet'!$B$14,Paramètres!$A$1:$I$89,3,0)*VLOOKUP('Données projet'!$B$14,Paramètres!$A$1:$I$89,5,0)</f>
        <v>185.56200000000007</v>
      </c>
      <c r="DQ80" s="14">
        <f t="shared" si="97"/>
        <v>46.557428480028591</v>
      </c>
      <c r="DR80" s="22">
        <f t="shared" si="70"/>
        <v>404.27467126938319</v>
      </c>
      <c r="DS80" s="62">
        <f t="shared" si="71"/>
        <v>697.60800460271651</v>
      </c>
      <c r="DT80" s="62">
        <f ca="1">AVERAGE(OFFSET($DS$3,0,0,'Données projet'!$E$14+1,1))-AVERAGE(OFFSET($H$3,0,0,'Données projet'!$E$14+1,1))</f>
        <v>309.55876703480277</v>
      </c>
      <c r="DU80" s="62">
        <f t="shared" si="98"/>
        <v>122.43799205838684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17.977801362286129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17.977801362286129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10.868571428571427</v>
      </c>
      <c r="EJ80" s="13">
        <f>IF('Données projet'!$A$192&gt;35,EJ79+EI80-ER79,IF(A80&lt;'Données projet'!$A$192,$EG$205^A80,IF(A80='Données projet'!$A$192,'Données projet'!$B$192,EJ79+EI80-ER79)))</f>
        <v>331.80428571428553</v>
      </c>
      <c r="EK80" s="18">
        <f>EJ80*VLOOKUP('Données projet'!$B$15,Paramètres!$A$1:$I$89,3,0)*VLOOKUP('Données projet'!$B$15,Paramètres!$A$1:$I$89,5,0)</f>
        <v>155.28440571428564</v>
      </c>
      <c r="EL80" s="14">
        <f t="shared" si="99"/>
        <v>39.777055208401343</v>
      </c>
      <c r="EM80" s="22">
        <f t="shared" si="73"/>
        <v>339.7320444403465</v>
      </c>
      <c r="EN80" s="62">
        <f t="shared" si="74"/>
        <v>633.06537777367976</v>
      </c>
      <c r="EO80" s="62">
        <f ca="1">AVERAGE(OFFSET($EN$3,0,0,'Données projet'!$E$15+1,1))-AVERAGE(OFFSET($H$3,0,0,'Données projet'!$E$15+1,1))</f>
        <v>301.04834785168049</v>
      </c>
      <c r="EP80" s="62">
        <f t="shared" si="100"/>
        <v>164.1450425611464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27.350202358513855</v>
      </c>
      <c r="EW80" s="23">
        <f>EXP(-LN(2)/25)*EW79+(1-EXP(-LN(2)/25))/(LN(2)/25)*Calculateur!ER80*Calculateur!ET80*VLOOKUP('Données projet'!$B$15,Paramètres!$A$1:$I$89,3,0)*0.475*44/12</f>
        <v>31.846609590910504</v>
      </c>
      <c r="EX80" s="23">
        <f>EXP(-LN(2)/2)*EX79+(1-EXP(-LN(2)/2))/(LN(2)/2)*ER80*EU80*VLOOKUP('Données projet'!$B$15,Paramètres!$A$1:$I$89,3,0)*0.475*44/12</f>
        <v>3.5847520522199923</v>
      </c>
      <c r="EY80" s="24">
        <f t="shared" si="75"/>
        <v>62.781564001644348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>
        <f>VLOOKUP(A80,'Données projet'!$A$217:$I$237,2,0)</f>
        <v>187.27</v>
      </c>
      <c r="FC80" s="13">
        <f>VLOOKUP(A80,'Données projet'!$A$217:$I$237,9,0)</f>
        <v>6.1312500000000014</v>
      </c>
      <c r="FD80" s="13">
        <f t="array" ref="FD80">INDEX(FC:FC,MIN(IF(ISNUMBER(FC80:FC276),ROW(FC80:FC276),"")))</f>
        <v>6.1312500000000014</v>
      </c>
      <c r="FE80" s="13">
        <f>IF('Données projet'!$A$218&gt;35,FE79+FD80-FM79,IF(A80&lt;'Données projet'!$A$218,$FB$205^A80,IF(A80='Données projet'!$A$218,'Données projet'!$B$218,FE79+FD80-FM79)))</f>
        <v>187.26999999999967</v>
      </c>
      <c r="FF80" s="18">
        <f>FE80*VLOOKUP('Données projet'!$B$16,Paramètres!$A$1:$I$89,3,0)*VLOOKUP('Données projet'!$B$16,Paramètres!$A$1:$I$89,5,0)</f>
        <v>169.4418959999997</v>
      </c>
      <c r="FG80" s="14">
        <f t="shared" si="101"/>
        <v>42.965002942830701</v>
      </c>
      <c r="FH80" s="22">
        <f t="shared" si="76"/>
        <v>369.94201565876295</v>
      </c>
      <c r="FI80" s="62">
        <f t="shared" si="77"/>
        <v>663.27534899209627</v>
      </c>
      <c r="FJ80" s="62">
        <f ca="1">AVERAGE(OFFSET($FI$3,0,0,'Données projet'!$E$16+1,1))-AVERAGE(OFFSET($H$3,0,0,'Données projet'!$E$16+1,1))</f>
        <v>330.53726676433649</v>
      </c>
      <c r="FK80" s="62">
        <f t="shared" si="102"/>
        <v>228.01260676706528</v>
      </c>
      <c r="FL80" s="16">
        <f>IF(ISNA(VLOOKUP(A80,'Données projet'!$A$217:$I$237,3,0)),0,VLOOKUP(A80,'Données projet'!$A$217:$I$237,3,0))</f>
        <v>3</v>
      </c>
      <c r="FM80" s="16">
        <f>IF(ISNA(VLOOKUP(A80,'Données projet'!$A$217:$I$237,4,0)),0,VLOOKUP(A80,'Données projet'!$A$217:$I$237,4,0))</f>
        <v>31.56</v>
      </c>
      <c r="FN80" s="17">
        <f>IF(ISNA(VLOOKUP(A80,'Données projet'!$A$217:$I$237,5,0)),0%,VLOOKUP(A80,'Données projet'!$A$217:$I$237,5,0)*VLOOKUP('Données projet'!$B$16,Paramètres!$A$1:$I$89,7,0))</f>
        <v>0.129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12.695861445542413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12.695861445542413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>
        <f>VLOOKUP(A80,'Données projet'!$A$243:$I$263,2,0)</f>
        <v>187.27</v>
      </c>
      <c r="FX80" s="13">
        <f>VLOOKUP(A80,'Données projet'!$A$243:$I$263,9,0)</f>
        <v>6.1312500000000014</v>
      </c>
      <c r="FY80" s="13">
        <f t="array" ref="FY80">INDEX(FX:FX,MIN(IF(ISNUMBER(FX80:FX276),ROW(FX80:FX276),"")))</f>
        <v>6.1312500000000014</v>
      </c>
      <c r="FZ80" s="13">
        <f>IF('Données projet'!$A$244&gt;35,FZ79+FY80-GH79,IF(A80&lt;'Données projet'!$A$244,$FW$205^A80,IF(A80='Données projet'!$A$244,'Données projet'!$B$244,FZ79+FY80-GH79)))</f>
        <v>187.26999999999967</v>
      </c>
      <c r="GA80" s="18">
        <f>FZ80*VLOOKUP('Données projet'!$B$17,Paramètres!$A$1:$I$89,3,0)*VLOOKUP('Données projet'!$B$17,Paramètres!$A$1:$I$89,5,0)</f>
        <v>213.26307599999961</v>
      </c>
      <c r="GB80" s="14">
        <f t="shared" si="103"/>
        <v>52.648008749305596</v>
      </c>
      <c r="GC80" s="22">
        <f t="shared" si="79"/>
        <v>463.12847260503986</v>
      </c>
      <c r="GD80" s="62">
        <f t="shared" si="80"/>
        <v>756.46180593837312</v>
      </c>
      <c r="GE80" s="62">
        <f ca="1">AVERAGE(OFFSET($GD$3,0,0,'Données projet'!$E$17+1,1))-AVERAGE(OFFSET($H$3,0,0,'Données projet'!$E$17+1,1))</f>
        <v>405.71017054131318</v>
      </c>
      <c r="GF80" s="62">
        <f t="shared" si="104"/>
        <v>276.12900965322166</v>
      </c>
      <c r="GG80" s="16">
        <f>IF(ISNA(VLOOKUP(A80,'Données projet'!$A$243:$I$263,3,0)),0,VLOOKUP(A80,'Données projet'!$A$243:$I$263,3,0))</f>
        <v>3</v>
      </c>
      <c r="GH80" s="16">
        <f>IF(ISNA(VLOOKUP(A80,'Données projet'!$A$243:$I$263,4,0)),0,VLOOKUP(A80,'Données projet'!$A$243:$I$263,4,0))</f>
        <v>31.56</v>
      </c>
      <c r="GI80" s="17">
        <f>IF(ISNA(VLOOKUP(A80,'Données projet'!$A$243:$I$263,5,0)),0%,VLOOKUP(A80,'Données projet'!$A$243:$I$263,5,0)*VLOOKUP('Données projet'!$B$17,Paramètres!$A$1:$I$89,7,0))</f>
        <v>0.129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15.97927388835511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15.97927388835511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>
        <f>VLOOKUP(A80,'Données projet'!$A$269:$I$289,2,0)</f>
        <v>187.27</v>
      </c>
      <c r="GS80" s="13">
        <f>VLOOKUP(A80,'Données projet'!$A$269:$I$289,9,0)</f>
        <v>6.1312500000000014</v>
      </c>
      <c r="GT80" s="13">
        <f t="array" ref="GT80">INDEX(GS:GS,MIN(IF(ISNUMBER(GS80:GS276),ROW(GS80:GS276),"")))</f>
        <v>6.1312500000000014</v>
      </c>
      <c r="GU80" s="13">
        <f>IF('Données projet'!$A$270&gt;35,GU79+GT80-HC79,IF(A80&lt;'Données projet'!$A$270,$GR$205^A80,IF(A80='Données projet'!$A$270,'Données projet'!$B$270,GU79+GT80-HC79)))</f>
        <v>187.26999999999967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3</v>
      </c>
      <c r="HC80" s="16">
        <f>IF(ISNA(VLOOKUP(A80,'Données projet'!$A$269:$I$289,4,0)),0,VLOOKUP(A80,'Données projet'!$A$269:$I$289,4,0))</f>
        <v>31.56</v>
      </c>
      <c r="HD80" s="17" t="e">
        <f>IF(ISNA(VLOOKUP(A80,'Données projet'!$A$269:$I$289,5,0)),0%,VLOOKUP(A80,'Données projet'!$A$269:$I$289,5,0)*VLOOKUP('Données projet'!$B$18,Paramètres!$A$1:$I$89,7,0))</f>
        <v>#N/A</v>
      </c>
      <c r="HE80" s="17" t="e">
        <f>IF(ISNA(VLOOKUP(A80,'Données projet'!$A$269:$I$289,6,0)),0%,VLOOKUP(A80,'Données projet'!$A$269:$I$289,6,0)*VLOOKUP('Données projet'!$B$18,Paramètres!$A$1:$I$89,7,0))</f>
        <v>#N/A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8.6770000000000014</v>
      </c>
      <c r="N81" s="14">
        <f>IF('Données projet'!$A$36&gt;35,N80+M81-V80,IF(A81&lt;'Données projet'!$A$36,$K$205^A81,IF(A81='Données projet'!$A$36,'Données projet'!$B$36,N80+M81-V80)))</f>
        <v>273.28800000000012</v>
      </c>
      <c r="O81" s="14">
        <f>N81*VLOOKUP('Données projet'!$B$9,Paramètres!$A$1:$I$89,3,0)*VLOOKUP('Données projet'!$B$9,Paramètres!$A$1:$I$89,5,0)</f>
        <v>247.27098240000012</v>
      </c>
      <c r="P81" s="14">
        <f t="shared" si="87"/>
        <v>60.001190025553029</v>
      </c>
      <c r="Q81" s="22">
        <f t="shared" si="54"/>
        <v>535.16570030783839</v>
      </c>
      <c r="R81" s="62">
        <f t="shared" si="55"/>
        <v>828.49903364117176</v>
      </c>
      <c r="S81" s="62">
        <f ca="1">AVERAGE(OFFSET($R$3,0,0,'Données projet'!$E$9+1,1))-AVERAGE(OFFSET($H$3,0,0,'Données projet'!$E$9+1,1))</f>
        <v>452.54136967045082</v>
      </c>
      <c r="T81" s="62">
        <f t="shared" si="88"/>
        <v>269.67340993773422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24.547344426882475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24.547344426882475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501.48</v>
      </c>
      <c r="AG81" s="13">
        <f>VLOOKUP(A81,'Données projet'!$A$61:$I$81,9,0)</f>
        <v>9.9125000000000014</v>
      </c>
      <c r="AH81" s="13">
        <f t="array" ref="AH81">INDEX(AG:AG,MIN(IF(ISNUMBER(AG81:AG277),ROW(AG81:AG277),"")))</f>
        <v>9.9125000000000014</v>
      </c>
      <c r="AI81" s="14">
        <f>IF('Données projet'!$A$62&gt;35,AI80+AH81-AQ80,IF(A81&lt;'Données projet'!$A$62,$AF$205^A81,IF(A81='Données projet'!$A$62,'Données projet'!$B$62,AI80+AH81-AQ80)))</f>
        <v>501.4800000000003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 t="e">
        <f>IF(ISNA(VLOOKUP(A81,'Données projet'!$A$61:$I$81,5,0)),0%,VLOOKUP(A81,'Données projet'!$A$61:$I$81,5,0)*VLOOKUP('Données projet'!$B$10,Paramètres!$A$1:$I$89,7,0))</f>
        <v>#N/A</v>
      </c>
      <c r="AS81" s="17" t="e">
        <f>IF(ISNA(VLOOKUP(A81,'Données projet'!$A$61:$I$81,6,0)),0%,VLOOKUP(A81,'Données projet'!$A$61:$I$81,6,0)*VLOOKUP('Données projet'!$B$10,Paramètres!$A$1:$I$89,7,0))</f>
        <v>#N/A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8.6770000000000014</v>
      </c>
      <c r="BD81" s="13">
        <f>IF('Données projet'!$A$88&gt;35,BD80+BC81-BL80,IF(A81&lt;'Données projet'!$A$88,$BA$205^A81,IF(A81='Données projet'!$A$88,'Données projet'!$B$88,BD80+BC81-BL80)))</f>
        <v>273.28800000000012</v>
      </c>
      <c r="BE81" s="14">
        <f>BD81*VLOOKUP('Données projet'!$B$11,Paramètres!$A$1:$I$89,3,0)*VLOOKUP('Données projet'!$B$11,Paramètres!$A$1:$I$89,5,0)</f>
        <v>277.11403200000018</v>
      </c>
      <c r="BF81" s="14">
        <f t="shared" si="91"/>
        <v>66.356753617040368</v>
      </c>
      <c r="BG81" s="22">
        <f t="shared" si="61"/>
        <v>598.21161828301217</v>
      </c>
      <c r="BH81" s="62">
        <f t="shared" si="62"/>
        <v>891.54495161634554</v>
      </c>
      <c r="BI81" s="62">
        <f ca="1">AVERAGE(OFFSET($BH$3,0,0,'Données projet'!$E$11+1,1))-AVERAGE(OFFSET($H$3,0,0,'Données projet'!$E$11+1,1))</f>
        <v>502.06005292569733</v>
      </c>
      <c r="BJ81" s="62">
        <f t="shared" si="92"/>
        <v>297.06786598620607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27.509954961161402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27.509954961161402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1.6659999999999997</v>
      </c>
      <c r="BY81" s="13">
        <f>IF('Données projet'!$A$114&gt;35,BY80+BX81-CG80,IF(A81&lt;'Données projet'!$A$114,$BV$205^A81,IF(A81='Données projet'!$A$114,'Données projet'!$B$114,BY80+BX81-CG80)))</f>
        <v>117.81799999999998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-5.1431925385259088E-14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204.787338911576</v>
      </c>
      <c r="CZ81" s="62">
        <f t="shared" si="96"/>
        <v>287.24932051638558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18.09570201650013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18.09570201650013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201.00000000000006</v>
      </c>
      <c r="DP81" s="18">
        <f>DO81*VLOOKUP('Données projet'!$B$14,Paramètres!$A$1:$I$89,3,0)*VLOOKUP('Données projet'!$B$14,Paramètres!$A$1:$I$89,5,0)</f>
        <v>191.27160000000006</v>
      </c>
      <c r="DQ81" s="14">
        <f t="shared" si="97"/>
        <v>47.820976324217895</v>
      </c>
      <c r="DR81" s="22">
        <f t="shared" si="70"/>
        <v>416.41957043134624</v>
      </c>
      <c r="DS81" s="62">
        <f t="shared" si="71"/>
        <v>709.75290376467956</v>
      </c>
      <c r="DT81" s="62">
        <f ca="1">AVERAGE(OFFSET($DS$3,0,0,'Données projet'!$E$14+1,1))-AVERAGE(OFFSET($H$3,0,0,'Données projet'!$E$14+1,1))</f>
        <v>309.55876703480277</v>
      </c>
      <c r="DU81" s="62">
        <f t="shared" si="98"/>
        <v>122.43799205838684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17.62526764294779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17.62526764294779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10.868571428571427</v>
      </c>
      <c r="EJ81" s="13">
        <f>IF('Données projet'!$A$192&gt;35,EJ80+EI81-ER80,IF(A81&lt;'Données projet'!$A$192,$EG$205^A81,IF(A81='Données projet'!$A$192,'Données projet'!$B$192,EJ80+EI81-ER80)))</f>
        <v>342.67285714285697</v>
      </c>
      <c r="EK81" s="18">
        <f>EJ81*VLOOKUP('Données projet'!$B$15,Paramètres!$A$1:$I$89,3,0)*VLOOKUP('Données projet'!$B$15,Paramètres!$A$1:$I$89,5,0)</f>
        <v>160.37089714285705</v>
      </c>
      <c r="EL81" s="14">
        <f t="shared" si="99"/>
        <v>40.926161015817783</v>
      </c>
      <c r="EM81" s="22">
        <f t="shared" si="73"/>
        <v>350.59237629302532</v>
      </c>
      <c r="EN81" s="62">
        <f t="shared" si="74"/>
        <v>643.92570962635864</v>
      </c>
      <c r="EO81" s="62">
        <f ca="1">AVERAGE(OFFSET($EN$3,0,0,'Données projet'!$E$15+1,1))-AVERAGE(OFFSET($H$3,0,0,'Données projet'!$E$15+1,1))</f>
        <v>301.04834785168049</v>
      </c>
      <c r="EP81" s="62">
        <f t="shared" si="100"/>
        <v>164.1450425611464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26.813881572239627</v>
      </c>
      <c r="EW81" s="23">
        <f>EXP(-LN(2)/25)*EW80+(1-EXP(-LN(2)/25))/(LN(2)/25)*Calculateur!ER81*Calculateur!ET81*VLOOKUP('Données projet'!$B$15,Paramètres!$A$1:$I$89,3,0)*0.475*44/12</f>
        <v>30.975762376906644</v>
      </c>
      <c r="EX81" s="23">
        <f>EXP(-LN(2)/2)*EX80+(1-EXP(-LN(2)/2))/(LN(2)/2)*ER81*EU81*VLOOKUP('Données projet'!$B$15,Paramètres!$A$1:$I$89,3,0)*0.475*44/12</f>
        <v>2.5348024849971496</v>
      </c>
      <c r="EY81" s="24">
        <f t="shared" si="75"/>
        <v>60.324446434143418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6.0955555555555536</v>
      </c>
      <c r="FE81" s="13">
        <f>IF('Données projet'!$A$218&gt;35,FE80+FD81-FM80,IF(A81&lt;'Données projet'!$A$218,$FB$205^A81,IF(A81='Données projet'!$A$218,'Données projet'!$B$218,FE80+FD81-FM80)))</f>
        <v>161.80555555555523</v>
      </c>
      <c r="FF81" s="18">
        <f>FE81*VLOOKUP('Données projet'!$B$16,Paramètres!$A$1:$I$89,3,0)*VLOOKUP('Données projet'!$B$16,Paramètres!$A$1:$I$89,5,0)</f>
        <v>146.40166666666636</v>
      </c>
      <c r="FG81" s="14">
        <f t="shared" si="101"/>
        <v>37.759699453248679</v>
      </c>
      <c r="FH81" s="22">
        <f t="shared" si="76"/>
        <v>320.74771265885198</v>
      </c>
      <c r="FI81" s="62">
        <f t="shared" si="77"/>
        <v>614.0810459921853</v>
      </c>
      <c r="FJ81" s="62">
        <f ca="1">AVERAGE(OFFSET($FI$3,0,0,'Données projet'!$E$16+1,1))-AVERAGE(OFFSET($H$3,0,0,'Données projet'!$E$16+1,1))</f>
        <v>330.53726676433649</v>
      </c>
      <c r="FK81" s="62">
        <f t="shared" si="102"/>
        <v>228.01260676706528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12.446903346306179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12.446903346306179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6.0955555555555536</v>
      </c>
      <c r="FZ81" s="13">
        <f>IF('Données projet'!$A$244&gt;35,FZ80+FY81-GH80,IF(A81&lt;'Données projet'!$A$244,$FW$205^A81,IF(A81='Données projet'!$A$244,'Données projet'!$B$244,FZ80+FY81-GH80)))</f>
        <v>161.80555555555523</v>
      </c>
      <c r="GA81" s="18">
        <f>FZ81*VLOOKUP('Données projet'!$B$17,Paramètres!$A$1:$I$89,3,0)*VLOOKUP('Données projet'!$B$17,Paramètres!$A$1:$I$89,5,0)</f>
        <v>184.26416666666631</v>
      </c>
      <c r="GB81" s="14">
        <f t="shared" si="103"/>
        <v>46.269588060566086</v>
      </c>
      <c r="GC81" s="22">
        <f t="shared" si="79"/>
        <v>401.51295614992978</v>
      </c>
      <c r="GD81" s="62">
        <f t="shared" si="80"/>
        <v>694.84628948326304</v>
      </c>
      <c r="GE81" s="62">
        <f ca="1">AVERAGE(OFFSET($GD$3,0,0,'Données projet'!$E$17+1,1))-AVERAGE(OFFSET($H$3,0,0,'Données projet'!$E$17+1,1))</f>
        <v>405.71017054131318</v>
      </c>
      <c r="GF81" s="62">
        <f t="shared" si="104"/>
        <v>276.12900965322166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15.665930073799162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15.665930073799162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6.0955555555555536</v>
      </c>
      <c r="GU81" s="13">
        <f>IF('Données projet'!$A$270&gt;35,GU80+GT81-HC80,IF(A81&lt;'Données projet'!$A$270,$GR$205^A81,IF(A81='Données projet'!$A$270,'Données projet'!$B$270,GU80+GT81-HC80)))</f>
        <v>161.80555555555523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8.6770000000000014</v>
      </c>
      <c r="N82" s="14">
        <f>IF('Données projet'!$A$36&gt;35,N81+M82-V81,IF(A82&lt;'Données projet'!$A$36,$K$205^A82,IF(A82='Données projet'!$A$36,'Données projet'!$B$36,N81+M82-V81)))</f>
        <v>281.96500000000015</v>
      </c>
      <c r="O82" s="14">
        <f>N82*VLOOKUP('Données projet'!$B$9,Paramètres!$A$1:$I$89,3,0)*VLOOKUP('Données projet'!$B$9,Paramètres!$A$1:$I$89,5,0)</f>
        <v>255.1219320000001</v>
      </c>
      <c r="P82" s="14">
        <f t="shared" si="87"/>
        <v>61.681427575411924</v>
      </c>
      <c r="Q82" s="22">
        <f t="shared" si="54"/>
        <v>551.76585126050918</v>
      </c>
      <c r="R82" s="62">
        <f t="shared" si="55"/>
        <v>845.09918459384244</v>
      </c>
      <c r="S82" s="62">
        <f ca="1">AVERAGE(OFFSET($R$3,0,0,'Données projet'!$E$9+1,1))-AVERAGE(OFFSET($H$3,0,0,'Données projet'!$E$9+1,1))</f>
        <v>452.54136967045082</v>
      </c>
      <c r="T82" s="62">
        <f t="shared" si="88"/>
        <v>269.67340993773422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24.065985975073009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24.065985975073009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9.2599999999999909</v>
      </c>
      <c r="AI82" s="14">
        <f>IF('Données projet'!$A$62&gt;35,AI81+AH82-AQ81,IF(A82&lt;'Données projet'!$A$62,$AF$205^A82,IF(A82='Données projet'!$A$62,'Données projet'!$B$62,AI81+AH82-AQ81)))</f>
        <v>510.74000000000029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8.6770000000000014</v>
      </c>
      <c r="BD82" s="13">
        <f>IF('Données projet'!$A$88&gt;35,BD81+BC82-BL81,IF(A82&lt;'Données projet'!$A$88,$BA$205^A82,IF(A82='Données projet'!$A$88,'Données projet'!$B$88,BD81+BC82-BL81)))</f>
        <v>281.96500000000015</v>
      </c>
      <c r="BE82" s="14">
        <f>BD82*VLOOKUP('Données projet'!$B$11,Paramètres!$A$1:$I$89,3,0)*VLOOKUP('Données projet'!$B$11,Paramètres!$A$1:$I$89,5,0)</f>
        <v>285.91251000000017</v>
      </c>
      <c r="BF82" s="14">
        <f t="shared" si="91"/>
        <v>68.214968580220258</v>
      </c>
      <c r="BG82" s="22">
        <f t="shared" si="61"/>
        <v>616.77202519388391</v>
      </c>
      <c r="BH82" s="62">
        <f t="shared" si="62"/>
        <v>910.10535852721728</v>
      </c>
      <c r="BI82" s="62">
        <f ca="1">AVERAGE(OFFSET($BH$3,0,0,'Données projet'!$E$11+1,1))-AVERAGE(OFFSET($H$3,0,0,'Données projet'!$E$11+1,1))</f>
        <v>502.06005292569733</v>
      </c>
      <c r="BJ82" s="62">
        <f t="shared" si="92"/>
        <v>297.06786598620607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26.970501523788723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26.970501523788723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1.6659999999999997</v>
      </c>
      <c r="BY82" s="13">
        <f>IF('Données projet'!$A$114&gt;35,BY81+BX82-CG81,IF(A82&lt;'Données projet'!$A$114,$BV$205^A82,IF(A82='Données projet'!$A$114,'Données projet'!$B$114,BY81+BX82-CG81)))</f>
        <v>119.48399999999998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-5.1431925385259088E-14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204.787338911576</v>
      </c>
      <c r="CZ82" s="62">
        <f t="shared" si="96"/>
        <v>287.24932051638558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17.740856337244953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17.740856337244953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207.00000000000006</v>
      </c>
      <c r="DP82" s="18">
        <f>DO82*VLOOKUP('Données projet'!$B$14,Paramètres!$A$1:$I$89,3,0)*VLOOKUP('Données projet'!$B$14,Paramètres!$A$1:$I$89,5,0)</f>
        <v>196.98120000000006</v>
      </c>
      <c r="DQ82" s="14">
        <f t="shared" si="97"/>
        <v>49.080140741894134</v>
      </c>
      <c r="DR82" s="22">
        <f t="shared" si="70"/>
        <v>428.55683512546574</v>
      </c>
      <c r="DS82" s="62">
        <f t="shared" si="71"/>
        <v>721.89016845879905</v>
      </c>
      <c r="DT82" s="62">
        <f ca="1">AVERAGE(OFFSET($DS$3,0,0,'Données projet'!$E$14+1,1))-AVERAGE(OFFSET($H$3,0,0,'Données projet'!$E$14+1,1))</f>
        <v>309.55876703480277</v>
      </c>
      <c r="DU82" s="62">
        <f t="shared" si="98"/>
        <v>122.43799205838684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17.279646894821337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17.279646894821337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10.868571428571427</v>
      </c>
      <c r="EJ82" s="13">
        <f>IF('Données projet'!$A$192&gt;35,EJ81+EI82-ER81,IF(A82&lt;'Données projet'!$A$192,$EG$205^A82,IF(A82='Données projet'!$A$192,'Données projet'!$B$192,EJ81+EI82-ER81)))</f>
        <v>353.54142857142841</v>
      </c>
      <c r="EK82" s="18">
        <f>EJ82*VLOOKUP('Données projet'!$B$15,Paramètres!$A$1:$I$89,3,0)*VLOOKUP('Données projet'!$B$15,Paramètres!$A$1:$I$89,5,0)</f>
        <v>165.45738857142848</v>
      </c>
      <c r="EL82" s="14">
        <f t="shared" si="99"/>
        <v>42.071031551669542</v>
      </c>
      <c r="EM82" s="22">
        <f t="shared" si="73"/>
        <v>361.44533171439571</v>
      </c>
      <c r="EN82" s="62">
        <f t="shared" si="74"/>
        <v>654.77866504772896</v>
      </c>
      <c r="EO82" s="62">
        <f ca="1">AVERAGE(OFFSET($EN$3,0,0,'Données projet'!$E$15+1,1))-AVERAGE(OFFSET($H$3,0,0,'Données projet'!$E$15+1,1))</f>
        <v>301.04834785168049</v>
      </c>
      <c r="EP82" s="62">
        <f t="shared" si="100"/>
        <v>164.1450425611464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26.288077709460858</v>
      </c>
      <c r="EW82" s="23">
        <f>EXP(-LN(2)/25)*EW81+(1-EXP(-LN(2)/25))/(LN(2)/25)*Calculateur!ER82*Calculateur!ET82*VLOOKUP('Données projet'!$B$15,Paramètres!$A$1:$I$89,3,0)*0.475*44/12</f>
        <v>30.128728525765585</v>
      </c>
      <c r="EX82" s="23">
        <f>EXP(-LN(2)/2)*EX81+(1-EXP(-LN(2)/2))/(LN(2)/2)*ER82*EU82*VLOOKUP('Données projet'!$B$15,Paramètres!$A$1:$I$89,3,0)*0.475*44/12</f>
        <v>1.7923760261099964</v>
      </c>
      <c r="EY82" s="24">
        <f t="shared" si="75"/>
        <v>58.209182261336444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6.0955555555555536</v>
      </c>
      <c r="FE82" s="13">
        <f>IF('Données projet'!$A$218&gt;35,FE81+FD82-FM81,IF(A82&lt;'Données projet'!$A$218,$FB$205^A82,IF(A82='Données projet'!$A$218,'Données projet'!$B$218,FE81+FD82-FM81)))</f>
        <v>167.90111111111079</v>
      </c>
      <c r="FF82" s="18">
        <f>FE82*VLOOKUP('Données projet'!$B$16,Paramètres!$A$1:$I$89,3,0)*VLOOKUP('Données projet'!$B$16,Paramètres!$A$1:$I$89,5,0)</f>
        <v>151.91692533333304</v>
      </c>
      <c r="FG82" s="14">
        <f t="shared" si="101"/>
        <v>39.013891306147663</v>
      </c>
      <c r="FH82" s="22">
        <f t="shared" si="76"/>
        <v>332.53783898042883</v>
      </c>
      <c r="FI82" s="62">
        <f t="shared" si="77"/>
        <v>625.87117231376214</v>
      </c>
      <c r="FJ82" s="62">
        <f ca="1">AVERAGE(OFFSET($FI$3,0,0,'Données projet'!$E$16+1,1))-AVERAGE(OFFSET($H$3,0,0,'Données projet'!$E$16+1,1))</f>
        <v>330.53726676433649</v>
      </c>
      <c r="FK82" s="62">
        <f t="shared" si="102"/>
        <v>228.01260676706528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12.202827163546521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12.202827163546521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6.0955555555555536</v>
      </c>
      <c r="FZ82" s="13">
        <f>IF('Données projet'!$A$244&gt;35,FZ81+FY82-GH81,IF(A82&lt;'Données projet'!$A$244,$FW$205^A82,IF(A82='Données projet'!$A$244,'Données projet'!$B$244,FZ81+FY82-GH81)))</f>
        <v>167.90111111111079</v>
      </c>
      <c r="GA82" s="18">
        <f>FZ82*VLOOKUP('Données projet'!$B$17,Paramètres!$A$1:$I$89,3,0)*VLOOKUP('Données projet'!$B$17,Paramètres!$A$1:$I$89,5,0)</f>
        <v>191.20578533333295</v>
      </c>
      <c r="GB82" s="14">
        <f t="shared" si="103"/>
        <v>47.80643663782773</v>
      </c>
      <c r="GC82" s="22">
        <f t="shared" si="79"/>
        <v>416.27961993310481</v>
      </c>
      <c r="GD82" s="62">
        <f t="shared" si="80"/>
        <v>709.61295326643813</v>
      </c>
      <c r="GE82" s="62">
        <f ca="1">AVERAGE(OFFSET($GD$3,0,0,'Données projet'!$E$17+1,1))-AVERAGE(OFFSET($H$3,0,0,'Données projet'!$E$17+1,1))</f>
        <v>405.71017054131318</v>
      </c>
      <c r="GF82" s="62">
        <f t="shared" si="104"/>
        <v>276.12900965322166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15.3587307403258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15.3587307403258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6.0955555555555536</v>
      </c>
      <c r="GU82" s="13">
        <f>IF('Données projet'!$A$270&gt;35,GU81+GT82-HC81,IF(A82&lt;'Données projet'!$A$270,$GR$205^A82,IF(A82='Données projet'!$A$270,'Données projet'!$B$270,GU81+GT82-HC81)))</f>
        <v>167.90111111111079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8.6770000000000014</v>
      </c>
      <c r="N83" s="14">
        <f>IF('Données projet'!$A$36&gt;35,N82+M83-V82,IF(A83&lt;'Données projet'!$A$36,$K$205^A83,IF(A83='Données projet'!$A$36,'Données projet'!$B$36,N82+M83-V82)))</f>
        <v>290.64200000000017</v>
      </c>
      <c r="O83" s="14">
        <f>N83*VLOOKUP('Données projet'!$B$9,Paramètres!$A$1:$I$89,3,0)*VLOOKUP('Données projet'!$B$9,Paramètres!$A$1:$I$89,5,0)</f>
        <v>262.97288160000016</v>
      </c>
      <c r="P83" s="14">
        <f t="shared" si="87"/>
        <v>63.355656254051972</v>
      </c>
      <c r="Q83" s="22">
        <f t="shared" si="54"/>
        <v>568.35553676247412</v>
      </c>
      <c r="R83" s="62">
        <f t="shared" si="55"/>
        <v>861.68887009580749</v>
      </c>
      <c r="S83" s="62">
        <f ca="1">AVERAGE(OFFSET($R$3,0,0,'Données projet'!$E$9+1,1))-AVERAGE(OFFSET($H$3,0,0,'Données projet'!$E$9+1,1))</f>
        <v>452.54136967045082</v>
      </c>
      <c r="T83" s="62">
        <f t="shared" si="88"/>
        <v>269.67340993773422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23.59406666890386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23.59406666890386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520</v>
      </c>
      <c r="AG83" s="13">
        <f>VLOOKUP(A83,'Données projet'!$A$61:$I$81,9,0)</f>
        <v>9.2599999999999909</v>
      </c>
      <c r="AH83" s="13">
        <f t="array" ref="AH83">INDEX(AG:AG,MIN(IF(ISNUMBER(AG83:AG279),ROW(AG83:AG279),"")))</f>
        <v>9.2599999999999909</v>
      </c>
      <c r="AI83" s="14">
        <f>IF('Données projet'!$A$62&gt;35,AI82+AH83-AQ82,IF(A83&lt;'Données projet'!$A$62,$AF$205^A83,IF(A83='Données projet'!$A$62,'Données projet'!$B$62,AI82+AH83-AQ82)))</f>
        <v>520.00000000000023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520</v>
      </c>
      <c r="AR83" s="17" t="e">
        <f>IF(ISNA(VLOOKUP(A83,'Données projet'!$A$61:$I$81,5,0)),0%,VLOOKUP(A83,'Données projet'!$A$61:$I$81,5,0)*VLOOKUP('Données projet'!$B$10,Paramètres!$A$1:$I$89,7,0))</f>
        <v>#N/A</v>
      </c>
      <c r="AS83" s="17" t="e">
        <f>IF(ISNA(VLOOKUP(A83,'Données projet'!$A$61:$I$81,6,0)),0%,VLOOKUP(A83,'Données projet'!$A$61:$I$81,6,0)*VLOOKUP('Données projet'!$B$10,Paramètres!$A$1:$I$89,7,0))</f>
        <v>#N/A</v>
      </c>
      <c r="AT83" s="17">
        <f>IF(ISNA(VLOOKUP(A83,'Données projet'!$A$61:$I$81,7,0)),0%,VLOOKUP(A83,'Données projet'!$A$61:$I$81,7,0))</f>
        <v>0.09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8.6770000000000014</v>
      </c>
      <c r="BD83" s="13">
        <f>IF('Données projet'!$A$88&gt;35,BD82+BC83-BL82,IF(A83&lt;'Données projet'!$A$88,$BA$205^A83,IF(A83='Données projet'!$A$88,'Données projet'!$B$88,BD82+BC83-BL82)))</f>
        <v>290.64200000000017</v>
      </c>
      <c r="BE83" s="14">
        <f>BD83*VLOOKUP('Données projet'!$B$11,Paramètres!$A$1:$I$89,3,0)*VLOOKUP('Données projet'!$B$11,Paramètres!$A$1:$I$89,5,0)</f>
        <v>294.71098800000021</v>
      </c>
      <c r="BF83" s="14">
        <f t="shared" si="91"/>
        <v>70.066538188752801</v>
      </c>
      <c r="BG83" s="22">
        <f t="shared" si="61"/>
        <v>635.3208581120781</v>
      </c>
      <c r="BH83" s="62">
        <f t="shared" si="62"/>
        <v>928.65419144541147</v>
      </c>
      <c r="BI83" s="62">
        <f ca="1">AVERAGE(OFFSET($BH$3,0,0,'Données projet'!$E$11+1,1))-AVERAGE(OFFSET($H$3,0,0,'Données projet'!$E$11+1,1))</f>
        <v>502.06005292569733</v>
      </c>
      <c r="BJ83" s="62">
        <f t="shared" si="92"/>
        <v>297.06786598620607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26.441626439288815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26.441626439288815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121.15</v>
      </c>
      <c r="BW83" s="13">
        <f>VLOOKUP(A83,'Données projet'!$A$113:$I$133,9,0)</f>
        <v>1.6659999999999997</v>
      </c>
      <c r="BX83" s="13">
        <f t="array" ref="BX83">INDEX(BW:BW,MIN(IF(ISNUMBER(BW83:BW279),ROW(BW83:BW279),"")))</f>
        <v>1.6659999999999997</v>
      </c>
      <c r="BY83" s="13">
        <f>IF('Données projet'!$A$114&gt;35,BY82+BX83-CG82,IF(A83&lt;'Données projet'!$A$114,$BV$205^A83,IF(A83='Données projet'!$A$114,'Données projet'!$B$114,BY82+BX83-CG82)))</f>
        <v>121.14999999999998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121.15</v>
      </c>
      <c r="CH83" s="17" t="e">
        <f>IF(ISNA(VLOOKUP(A83,'Données projet'!$A$113:$I$133,5,0)),0%,VLOOKUP(A83,'Données projet'!$A$113:$I$133,5,0)*VLOOKUP('Données projet'!$B$12,Paramètres!$A$1:$I$89,7,0))</f>
        <v>#N/A</v>
      </c>
      <c r="CI83" s="17" t="e">
        <f>IF(ISNA(VLOOKUP(A83,'Données projet'!$A$113:$I$133,6,0)),0%,VLOOKUP(A83,'Données projet'!$A$113:$I$133,6,0)*VLOOKUP('Données projet'!$B$12,Paramètres!$A$1:$I$89,7,0))</f>
        <v>#N/A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-5.1431925385259088E-14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204.787338911576</v>
      </c>
      <c r="CZ83" s="62">
        <f t="shared" si="96"/>
        <v>287.24932051638558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17.392968965325476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17.392968965325476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213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213.00000000000006</v>
      </c>
      <c r="DP83" s="18">
        <f>DO83*VLOOKUP('Données projet'!$B$14,Paramètres!$A$1:$I$89,3,0)*VLOOKUP('Données projet'!$B$14,Paramètres!$A$1:$I$89,5,0)</f>
        <v>202.69080000000005</v>
      </c>
      <c r="DQ83" s="14">
        <f t="shared" si="97"/>
        <v>50.335063379382106</v>
      </c>
      <c r="DR83" s="22">
        <f t="shared" si="70"/>
        <v>440.6867120524239</v>
      </c>
      <c r="DS83" s="62">
        <f t="shared" si="71"/>
        <v>734.02004538575716</v>
      </c>
      <c r="DT83" s="62">
        <f ca="1">AVERAGE(OFFSET($DS$3,0,0,'Données projet'!$E$14+1,1))-AVERAGE(OFFSET($H$3,0,0,'Données projet'!$E$14+1,1))</f>
        <v>309.55876703480277</v>
      </c>
      <c r="DU83" s="62">
        <f t="shared" si="98"/>
        <v>122.43799205838684</v>
      </c>
      <c r="DV83" s="16">
        <f>IF(ISNA(VLOOKUP(A83,'Données projet'!$A$165:$I$185,3,0)),0,VLOOKUP(A83,'Données projet'!$A$165:$I$185,3,0))</f>
        <v>9</v>
      </c>
      <c r="DW83" s="16">
        <f>IF(ISNA(VLOOKUP(A83,'Données projet'!$A$165:$I$185,4,0)),0,VLOOKUP(A83,'Données projet'!$A$165:$I$185,4,0))</f>
        <v>22</v>
      </c>
      <c r="DX83" s="17">
        <f>IF(ISNA(VLOOKUP(A83,'Données projet'!$A$165:$I$185,5,0)),0%,VLOOKUP(A83,'Données projet'!$A$165:$I$185,5,0)*VLOOKUP('Données projet'!$B$14,Paramètres!$A$1:$I$89,7,0))</f>
        <v>0.215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21.916600909021419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21.916600909021419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364.41</v>
      </c>
      <c r="EH83" s="13">
        <f>VLOOKUP(A83,'Données projet'!$A$191:$I$211,9,0)</f>
        <v>10.868571428571427</v>
      </c>
      <c r="EI83" s="13">
        <f t="array" ref="EI83">INDEX(EH:EH,MIN(IF(ISNUMBER(EH83:EH279),ROW(EH83:EH279),"")))</f>
        <v>10.868571428571427</v>
      </c>
      <c r="EJ83" s="13">
        <f>IF('Données projet'!$A$192&gt;35,EJ82+EI83-ER82,IF(A83&lt;'Données projet'!$A$192,$EG$205^A83,IF(A83='Données projet'!$A$192,'Données projet'!$B$192,EJ82+EI83-ER82)))</f>
        <v>364.40999999999985</v>
      </c>
      <c r="EK83" s="18">
        <f>EJ83*VLOOKUP('Données projet'!$B$15,Paramètres!$A$1:$I$89,3,0)*VLOOKUP('Données projet'!$B$15,Paramètres!$A$1:$I$89,5,0)</f>
        <v>170.54387999999994</v>
      </c>
      <c r="EL83" s="14">
        <f t="shared" si="99"/>
        <v>43.2118119586681</v>
      </c>
      <c r="EM83" s="22">
        <f t="shared" si="73"/>
        <v>372.29116349468018</v>
      </c>
      <c r="EN83" s="62">
        <f t="shared" si="74"/>
        <v>665.62449682801343</v>
      </c>
      <c r="EO83" s="62">
        <f ca="1">AVERAGE(OFFSET($EN$3,0,0,'Données projet'!$E$15+1,1))-AVERAGE(OFFSET($H$3,0,0,'Données projet'!$E$15+1,1))</f>
        <v>301.04834785168049</v>
      </c>
      <c r="EP83" s="62">
        <f t="shared" si="100"/>
        <v>164.1450425611464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25.772584539722494</v>
      </c>
      <c r="EW83" s="23">
        <f>EXP(-LN(2)/25)*EW82+(1-EXP(-LN(2)/25))/(LN(2)/25)*Calculateur!ER83*Calculateur!ET83*VLOOKUP('Données projet'!$B$15,Paramètres!$A$1:$I$89,3,0)*0.475*44/12</f>
        <v>29.304856859827552</v>
      </c>
      <c r="EX83" s="23">
        <f>EXP(-LN(2)/2)*EX82+(1-EXP(-LN(2)/2))/(LN(2)/2)*ER83*EU83*VLOOKUP('Données projet'!$B$15,Paramètres!$A$1:$I$89,3,0)*0.475*44/12</f>
        <v>1.2674012424985748</v>
      </c>
      <c r="EY83" s="24">
        <f t="shared" si="75"/>
        <v>56.344842642048619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6.0955555555555536</v>
      </c>
      <c r="FE83" s="13">
        <f>IF('Données projet'!$A$218&gt;35,FE82+FD83-FM82,IF(A83&lt;'Données projet'!$A$218,$FB$205^A83,IF(A83='Données projet'!$A$218,'Données projet'!$B$218,FE82+FD83-FM82)))</f>
        <v>173.99666666666636</v>
      </c>
      <c r="FF83" s="18">
        <f>FE83*VLOOKUP('Données projet'!$B$16,Paramètres!$A$1:$I$89,3,0)*VLOOKUP('Données projet'!$B$16,Paramètres!$A$1:$I$89,5,0)</f>
        <v>157.43218399999972</v>
      </c>
      <c r="FG83" s="14">
        <f t="shared" si="101"/>
        <v>40.262793104408381</v>
      </c>
      <c r="FH83" s="22">
        <f t="shared" si="76"/>
        <v>344.31875179017743</v>
      </c>
      <c r="FI83" s="62">
        <f t="shared" si="77"/>
        <v>637.65208512351069</v>
      </c>
      <c r="FJ83" s="62">
        <f ca="1">AVERAGE(OFFSET($FI$3,0,0,'Données projet'!$E$16+1,1))-AVERAGE(OFFSET($H$3,0,0,'Données projet'!$E$16+1,1))</f>
        <v>330.53726676433649</v>
      </c>
      <c r="FK83" s="62">
        <f t="shared" si="102"/>
        <v>228.01260676706528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11.963537165859009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11.963537165859009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6.0955555555555536</v>
      </c>
      <c r="FZ83" s="13">
        <f>IF('Données projet'!$A$244&gt;35,FZ82+FY83-GH82,IF(A83&lt;'Données projet'!$A$244,$FW$205^A83,IF(A83='Données projet'!$A$244,'Données projet'!$B$244,FZ82+FY83-GH82)))</f>
        <v>173.99666666666636</v>
      </c>
      <c r="GA83" s="18">
        <f>FZ83*VLOOKUP('Données projet'!$B$17,Paramètres!$A$1:$I$89,3,0)*VLOOKUP('Données projet'!$B$17,Paramètres!$A$1:$I$89,5,0)</f>
        <v>198.14740399999965</v>
      </c>
      <c r="GB83" s="14">
        <f t="shared" si="103"/>
        <v>49.336802942919007</v>
      </c>
      <c r="GC83" s="22">
        <f t="shared" si="79"/>
        <v>431.03499375891664</v>
      </c>
      <c r="GD83" s="62">
        <f t="shared" si="80"/>
        <v>724.36832709224996</v>
      </c>
      <c r="GE83" s="62">
        <f ca="1">AVERAGE(OFFSET($GD$3,0,0,'Données projet'!$E$17+1,1))-AVERAGE(OFFSET($H$3,0,0,'Données projet'!$E$17+1,1))</f>
        <v>405.71017054131318</v>
      </c>
      <c r="GF83" s="62">
        <f t="shared" si="104"/>
        <v>276.12900965322166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15.057555398408759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15.057555398408759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6.0955555555555536</v>
      </c>
      <c r="GU83" s="13">
        <f>IF('Données projet'!$A$270&gt;35,GU82+GT83-HC82,IF(A83&lt;'Données projet'!$A$270,$GR$205^A83,IF(A83='Données projet'!$A$270,'Données projet'!$B$270,GU82+GT83-HC82)))</f>
        <v>173.99666666666636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8.6770000000000014</v>
      </c>
      <c r="N84" s="14">
        <f>IF('Données projet'!$A$36&gt;35,N83+M84-V83,IF(A84&lt;'Données projet'!$A$36,$K$205^A84,IF(A84='Données projet'!$A$36,'Données projet'!$B$36,N83+M84-V83)))</f>
        <v>299.31900000000019</v>
      </c>
      <c r="O84" s="14">
        <f>N84*VLOOKUP('Données projet'!$B$9,Paramètres!$A$1:$I$89,3,0)*VLOOKUP('Données projet'!$B$9,Paramètres!$A$1:$I$89,5,0)</f>
        <v>270.8238312000002</v>
      </c>
      <c r="P84" s="14">
        <f t="shared" si="87"/>
        <v>65.024076047844915</v>
      </c>
      <c r="Q84" s="22">
        <f t="shared" si="54"/>
        <v>584.93510512333023</v>
      </c>
      <c r="R84" s="62">
        <f t="shared" si="55"/>
        <v>878.26843845666349</v>
      </c>
      <c r="S84" s="62">
        <f ca="1">AVERAGE(OFFSET($R$3,0,0,'Données projet'!$E$9+1,1))-AVERAGE(OFFSET($H$3,0,0,'Données projet'!$E$9+1,1))</f>
        <v>452.54136967045082</v>
      </c>
      <c r="T84" s="62">
        <f t="shared" si="88"/>
        <v>269.67340993773422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23.131401412486333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23.131401412486333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8.6770000000000014</v>
      </c>
      <c r="BD84" s="13">
        <f>IF('Données projet'!$A$88&gt;35,BD83+BC84-BL83,IF(A84&lt;'Données projet'!$A$88,$BA$205^A84,IF(A84='Données projet'!$A$88,'Données projet'!$B$88,BD83+BC84-BL83)))</f>
        <v>299.31900000000019</v>
      </c>
      <c r="BE84" s="14">
        <f>BD84*VLOOKUP('Données projet'!$B$11,Paramètres!$A$1:$I$89,3,0)*VLOOKUP('Données projet'!$B$11,Paramètres!$A$1:$I$89,5,0)</f>
        <v>303.5094660000002</v>
      </c>
      <c r="BF84" s="14">
        <f t="shared" si="91"/>
        <v>71.911683612358004</v>
      </c>
      <c r="BG84" s="22">
        <f t="shared" si="61"/>
        <v>653.85850224152387</v>
      </c>
      <c r="BH84" s="62">
        <f t="shared" si="62"/>
        <v>947.19183557485712</v>
      </c>
      <c r="BI84" s="62">
        <f ca="1">AVERAGE(OFFSET($BH$3,0,0,'Données projet'!$E$11+1,1))-AVERAGE(OFFSET($H$3,0,0,'Données projet'!$E$11+1,1))</f>
        <v>502.06005292569733</v>
      </c>
      <c r="BJ84" s="62">
        <f t="shared" si="92"/>
        <v>297.06786598620607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25.923122272614002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25.923122272614002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-2.8421709430404007E-14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-5.1431925385259088E-14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204.787338911576</v>
      </c>
      <c r="CZ84" s="62">
        <f t="shared" si="96"/>
        <v>287.24932051638558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17.051903452578994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17.051903452578994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5.8</v>
      </c>
      <c r="DO84" s="13">
        <f>IF('Données projet'!$A$166&gt;35,DO83+DN84-DW83,IF(A84&lt;'Données projet'!$A$166,$DL$205^A84,IF(A84='Données projet'!$A$166,'Données projet'!$B$166,DO83+DN84-DW83)))</f>
        <v>196.80000000000007</v>
      </c>
      <c r="DP84" s="18">
        <f>DO84*VLOOKUP('Données projet'!$B$14,Paramètres!$A$1:$I$89,3,0)*VLOOKUP('Données projet'!$B$14,Paramètres!$A$1:$I$89,5,0)</f>
        <v>187.27488000000008</v>
      </c>
      <c r="DQ84" s="14">
        <f t="shared" si="97"/>
        <v>46.936961883202549</v>
      </c>
      <c r="DR84" s="22">
        <f t="shared" si="70"/>
        <v>407.91895794657785</v>
      </c>
      <c r="DS84" s="62">
        <f t="shared" si="71"/>
        <v>701.25229127991111</v>
      </c>
      <c r="DT84" s="62">
        <f ca="1">AVERAGE(OFFSET($DS$3,0,0,'Données projet'!$E$14+1,1))-AVERAGE(OFFSET($H$3,0,0,'Données projet'!$E$14+1,1))</f>
        <v>309.55876703480277</v>
      </c>
      <c r="DU84" s="62">
        <f t="shared" si="98"/>
        <v>122.43799205838684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21.486829733002104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21.486829733002104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11.15</v>
      </c>
      <c r="EJ84" s="13">
        <f>IF('Données projet'!$A$192&gt;35,EJ83+EI84-ER83,IF(A84&lt;'Données projet'!$A$192,$EG$205^A84,IF(A84='Données projet'!$A$192,'Données projet'!$B$192,EJ83+EI84-ER83)))</f>
        <v>375.55999999999983</v>
      </c>
      <c r="EK84" s="18">
        <f>EJ84*VLOOKUP('Données projet'!$B$15,Paramètres!$A$1:$I$89,3,0)*VLOOKUP('Données projet'!$B$15,Paramètres!$A$1:$I$89,5,0)</f>
        <v>175.76207999999991</v>
      </c>
      <c r="EL84" s="14">
        <f t="shared" si="99"/>
        <v>44.378023620059302</v>
      </c>
      <c r="EM84" s="22">
        <f t="shared" si="73"/>
        <v>383.41068047160314</v>
      </c>
      <c r="EN84" s="62">
        <f t="shared" si="74"/>
        <v>676.74401380493646</v>
      </c>
      <c r="EO84" s="62">
        <f ca="1">AVERAGE(OFFSET($EN$3,0,0,'Données projet'!$E$15+1,1))-AVERAGE(OFFSET($H$3,0,0,'Données projet'!$E$15+1,1))</f>
        <v>301.04834785168049</v>
      </c>
      <c r="EP84" s="62">
        <f t="shared" si="100"/>
        <v>164.1450425611464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25.267199876622911</v>
      </c>
      <c r="EW84" s="23">
        <f>EXP(-LN(2)/25)*EW83+(1-EXP(-LN(2)/25))/(LN(2)/25)*Calculateur!ER84*Calculateur!ET84*VLOOKUP('Données projet'!$B$15,Paramètres!$A$1:$I$89,3,0)*0.475*44/12</f>
        <v>28.503514007920124</v>
      </c>
      <c r="EX84" s="23">
        <f>EXP(-LN(2)/2)*EX83+(1-EXP(-LN(2)/2))/(LN(2)/2)*ER84*EU84*VLOOKUP('Données projet'!$B$15,Paramètres!$A$1:$I$89,3,0)*0.475*44/12</f>
        <v>0.89618801305499818</v>
      </c>
      <c r="EY84" s="24">
        <f t="shared" si="75"/>
        <v>54.666901897598031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6.0955555555555536</v>
      </c>
      <c r="FE84" s="13">
        <f>IF('Données projet'!$A$218&gt;35,FE83+FD84-FM83,IF(A84&lt;'Données projet'!$A$218,$FB$205^A84,IF(A84='Données projet'!$A$218,'Données projet'!$B$218,FE83+FD84-FM83)))</f>
        <v>180.09222222222192</v>
      </c>
      <c r="FF84" s="18">
        <f>FE84*VLOOKUP('Données projet'!$B$16,Paramètres!$A$1:$I$89,3,0)*VLOOKUP('Données projet'!$B$16,Paramètres!$A$1:$I$89,5,0)</f>
        <v>162.94744266666638</v>
      </c>
      <c r="FG84" s="14">
        <f t="shared" si="101"/>
        <v>41.506611408776685</v>
      </c>
      <c r="FH84" s="22">
        <f t="shared" si="76"/>
        <v>356.09081084806326</v>
      </c>
      <c r="FI84" s="62">
        <f t="shared" si="77"/>
        <v>649.42414418139651</v>
      </c>
      <c r="FJ84" s="62">
        <f ca="1">AVERAGE(OFFSET($FI$3,0,0,'Données projet'!$E$16+1,1))-AVERAGE(OFFSET($H$3,0,0,'Données projet'!$E$16+1,1))</f>
        <v>330.53726676433649</v>
      </c>
      <c r="FK84" s="62">
        <f t="shared" si="102"/>
        <v>228.01260676706528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11.728939499073663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11.728939499073663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6.0955555555555536</v>
      </c>
      <c r="FZ84" s="13">
        <f>IF('Données projet'!$A$244&gt;35,FZ83+FY84-GH83,IF(A84&lt;'Données projet'!$A$244,$FW$205^A84,IF(A84='Données projet'!$A$244,'Données projet'!$B$244,FZ83+FY84-GH83)))</f>
        <v>180.09222222222192</v>
      </c>
      <c r="GA84" s="18">
        <f>FZ84*VLOOKUP('Données projet'!$B$17,Paramètres!$A$1:$I$89,3,0)*VLOOKUP('Données projet'!$B$17,Paramètres!$A$1:$I$89,5,0)</f>
        <v>205.08902266666635</v>
      </c>
      <c r="GB84" s="14">
        <f t="shared" si="103"/>
        <v>50.86094008909965</v>
      </c>
      <c r="GC84" s="22">
        <f t="shared" si="79"/>
        <v>445.77951846629236</v>
      </c>
      <c r="GD84" s="62">
        <f t="shared" si="80"/>
        <v>739.11285179962567</v>
      </c>
      <c r="GE84" s="62">
        <f ca="1">AVERAGE(OFFSET($GD$3,0,0,'Données projet'!$E$17+1,1))-AVERAGE(OFFSET($H$3,0,0,'Données projet'!$E$17+1,1))</f>
        <v>405.71017054131318</v>
      </c>
      <c r="GF84" s="62">
        <f t="shared" si="104"/>
        <v>276.12900965322166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14.762285921247893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14.762285921247893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6.0955555555555536</v>
      </c>
      <c r="GU84" s="13">
        <f>IF('Données projet'!$A$270&gt;35,GU83+GT84-HC83,IF(A84&lt;'Données projet'!$A$270,$GR$205^A84,IF(A84='Données projet'!$A$270,'Données projet'!$B$270,GU83+GT84-HC83)))</f>
        <v>180.09222222222192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8.6770000000000014</v>
      </c>
      <c r="N85" s="14">
        <f>IF('Données projet'!$A$36&gt;35,N84+M85-V84,IF(A85&lt;'Données projet'!$A$36,$K$205^A85,IF(A85='Données projet'!$A$36,'Données projet'!$B$36,N84+M85-V84)))</f>
        <v>307.99600000000021</v>
      </c>
      <c r="O85" s="14">
        <f>N85*VLOOKUP('Données projet'!$B$9,Paramètres!$A$1:$I$89,3,0)*VLOOKUP('Données projet'!$B$9,Paramètres!$A$1:$I$89,5,0)</f>
        <v>278.67478080000018</v>
      </c>
      <c r="P85" s="14">
        <f t="shared" si="87"/>
        <v>66.686874688958113</v>
      </c>
      <c r="Q85" s="22">
        <f t="shared" si="54"/>
        <v>601.50488330993562</v>
      </c>
      <c r="R85" s="62">
        <f t="shared" si="55"/>
        <v>894.83821664326888</v>
      </c>
      <c r="S85" s="62">
        <f ca="1">AVERAGE(OFFSET($R$3,0,0,'Données projet'!$E$9+1,1))-AVERAGE(OFFSET($H$3,0,0,'Données projet'!$E$9+1,1))</f>
        <v>452.54136967045082</v>
      </c>
      <c r="T85" s="62">
        <f t="shared" si="88"/>
        <v>269.67340993773422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22.677808739549214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22.677808739549214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8.6770000000000014</v>
      </c>
      <c r="BD85" s="13">
        <f>IF('Données projet'!$A$88&gt;35,BD84+BC85-BL84,IF(A85&lt;'Données projet'!$A$88,$BA$205^A85,IF(A85='Données projet'!$A$88,'Données projet'!$B$88,BD84+BC85-BL84)))</f>
        <v>307.99600000000021</v>
      </c>
      <c r="BE85" s="14">
        <f>BD85*VLOOKUP('Données projet'!$B$11,Paramètres!$A$1:$I$89,3,0)*VLOOKUP('Données projet'!$B$11,Paramètres!$A$1:$I$89,5,0)</f>
        <v>312.30794400000019</v>
      </c>
      <c r="BF85" s="14">
        <f t="shared" si="91"/>
        <v>73.750612468537497</v>
      </c>
      <c r="BG85" s="22">
        <f t="shared" si="61"/>
        <v>672.38531918270314</v>
      </c>
      <c r="BH85" s="62">
        <f t="shared" si="62"/>
        <v>965.7186525160364</v>
      </c>
      <c r="BI85" s="62">
        <f ca="1">AVERAGE(OFFSET($BH$3,0,0,'Données projet'!$E$11+1,1))-AVERAGE(OFFSET($H$3,0,0,'Données projet'!$E$11+1,1))</f>
        <v>502.06005292569733</v>
      </c>
      <c r="BJ85" s="62">
        <f t="shared" si="92"/>
        <v>297.06786598620607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25.414785656391366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25.414785656391366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-2.8421709430404007E-14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-5.1431925385259088E-14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204.787338911576</v>
      </c>
      <c r="CZ85" s="62">
        <f t="shared" si="96"/>
        <v>287.24932051638558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16.71752602650805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16.71752602650805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5.8</v>
      </c>
      <c r="DO85" s="13">
        <f>IF('Données projet'!$A$166&gt;35,DO84+DN85-DW84,IF(A85&lt;'Données projet'!$A$166,$DL$205^A85,IF(A85='Données projet'!$A$166,'Données projet'!$B$166,DO84+DN85-DW84)))</f>
        <v>202.60000000000008</v>
      </c>
      <c r="DP85" s="18">
        <f>DO85*VLOOKUP('Données projet'!$B$14,Paramètres!$A$1:$I$89,3,0)*VLOOKUP('Données projet'!$B$14,Paramètres!$A$1:$I$89,5,0)</f>
        <v>192.79416000000006</v>
      </c>
      <c r="DQ85" s="14">
        <f t="shared" si="97"/>
        <v>48.157176097802179</v>
      </c>
      <c r="DR85" s="22">
        <f t="shared" si="70"/>
        <v>419.65691037033889</v>
      </c>
      <c r="DS85" s="62">
        <f t="shared" si="71"/>
        <v>712.99024370367215</v>
      </c>
      <c r="DT85" s="62">
        <f ca="1">AVERAGE(OFFSET($DS$3,0,0,'Données projet'!$E$14+1,1))-AVERAGE(OFFSET($H$3,0,0,'Données projet'!$E$14+1,1))</f>
        <v>309.55876703480277</v>
      </c>
      <c r="DU85" s="62">
        <f t="shared" si="98"/>
        <v>122.43799205838684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21.065486107609992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21.065486107609992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11.15</v>
      </c>
      <c r="EJ85" s="13">
        <f>IF('Données projet'!$A$192&gt;35,EJ84+EI85-ER84,IF(A85&lt;'Données projet'!$A$192,$EG$205^A85,IF(A85='Données projet'!$A$192,'Données projet'!$B$192,EJ84+EI85-ER84)))</f>
        <v>386.70999999999981</v>
      </c>
      <c r="EK85" s="18">
        <f>EJ85*VLOOKUP('Données projet'!$B$15,Paramètres!$A$1:$I$89,3,0)*VLOOKUP('Données projet'!$B$15,Paramètres!$A$1:$I$89,5,0)</f>
        <v>180.98027999999994</v>
      </c>
      <c r="EL85" s="14">
        <f t="shared" si="99"/>
        <v>45.540211419129371</v>
      </c>
      <c r="EM85" s="22">
        <f t="shared" si="73"/>
        <v>394.52318922165023</v>
      </c>
      <c r="EN85" s="62">
        <f t="shared" si="74"/>
        <v>687.85652255498348</v>
      </c>
      <c r="EO85" s="62">
        <f ca="1">AVERAGE(OFFSET($EN$3,0,0,'Données projet'!$E$15+1,1))-AVERAGE(OFFSET($H$3,0,0,'Données projet'!$E$15+1,1))</f>
        <v>301.04834785168049</v>
      </c>
      <c r="EP85" s="62">
        <f t="shared" si="100"/>
        <v>164.1450425611464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24.771725498512502</v>
      </c>
      <c r="EW85" s="23">
        <f>EXP(-LN(2)/25)*EW84+(1-EXP(-LN(2)/25))/(LN(2)/25)*Calculateur!ER85*Calculateur!ET85*VLOOKUP('Données projet'!$B$15,Paramètres!$A$1:$I$89,3,0)*0.475*44/12</f>
        <v>27.724083918438893</v>
      </c>
      <c r="EX85" s="23">
        <f>EXP(-LN(2)/2)*EX84+(1-EXP(-LN(2)/2))/(LN(2)/2)*ER85*EU85*VLOOKUP('Données projet'!$B$15,Paramètres!$A$1:$I$89,3,0)*0.475*44/12</f>
        <v>0.63370062124928739</v>
      </c>
      <c r="EY85" s="24">
        <f t="shared" si="75"/>
        <v>53.129510038200685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6.0955555555555536</v>
      </c>
      <c r="FE85" s="13">
        <f>IF('Données projet'!$A$218&gt;35,FE84+FD85-FM84,IF(A85&lt;'Données projet'!$A$218,$FB$205^A85,IF(A85='Données projet'!$A$218,'Données projet'!$B$218,FE84+FD85-FM84)))</f>
        <v>186.18777777777748</v>
      </c>
      <c r="FF85" s="18">
        <f>FE85*VLOOKUP('Données projet'!$B$16,Paramètres!$A$1:$I$89,3,0)*VLOOKUP('Données projet'!$B$16,Paramètres!$A$1:$I$89,5,0)</f>
        <v>168.46270133333306</v>
      </c>
      <c r="FG85" s="14">
        <f t="shared" si="101"/>
        <v>42.745538003857938</v>
      </c>
      <c r="FH85" s="22">
        <f t="shared" si="76"/>
        <v>367.85435017894093</v>
      </c>
      <c r="FI85" s="62">
        <f t="shared" si="77"/>
        <v>661.18768351227425</v>
      </c>
      <c r="FJ85" s="62">
        <f ca="1">AVERAGE(OFFSET($FI$3,0,0,'Données projet'!$E$16+1,1))-AVERAGE(OFFSET($H$3,0,0,'Données projet'!$E$16+1,1))</f>
        <v>330.53726676433649</v>
      </c>
      <c r="FK85" s="62">
        <f t="shared" si="102"/>
        <v>228.01260676706528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11.498942149443529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11.498942149443529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6.0955555555555536</v>
      </c>
      <c r="FZ85" s="13">
        <f>IF('Données projet'!$A$244&gt;35,FZ84+FY85-GH84,IF(A85&lt;'Données projet'!$A$244,$FW$205^A85,IF(A85='Données projet'!$A$244,'Données projet'!$B$244,FZ84+FY85-GH84)))</f>
        <v>186.18777777777748</v>
      </c>
      <c r="GA85" s="18">
        <f>FZ85*VLOOKUP('Données projet'!$B$17,Paramètres!$A$1:$I$89,3,0)*VLOOKUP('Données projet'!$B$17,Paramètres!$A$1:$I$89,5,0)</f>
        <v>212.03064133333299</v>
      </c>
      <c r="GB85" s="14">
        <f t="shared" si="103"/>
        <v>52.379083083396068</v>
      </c>
      <c r="GC85" s="22">
        <f t="shared" si="79"/>
        <v>460.51360335913643</v>
      </c>
      <c r="GD85" s="62">
        <f t="shared" si="80"/>
        <v>753.84693669246974</v>
      </c>
      <c r="GE85" s="62">
        <f ca="1">AVERAGE(OFFSET($GD$3,0,0,'Données projet'!$E$17+1,1))-AVERAGE(OFFSET($H$3,0,0,'Données projet'!$E$17+1,1))</f>
        <v>405.71017054131318</v>
      </c>
      <c r="GF85" s="62">
        <f t="shared" si="104"/>
        <v>276.12900965322166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14.472806498437551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14.472806498437551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6.0955555555555536</v>
      </c>
      <c r="GU85" s="13">
        <f>IF('Données projet'!$A$270&gt;35,GU84+GT85-HC84,IF(A85&lt;'Données projet'!$A$270,$GR$205^A85,IF(A85='Données projet'!$A$270,'Données projet'!$B$270,GU84+GT85-HC84)))</f>
        <v>186.18777777777748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8.6770000000000014</v>
      </c>
      <c r="N86" s="14">
        <f>IF('Données projet'!$A$36&gt;35,N85+M86-V85,IF(A86&lt;'Données projet'!$A$36,$K$205^A86,IF(A86='Données projet'!$A$36,'Données projet'!$B$36,N85+M86-V85)))</f>
        <v>316.67300000000023</v>
      </c>
      <c r="O86" s="14">
        <f>N86*VLOOKUP('Données projet'!$B$9,Paramètres!$A$1:$I$89,3,0)*VLOOKUP('Données projet'!$B$9,Paramètres!$A$1:$I$89,5,0)</f>
        <v>286.52573040000021</v>
      </c>
      <c r="P86" s="14">
        <f t="shared" si="87"/>
        <v>68.344228730046424</v>
      </c>
      <c r="Q86" s="22">
        <f t="shared" si="54"/>
        <v>618.06517881816455</v>
      </c>
      <c r="R86" s="62">
        <f t="shared" si="55"/>
        <v>911.39851215149793</v>
      </c>
      <c r="S86" s="62">
        <f ca="1">AVERAGE(OFFSET($R$3,0,0,'Données projet'!$E$9+1,1))-AVERAGE(OFFSET($H$3,0,0,'Données projet'!$E$9+1,1))</f>
        <v>452.54136967045082</v>
      </c>
      <c r="T86" s="62">
        <f t="shared" si="88"/>
        <v>269.67340993773422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22.233110742264177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22.233110742264177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8.6770000000000014</v>
      </c>
      <c r="BD86" s="13">
        <f>IF('Données projet'!$A$88&gt;35,BD85+BC86-BL85,IF(A86&lt;'Données projet'!$A$88,$BA$205^A86,IF(A86='Données projet'!$A$88,'Données projet'!$B$88,BD85+BC86-BL85)))</f>
        <v>316.67300000000023</v>
      </c>
      <c r="BE86" s="14">
        <f>BD86*VLOOKUP('Données projet'!$B$11,Paramètres!$A$1:$I$89,3,0)*VLOOKUP('Données projet'!$B$11,Paramètres!$A$1:$I$89,5,0)</f>
        <v>321.10642200000024</v>
      </c>
      <c r="BF86" s="14">
        <f t="shared" si="91"/>
        <v>75.58352001110228</v>
      </c>
      <c r="BG86" s="22">
        <f t="shared" si="61"/>
        <v>690.90164900267018</v>
      </c>
      <c r="BH86" s="62">
        <f t="shared" si="62"/>
        <v>984.23498233600344</v>
      </c>
      <c r="BI86" s="62">
        <f ca="1">AVERAGE(OFFSET($BH$3,0,0,'Données projet'!$E$11+1,1))-AVERAGE(OFFSET($H$3,0,0,'Données projet'!$E$11+1,1))</f>
        <v>502.06005292569733</v>
      </c>
      <c r="BJ86" s="62">
        <f t="shared" si="92"/>
        <v>297.06786598620607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24.916417211158137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24.916417211158137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-2.8421709430404007E-14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-5.1431925385259088E-14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204.787338911576</v>
      </c>
      <c r="CZ86" s="62">
        <f t="shared" si="96"/>
        <v>287.24932051638558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16.389705537812265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16.389705537812265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5.8</v>
      </c>
      <c r="DO86" s="13">
        <f>IF('Données projet'!$A$166&gt;35,DO85+DN86-DW85,IF(A86&lt;'Données projet'!$A$166,$DL$205^A86,IF(A86='Données projet'!$A$166,'Données projet'!$B$166,DO85+DN86-DW85)))</f>
        <v>208.40000000000009</v>
      </c>
      <c r="DP86" s="18">
        <f>DO86*VLOOKUP('Données projet'!$B$14,Paramètres!$A$1:$I$89,3,0)*VLOOKUP('Données projet'!$B$14,Paramètres!$A$1:$I$89,5,0)</f>
        <v>198.3134400000001</v>
      </c>
      <c r="DQ86" s="14">
        <f t="shared" si="97"/>
        <v>49.373330397745256</v>
      </c>
      <c r="DR86" s="22">
        <f t="shared" si="70"/>
        <v>431.38779177607313</v>
      </c>
      <c r="DS86" s="62">
        <f t="shared" si="71"/>
        <v>724.72112510940644</v>
      </c>
      <c r="DT86" s="62">
        <f ca="1">AVERAGE(OFFSET($DS$3,0,0,'Données projet'!$E$14+1,1))-AVERAGE(OFFSET($H$3,0,0,'Données projet'!$E$14+1,1))</f>
        <v>309.55876703480277</v>
      </c>
      <c r="DU86" s="62">
        <f t="shared" si="98"/>
        <v>122.43799205838684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20.652404773717585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20.652404773717585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11.15</v>
      </c>
      <c r="EJ86" s="13">
        <f>IF('Données projet'!$A$192&gt;35,EJ85+EI86-ER85,IF(A86&lt;'Données projet'!$A$192,$EG$205^A86,IF(A86='Données projet'!$A$192,'Données projet'!$B$192,EJ85+EI86-ER85)))</f>
        <v>397.85999999999979</v>
      </c>
      <c r="EK86" s="18">
        <f>EJ86*VLOOKUP('Données projet'!$B$15,Paramètres!$A$1:$I$89,3,0)*VLOOKUP('Données projet'!$B$15,Paramètres!$A$1:$I$89,5,0)</f>
        <v>186.1984799999999</v>
      </c>
      <c r="EL86" s="14">
        <f t="shared" si="99"/>
        <v>46.698504699733995</v>
      </c>
      <c r="EM86" s="22">
        <f t="shared" si="73"/>
        <v>405.62891501870325</v>
      </c>
      <c r="EN86" s="62">
        <f t="shared" si="74"/>
        <v>698.96224835203657</v>
      </c>
      <c r="EO86" s="62">
        <f ca="1">AVERAGE(OFFSET($EN$3,0,0,'Données projet'!$E$15+1,1))-AVERAGE(OFFSET($H$3,0,0,'Données projet'!$E$15+1,1))</f>
        <v>301.04834785168049</v>
      </c>
      <c r="EP86" s="62">
        <f t="shared" si="100"/>
        <v>164.1450425611464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24.285967070747311</v>
      </c>
      <c r="EW86" s="23">
        <f>EXP(-LN(2)/25)*EW85+(1-EXP(-LN(2)/25))/(LN(2)/25)*Calculateur!ER86*Calculateur!ET86*VLOOKUP('Données projet'!$B$15,Paramètres!$A$1:$I$89,3,0)*0.475*44/12</f>
        <v>26.965967385742971</v>
      </c>
      <c r="EX86" s="23">
        <f>EXP(-LN(2)/2)*EX85+(1-EXP(-LN(2)/2))/(LN(2)/2)*ER86*EU86*VLOOKUP('Données projet'!$B$15,Paramètres!$A$1:$I$89,3,0)*0.475*44/12</f>
        <v>0.44809400652749909</v>
      </c>
      <c r="EY86" s="24">
        <f t="shared" si="75"/>
        <v>51.70002846301778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6.0955555555555536</v>
      </c>
      <c r="FE86" s="13">
        <f>IF('Données projet'!$A$218&gt;35,FE85+FD86-FM85,IF(A86&lt;'Données projet'!$A$218,$FB$205^A86,IF(A86='Données projet'!$A$218,'Données projet'!$B$218,FE85+FD86-FM85)))</f>
        <v>192.28333333333305</v>
      </c>
      <c r="FF86" s="18">
        <f>FE86*VLOOKUP('Données projet'!$B$16,Paramètres!$A$1:$I$89,3,0)*VLOOKUP('Données projet'!$B$16,Paramètres!$A$1:$I$89,5,0)</f>
        <v>173.97795999999974</v>
      </c>
      <c r="FG86" s="14">
        <f t="shared" si="101"/>
        <v>43.979751403912715</v>
      </c>
      <c r="FH86" s="22">
        <f t="shared" si="76"/>
        <v>379.60968069514752</v>
      </c>
      <c r="FI86" s="62">
        <f t="shared" si="77"/>
        <v>672.94301402848077</v>
      </c>
      <c r="FJ86" s="62">
        <f ca="1">AVERAGE(OFFSET($FI$3,0,0,'Données projet'!$E$16+1,1))-AVERAGE(OFFSET($H$3,0,0,'Données projet'!$E$16+1,1))</f>
        <v>330.53726676433649</v>
      </c>
      <c r="FK86" s="62">
        <f t="shared" si="102"/>
        <v>228.01260676706528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11.273454907555111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11.273454907555111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6.0955555555555536</v>
      </c>
      <c r="FZ86" s="13">
        <f>IF('Données projet'!$A$244&gt;35,FZ85+FY86-GH85,IF(A86&lt;'Données projet'!$A$244,$FW$205^A86,IF(A86='Données projet'!$A$244,'Données projet'!$B$244,FZ85+FY86-GH85)))</f>
        <v>192.28333333333305</v>
      </c>
      <c r="GA86" s="18">
        <f>FZ86*VLOOKUP('Données projet'!$B$17,Paramètres!$A$1:$I$89,3,0)*VLOOKUP('Données projet'!$B$17,Paramètres!$A$1:$I$89,5,0)</f>
        <v>218.97225999999966</v>
      </c>
      <c r="GB86" s="14">
        <f t="shared" si="103"/>
        <v>53.891450671757575</v>
      </c>
      <c r="GC86" s="22">
        <f t="shared" si="79"/>
        <v>475.23762941997717</v>
      </c>
      <c r="GD86" s="62">
        <f t="shared" si="80"/>
        <v>768.57096275331048</v>
      </c>
      <c r="GE86" s="62">
        <f ca="1">AVERAGE(OFFSET($GD$3,0,0,'Données projet'!$E$17+1,1))-AVERAGE(OFFSET($H$3,0,0,'Données projet'!$E$17+1,1))</f>
        <v>405.71017054131318</v>
      </c>
      <c r="GF86" s="62">
        <f t="shared" si="104"/>
        <v>276.12900965322166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14.189003590543507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14.189003590543507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6.0955555555555536</v>
      </c>
      <c r="GU86" s="13">
        <f>IF('Données projet'!$A$270&gt;35,GU85+GT86-HC85,IF(A86&lt;'Données projet'!$A$270,$GR$205^A86,IF(A86='Données projet'!$A$270,'Données projet'!$B$270,GU85+GT86-HC85)))</f>
        <v>192.28333333333305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325.35000000000002</v>
      </c>
      <c r="L87" s="13">
        <f>VLOOKUP(A87,'Données projet'!$A$35:$I$55,9,0)</f>
        <v>8.6770000000000014</v>
      </c>
      <c r="M87" s="13">
        <f t="array" ref="M87">INDEX(L:L,MIN(IF(ISNUMBER(L87:L283),ROW(L87:L283),"")))</f>
        <v>8.6770000000000014</v>
      </c>
      <c r="N87" s="14">
        <f>IF('Données projet'!$A$36&gt;35,N86+M87-V86,IF(A87&lt;'Données projet'!$A$36,$K$205^A87,IF(A87='Données projet'!$A$36,'Données projet'!$B$36,N86+M87-V86)))</f>
        <v>325.35000000000025</v>
      </c>
      <c r="O87" s="14">
        <f>N87*VLOOKUP('Données projet'!$B$9,Paramètres!$A$1:$I$89,3,0)*VLOOKUP('Données projet'!$B$9,Paramètres!$A$1:$I$89,5,0)</f>
        <v>294.37668000000025</v>
      </c>
      <c r="P87" s="14">
        <f t="shared" si="87"/>
        <v>69.99630449784344</v>
      </c>
      <c r="Q87" s="22">
        <f t="shared" si="54"/>
        <v>634.61628133374438</v>
      </c>
      <c r="R87" s="62">
        <f t="shared" si="55"/>
        <v>927.94961466707764</v>
      </c>
      <c r="S87" s="62">
        <f ca="1">AVERAGE(OFFSET($R$3,0,0,'Données projet'!$E$9+1,1))-AVERAGE(OFFSET($H$3,0,0,'Données projet'!$E$9+1,1))</f>
        <v>452.54136967045082</v>
      </c>
      <c r="T87" s="62">
        <f t="shared" si="88"/>
        <v>269.67340993773422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61.47</v>
      </c>
      <c r="W87" s="17">
        <f>IF(ISNA(VLOOKUP(A87,'Données projet'!$A$35:$I$55,5,0)),0%,VLOOKUP(A87,'Données projet'!$A$35:$I$55,5,0)*VLOOKUP('Données projet'!$B$9,Paramètres!$A$1:$I$89,7,0))</f>
        <v>0.25800000000000001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37.660034278069766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37.660034278069766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325.35000000000002</v>
      </c>
      <c r="BB87" s="13">
        <f>VLOOKUP(A87,'Données projet'!$A$87:$I$107,9,0)</f>
        <v>8.6770000000000014</v>
      </c>
      <c r="BC87" s="13">
        <f t="array" ref="BC87">INDEX(BB:BB,MIN(IF(ISNUMBER(BB87:BB283),ROW(BB87:BB283),"")))</f>
        <v>8.6770000000000014</v>
      </c>
      <c r="BD87" s="13">
        <f>IF('Données projet'!$A$88&gt;35,BD86+BC87-BL86,IF(A87&lt;'Données projet'!$A$88,$BA$205^A87,IF(A87='Données projet'!$A$88,'Données projet'!$B$88,BD86+BC87-BL86)))</f>
        <v>325.35000000000025</v>
      </c>
      <c r="BE87" s="14">
        <f>BD87*VLOOKUP('Données projet'!$B$11,Paramètres!$A$1:$I$89,3,0)*VLOOKUP('Données projet'!$B$11,Paramètres!$A$1:$I$89,5,0)</f>
        <v>329.90490000000028</v>
      </c>
      <c r="BF87" s="14">
        <f t="shared" si="91"/>
        <v>77.410590184772218</v>
      </c>
      <c r="BG87" s="22">
        <f t="shared" si="61"/>
        <v>709.40781207181215</v>
      </c>
      <c r="BH87" s="62">
        <f t="shared" si="62"/>
        <v>1002.7411454051455</v>
      </c>
      <c r="BI87" s="62">
        <f ca="1">AVERAGE(OFFSET($BH$3,0,0,'Données projet'!$E$11+1,1))-AVERAGE(OFFSET($H$3,0,0,'Données projet'!$E$11+1,1))</f>
        <v>502.06005292569733</v>
      </c>
      <c r="BJ87" s="62">
        <f t="shared" si="92"/>
        <v>297.06786598620607</v>
      </c>
      <c r="BK87" s="16">
        <f>IF(ISNA(VLOOKUP(A87,'Données projet'!$A$87:$I$107,3,0)),0,VLOOKUP(A87,'Données projet'!$A$87:$I$107,3,0))</f>
        <v>6</v>
      </c>
      <c r="BL87" s="16">
        <f>IF(ISNA(VLOOKUP(A87,'Données projet'!$A$87:$I$107,4,0)),0,VLOOKUP(A87,'Données projet'!$A$87:$I$107,4,0))</f>
        <v>61.47</v>
      </c>
      <c r="BM87" s="17">
        <f>IF(ISNA(VLOOKUP(A87,'Données projet'!$A$87:$I$107,5,0)),0%,VLOOKUP(A87,'Données projet'!$A$87:$I$107,5,0)*VLOOKUP('Données projet'!$B$11,Paramètres!$A$1:$I$89,7,0))</f>
        <v>0.25800000000000001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42.205210828871294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42.205210828871294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-2.8421709430404007E-14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-5.1431925385259088E-14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204.787338911576</v>
      </c>
      <c r="CZ87" s="62">
        <f t="shared" si="96"/>
        <v>287.24932051638558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16.068313408949049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16.068313408949049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5.8</v>
      </c>
      <c r="DO87" s="13">
        <f>IF('Données projet'!$A$166&gt;35,DO86+DN87-DW86,IF(A87&lt;'Données projet'!$A$166,$DL$205^A87,IF(A87='Données projet'!$A$166,'Données projet'!$B$166,DO86+DN87-DW86)))</f>
        <v>214.2000000000001</v>
      </c>
      <c r="DP87" s="18">
        <f>DO87*VLOOKUP('Données projet'!$B$14,Paramètres!$A$1:$I$89,3,0)*VLOOKUP('Données projet'!$B$14,Paramètres!$A$1:$I$89,5,0)</f>
        <v>203.83272000000011</v>
      </c>
      <c r="DQ87" s="14">
        <f t="shared" si="97"/>
        <v>50.585550755991584</v>
      </c>
      <c r="DR87" s="22">
        <f t="shared" si="70"/>
        <v>443.11182156668548</v>
      </c>
      <c r="DS87" s="62">
        <f t="shared" si="71"/>
        <v>736.44515490001879</v>
      </c>
      <c r="DT87" s="62">
        <f ca="1">AVERAGE(OFFSET($DS$3,0,0,'Données projet'!$E$14+1,1))-AVERAGE(OFFSET($H$3,0,0,'Données projet'!$E$14+1,1))</f>
        <v>309.55876703480277</v>
      </c>
      <c r="DU87" s="62">
        <f t="shared" si="98"/>
        <v>122.43799205838684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20.247423712828073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20.247423712828073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11.15</v>
      </c>
      <c r="EJ87" s="13">
        <f>IF('Données projet'!$A$192&gt;35,EJ86+EI87-ER86,IF(A87&lt;'Données projet'!$A$192,$EG$205^A87,IF(A87='Données projet'!$A$192,'Données projet'!$B$192,EJ86+EI87-ER86)))</f>
        <v>409.00999999999976</v>
      </c>
      <c r="EK87" s="18">
        <f>EJ87*VLOOKUP('Données projet'!$B$15,Paramètres!$A$1:$I$89,3,0)*VLOOKUP('Données projet'!$B$15,Paramètres!$A$1:$I$89,5,0)</f>
        <v>191.41667999999987</v>
      </c>
      <c r="EL87" s="14">
        <f t="shared" si="99"/>
        <v>47.853025143556422</v>
      </c>
      <c r="EM87" s="22">
        <f t="shared" si="73"/>
        <v>416.72806979169383</v>
      </c>
      <c r="EN87" s="62">
        <f t="shared" si="74"/>
        <v>710.06140312502714</v>
      </c>
      <c r="EO87" s="62">
        <f ca="1">AVERAGE(OFFSET($EN$3,0,0,'Données projet'!$E$15+1,1))-AVERAGE(OFFSET($H$3,0,0,'Données projet'!$E$15+1,1))</f>
        <v>301.04834785168049</v>
      </c>
      <c r="EP87" s="62">
        <f t="shared" si="100"/>
        <v>164.1450425611464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23.809734069467211</v>
      </c>
      <c r="EW87" s="23">
        <f>EXP(-LN(2)/25)*EW86+(1-EXP(-LN(2)/25))/(LN(2)/25)*Calculateur!ER87*Calculateur!ET87*VLOOKUP('Données projet'!$B$15,Paramètres!$A$1:$I$89,3,0)*0.475*44/12</f>
        <v>26.228581589501236</v>
      </c>
      <c r="EX87" s="23">
        <f>EXP(-LN(2)/2)*EX86+(1-EXP(-LN(2)/2))/(LN(2)/2)*ER87*EU87*VLOOKUP('Données projet'!$B$15,Paramètres!$A$1:$I$89,3,0)*0.475*44/12</f>
        <v>0.31685031062464369</v>
      </c>
      <c r="EY87" s="24">
        <f t="shared" si="75"/>
        <v>50.355165969593088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6.0955555555555536</v>
      </c>
      <c r="FE87" s="13">
        <f>IF('Données projet'!$A$218&gt;35,FE86+FD87-FM86,IF(A87&lt;'Données projet'!$A$218,$FB$205^A87,IF(A87='Données projet'!$A$218,'Données projet'!$B$218,FE86+FD87-FM86)))</f>
        <v>198.37888888888861</v>
      </c>
      <c r="FF87" s="18">
        <f>FE87*VLOOKUP('Données projet'!$B$16,Paramètres!$A$1:$I$89,3,0)*VLOOKUP('Données projet'!$B$16,Paramètres!$A$1:$I$89,5,0)</f>
        <v>179.49321866666639</v>
      </c>
      <c r="FG87" s="14">
        <f t="shared" si="101"/>
        <v>45.209418162348214</v>
      </c>
      <c r="FH87" s="22">
        <f t="shared" si="76"/>
        <v>391.35709247720041</v>
      </c>
      <c r="FI87" s="62">
        <f t="shared" si="77"/>
        <v>684.69042581053372</v>
      </c>
      <c r="FJ87" s="62">
        <f ca="1">AVERAGE(OFFSET($FI$3,0,0,'Données projet'!$E$16+1,1))-AVERAGE(OFFSET($H$3,0,0,'Données projet'!$E$16+1,1))</f>
        <v>330.53726676433649</v>
      </c>
      <c r="FK87" s="62">
        <f t="shared" si="102"/>
        <v>228.01260676706528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11.052389332946488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11.052389332946488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6.0955555555555536</v>
      </c>
      <c r="FZ87" s="13">
        <f>IF('Données projet'!$A$244&gt;35,FZ86+FY87-GH86,IF(A87&lt;'Données projet'!$A$244,$FW$205^A87,IF(A87='Données projet'!$A$244,'Données projet'!$B$244,FZ86+FY87-GH86)))</f>
        <v>198.37888888888861</v>
      </c>
      <c r="GA87" s="18">
        <f>FZ87*VLOOKUP('Données projet'!$B$17,Paramètres!$A$1:$I$89,3,0)*VLOOKUP('Données projet'!$B$17,Paramètres!$A$1:$I$89,5,0)</f>
        <v>225.91387866666633</v>
      </c>
      <c r="GB87" s="14">
        <f t="shared" si="103"/>
        <v>55.398246943667182</v>
      </c>
      <c r="GC87" s="22">
        <f t="shared" si="79"/>
        <v>489.95195210466414</v>
      </c>
      <c r="GD87" s="62">
        <f t="shared" si="80"/>
        <v>783.28528543799746</v>
      </c>
      <c r="GE87" s="62">
        <f ca="1">AVERAGE(OFFSET($GD$3,0,0,'Données projet'!$E$17+1,1))-AVERAGE(OFFSET($H$3,0,0,'Données projet'!$E$17+1,1))</f>
        <v>405.71017054131318</v>
      </c>
      <c r="GF87" s="62">
        <f t="shared" si="104"/>
        <v>276.12900965322166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13.910765884570583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13.910765884570583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6.0955555555555536</v>
      </c>
      <c r="GU87" s="13">
        <f>IF('Données projet'!$A$270&gt;35,GU86+GT87-HC86,IF(A87&lt;'Données projet'!$A$270,$GR$205^A87,IF(A87='Données projet'!$A$270,'Données projet'!$B$270,GU86+GT87-HC86)))</f>
        <v>198.37888888888861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8.1950000000000021</v>
      </c>
      <c r="N88" s="14">
        <f>IF('Données projet'!$A$36&gt;35,N87+M88-V87,IF(A88&lt;'Données projet'!$A$36,$K$205^A88,IF(A88='Données projet'!$A$36,'Données projet'!$B$36,N87+M88-V87)))</f>
        <v>272.07500000000027</v>
      </c>
      <c r="O88" s="14">
        <f>N88*VLOOKUP('Données projet'!$B$9,Paramètres!$A$1:$I$89,3,0)*VLOOKUP('Données projet'!$B$9,Paramètres!$A$1:$I$89,5,0)</f>
        <v>246.17346000000026</v>
      </c>
      <c r="P88" s="14">
        <f t="shared" si="87"/>
        <v>59.765810778539873</v>
      </c>
      <c r="Q88" s="22">
        <f t="shared" si="54"/>
        <v>532.84422993929081</v>
      </c>
      <c r="R88" s="62">
        <f t="shared" si="55"/>
        <v>826.17756327262418</v>
      </c>
      <c r="S88" s="62">
        <f ca="1">AVERAGE(OFFSET($R$3,0,0,'Données projet'!$E$9+1,1))-AVERAGE(OFFSET($H$3,0,0,'Données projet'!$E$9+1,1))</f>
        <v>452.54136967045082</v>
      </c>
      <c r="T88" s="62">
        <f t="shared" si="88"/>
        <v>269.67340993773422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36.921543976229593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36.921543976229593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8.1950000000000021</v>
      </c>
      <c r="BD88" s="13">
        <f>IF('Données projet'!$A$88&gt;35,BD87+BC88-BL87,IF(A88&lt;'Données projet'!$A$88,$BA$205^A88,IF(A88='Données projet'!$A$88,'Données projet'!$B$88,BD87+BC88-BL87)))</f>
        <v>272.07500000000027</v>
      </c>
      <c r="BE88" s="14">
        <f>BD88*VLOOKUP('Données projet'!$B$11,Paramètres!$A$1:$I$89,3,0)*VLOOKUP('Données projet'!$B$11,Paramètres!$A$1:$I$89,5,0)</f>
        <v>275.88405000000029</v>
      </c>
      <c r="BF88" s="14">
        <f t="shared" si="91"/>
        <v>66.096442068319945</v>
      </c>
      <c r="BG88" s="22">
        <f t="shared" si="61"/>
        <v>595.61602368565775</v>
      </c>
      <c r="BH88" s="62">
        <f t="shared" si="62"/>
        <v>888.94935701899112</v>
      </c>
      <c r="BI88" s="62">
        <f ca="1">AVERAGE(OFFSET($BH$3,0,0,'Données projet'!$E$11+1,1))-AVERAGE(OFFSET($H$3,0,0,'Données projet'!$E$11+1,1))</f>
        <v>502.06005292569733</v>
      </c>
      <c r="BJ88" s="62">
        <f t="shared" si="92"/>
        <v>297.06786598620607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41.377592387153861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41.377592387153861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-2.8421709430404007E-14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-5.1431925385259088E-14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204.787338911576</v>
      </c>
      <c r="CZ88" s="62">
        <f t="shared" si="96"/>
        <v>287.24932051638558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15.753223583702999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15.753223583702999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220</v>
      </c>
      <c r="DM88" s="13">
        <f>VLOOKUP(A88,'Données projet'!$A$165:$I$185,9,0)</f>
        <v>5.8</v>
      </c>
      <c r="DN88" s="13">
        <f t="array" ref="DN88">INDEX(DM:DM,MIN(IF(ISNUMBER(DM88:DM284),ROW(DM88:DM284),"")))</f>
        <v>5.8</v>
      </c>
      <c r="DO88" s="13">
        <f>IF('Données projet'!$A$166&gt;35,DO87+DN88-DW87,IF(A88&lt;'Données projet'!$A$166,$DL$205^A88,IF(A88='Données projet'!$A$166,'Données projet'!$B$166,DO87+DN88-DW87)))</f>
        <v>220.00000000000011</v>
      </c>
      <c r="DP88" s="18">
        <f>DO88*VLOOKUP('Données projet'!$B$14,Paramètres!$A$1:$I$89,3,0)*VLOOKUP('Données projet'!$B$14,Paramètres!$A$1:$I$89,5,0)</f>
        <v>209.35200000000012</v>
      </c>
      <c r="DQ88" s="14">
        <f t="shared" si="97"/>
        <v>51.793955935094402</v>
      </c>
      <c r="DR88" s="22">
        <f t="shared" si="70"/>
        <v>454.82920658695633</v>
      </c>
      <c r="DS88" s="62">
        <f t="shared" si="71"/>
        <v>748.16253992028965</v>
      </c>
      <c r="DT88" s="62">
        <f ca="1">AVERAGE(OFFSET($DS$3,0,0,'Données projet'!$E$14+1,1))-AVERAGE(OFFSET($H$3,0,0,'Données projet'!$E$14+1,1))</f>
        <v>309.55876703480277</v>
      </c>
      <c r="DU88" s="62">
        <f t="shared" si="98"/>
        <v>122.43799205838684</v>
      </c>
      <c r="DV88" s="16">
        <f>IF(ISNA(VLOOKUP(A88,'Données projet'!$A$165:$I$185,3,0)),0,VLOOKUP(A88,'Données projet'!$A$165:$I$185,3,0))</f>
        <v>10</v>
      </c>
      <c r="DW88" s="16">
        <f>IF(ISNA(VLOOKUP(A88,'Données projet'!$A$165:$I$185,4,0)),0,VLOOKUP(A88,'Données projet'!$A$165:$I$185,4,0))</f>
        <v>22</v>
      </c>
      <c r="DX88" s="17">
        <f>IF(ISNA(VLOOKUP(A88,'Données projet'!$A$165:$I$185,5,0)),0%,VLOOKUP(A88,'Données projet'!$A$165:$I$185,5,0)*VLOOKUP('Données projet'!$B$14,Paramètres!$A$1:$I$89,7,0))</f>
        <v>0.25800000000000001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25.821340903844884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25.821340903844884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420.16</v>
      </c>
      <c r="EH88" s="13">
        <f>VLOOKUP(A88,'Données projet'!$A$191:$I$211,9,0)</f>
        <v>11.15</v>
      </c>
      <c r="EI88" s="13">
        <f t="array" ref="EI88">INDEX(EH:EH,MIN(IF(ISNUMBER(EH88:EH284),ROW(EH88:EH284),"")))</f>
        <v>11.15</v>
      </c>
      <c r="EJ88" s="13">
        <f>IF('Données projet'!$A$192&gt;35,EJ87+EI88-ER87,IF(A88&lt;'Données projet'!$A$192,$EG$205^A88,IF(A88='Données projet'!$A$192,'Données projet'!$B$192,EJ87+EI88-ER87)))</f>
        <v>420.15999999999974</v>
      </c>
      <c r="EK88" s="18">
        <f>EJ88*VLOOKUP('Données projet'!$B$15,Paramètres!$A$1:$I$89,3,0)*VLOOKUP('Données projet'!$B$15,Paramètres!$A$1:$I$89,5,0)</f>
        <v>196.6348799999999</v>
      </c>
      <c r="EL88" s="14">
        <f t="shared" si="99"/>
        <v>49.003887420349052</v>
      </c>
      <c r="EM88" s="22">
        <f t="shared" si="73"/>
        <v>427.82085325710779</v>
      </c>
      <c r="EN88" s="62">
        <f t="shared" si="74"/>
        <v>721.1541865904411</v>
      </c>
      <c r="EO88" s="62">
        <f ca="1">AVERAGE(OFFSET($EN$3,0,0,'Données projet'!$E$15+1,1))-AVERAGE(OFFSET($H$3,0,0,'Données projet'!$E$15+1,1))</f>
        <v>301.04834785168049</v>
      </c>
      <c r="EP88" s="62">
        <f t="shared" si="100"/>
        <v>164.1450425611464</v>
      </c>
      <c r="EQ88" s="16">
        <f>IF(ISNA(VLOOKUP(A88,'Données projet'!$A$191:$I$211,3,0)),0,VLOOKUP(A88,'Données projet'!$A$191:$I$211,3,0))</f>
        <v>4</v>
      </c>
      <c r="ER88" s="16">
        <f>IF(ISNA(VLOOKUP(A88,'Données projet'!$A$191:$I$211,4,0)),0,VLOOKUP(A88,'Données projet'!$A$191:$I$211,4,0))</f>
        <v>94.69</v>
      </c>
      <c r="ES88" s="17">
        <f>IF(ISNA(VLOOKUP(A88,'Données projet'!$A$191:$I$211,5,0)),0%,VLOOKUP(A88,'Données projet'!$A$191:$I$211,5,0)*VLOOKUP('Données projet'!$B$15,Paramètres!$A$1:$I$89,7,0))</f>
        <v>0.27500000000000002</v>
      </c>
      <c r="ET88" s="17">
        <f>IF(ISNA(VLOOKUP(A88,'Données projet'!$A$191:$I$211,6,0)),0%,VLOOKUP(A88,'Données projet'!$A$191:$I$211,6,0)*VLOOKUP('Données projet'!$B$15,Paramètres!$A$1:$I$89,7,0))</f>
        <v>0.15400000000000003</v>
      </c>
      <c r="EU88" s="17">
        <f>IF(ISNA(VLOOKUP(A88,'Données projet'!$A$191:$I$211,7,0)),0%,VLOOKUP(A88,'Données projet'!$A$191:$I$211,7,0))</f>
        <v>0.22</v>
      </c>
      <c r="EV88" s="23">
        <f>EXP(-LN(2)/35)*EV87+(1-EXP(-LN(2)/35))/(LN(2)/35)*ER88*ES88*VLOOKUP('Données projet'!$B$15,Paramètres!$A$1:$I$89,3,0)*0.475*44/12</f>
        <v>39.509154079221631</v>
      </c>
      <c r="EW88" s="23">
        <f>EXP(-LN(2)/25)*EW87+(1-EXP(-LN(2)/25))/(LN(2)/25)*Calculateur!ER88*Calculateur!ET88*VLOOKUP('Données projet'!$B$15,Paramètres!$A$1:$I$89,3,0)*0.475*44/12</f>
        <v>34.528850049014487</v>
      </c>
      <c r="EX88" s="23">
        <f>EXP(-LN(2)/2)*EX87+(1-EXP(-LN(2)/2))/(LN(2)/2)*ER88*EU88*VLOOKUP('Données projet'!$B$15,Paramètres!$A$1:$I$89,3,0)*0.475*44/12</f>
        <v>11.262499414250087</v>
      </c>
      <c r="EY88" s="24">
        <f t="shared" si="75"/>
        <v>85.300503542486197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6.0955555555555536</v>
      </c>
      <c r="FE88" s="13">
        <f>IF('Données projet'!$A$218&gt;35,FE87+FD88-FM87,IF(A88&lt;'Données projet'!$A$218,$FB$205^A88,IF(A88='Données projet'!$A$218,'Données projet'!$B$218,FE87+FD88-FM87)))</f>
        <v>204.47444444444417</v>
      </c>
      <c r="FF88" s="18">
        <f>FE88*VLOOKUP('Données projet'!$B$16,Paramètres!$A$1:$I$89,3,0)*VLOOKUP('Données projet'!$B$16,Paramètres!$A$1:$I$89,5,0)</f>
        <v>185.00847733333308</v>
      </c>
      <c r="FG88" s="14">
        <f t="shared" si="101"/>
        <v>46.434694015742146</v>
      </c>
      <c r="FH88" s="22">
        <f t="shared" si="76"/>
        <v>403.09685676630596</v>
      </c>
      <c r="FI88" s="62">
        <f t="shared" si="77"/>
        <v>696.43019009963928</v>
      </c>
      <c r="FJ88" s="62">
        <f ca="1">AVERAGE(OFFSET($FI$3,0,0,'Données projet'!$E$16+1,1))-AVERAGE(OFFSET($H$3,0,0,'Données projet'!$E$16+1,1))</f>
        <v>330.53726676433649</v>
      </c>
      <c r="FK88" s="62">
        <f t="shared" si="102"/>
        <v>228.01260676706528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10.835658719419254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10.835658719419254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6.0955555555555536</v>
      </c>
      <c r="FZ88" s="13">
        <f>IF('Données projet'!$A$244&gt;35,FZ87+FY88-GH87,IF(A88&lt;'Données projet'!$A$244,$FW$205^A88,IF(A88='Données projet'!$A$244,'Données projet'!$B$244,FZ87+FY88-GH87)))</f>
        <v>204.47444444444417</v>
      </c>
      <c r="GA88" s="18">
        <f>FZ88*VLOOKUP('Données projet'!$B$17,Paramètres!$A$1:$I$89,3,0)*VLOOKUP('Données projet'!$B$17,Paramètres!$A$1:$I$89,5,0)</f>
        <v>232.85549733333306</v>
      </c>
      <c r="GB88" s="14">
        <f t="shared" si="103"/>
        <v>56.899662733993814</v>
      </c>
      <c r="GC88" s="22">
        <f t="shared" si="79"/>
        <v>504.65690378392759</v>
      </c>
      <c r="GD88" s="62">
        <f t="shared" si="80"/>
        <v>797.9902371172609</v>
      </c>
      <c r="GE88" s="62">
        <f ca="1">AVERAGE(OFFSET($GD$3,0,0,'Données projet'!$E$17+1,1))-AVERAGE(OFFSET($H$3,0,0,'Données projet'!$E$17+1,1))</f>
        <v>405.71017054131318</v>
      </c>
      <c r="GF88" s="62">
        <f t="shared" si="104"/>
        <v>276.12900965322166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13.637984250303546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13.637984250303546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6.0955555555555536</v>
      </c>
      <c r="GU88" s="13">
        <f>IF('Données projet'!$A$270&gt;35,GU87+GT88-HC87,IF(A88&lt;'Données projet'!$A$270,$GR$205^A88,IF(A88='Données projet'!$A$270,'Données projet'!$B$270,GU87+GT88-HC87)))</f>
        <v>204.47444444444417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8.1950000000000021</v>
      </c>
      <c r="N89" s="14">
        <f>IF('Données projet'!$A$36&gt;35,N88+M89-V88,IF(A89&lt;'Données projet'!$A$36,$K$205^A89,IF(A89='Données projet'!$A$36,'Données projet'!$B$36,N88+M89-V88)))</f>
        <v>280.27000000000027</v>
      </c>
      <c r="O89" s="14">
        <f>N89*VLOOKUP('Données projet'!$B$9,Paramètres!$A$1:$I$89,3,0)*VLOOKUP('Données projet'!$B$9,Paramètres!$A$1:$I$89,5,0)</f>
        <v>253.58829600000024</v>
      </c>
      <c r="P89" s="14">
        <f t="shared" si="87"/>
        <v>61.353681967202355</v>
      </c>
      <c r="Q89" s="22">
        <f t="shared" si="54"/>
        <v>548.52394495954456</v>
      </c>
      <c r="R89" s="62">
        <f t="shared" si="55"/>
        <v>841.85727829287794</v>
      </c>
      <c r="S89" s="62">
        <f ca="1">AVERAGE(OFFSET($R$3,0,0,'Données projet'!$E$9+1,1))-AVERAGE(OFFSET($H$3,0,0,'Données projet'!$E$9+1,1))</f>
        <v>452.54136967045082</v>
      </c>
      <c r="T89" s="62">
        <f t="shared" si="88"/>
        <v>269.67340993773422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36.197535018773898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36.197535018773898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8.1950000000000021</v>
      </c>
      <c r="BD89" s="13">
        <f>IF('Données projet'!$A$88&gt;35,BD88+BC89-BL88,IF(A89&lt;'Données projet'!$A$88,$BA$205^A89,IF(A89='Données projet'!$A$88,'Données projet'!$B$88,BD88+BC89-BL88)))</f>
        <v>280.27000000000027</v>
      </c>
      <c r="BE89" s="14">
        <f>BD89*VLOOKUP('Données projet'!$B$11,Paramètres!$A$1:$I$89,3,0)*VLOOKUP('Données projet'!$B$11,Paramètres!$A$1:$I$89,5,0)</f>
        <v>284.19378000000029</v>
      </c>
      <c r="BF89" s="14">
        <f t="shared" si="91"/>
        <v>67.852506859648315</v>
      </c>
      <c r="BG89" s="22">
        <f t="shared" si="61"/>
        <v>613.14728294722136</v>
      </c>
      <c r="BH89" s="62">
        <f t="shared" si="62"/>
        <v>906.48061628055461</v>
      </c>
      <c r="BI89" s="62">
        <f ca="1">AVERAGE(OFFSET($BH$3,0,0,'Données projet'!$E$11+1,1))-AVERAGE(OFFSET($H$3,0,0,'Données projet'!$E$11+1,1))</f>
        <v>502.06005292569733</v>
      </c>
      <c r="BJ89" s="62">
        <f t="shared" si="92"/>
        <v>297.06786598620607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40.566203038281103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40.566203038281103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-2.8421709430404007E-14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-5.1431925385259088E-14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204.787338911576</v>
      </c>
      <c r="CZ89" s="62">
        <f t="shared" si="96"/>
        <v>287.24932051638558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15.444312477744207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15.444312477744207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203.60000000000011</v>
      </c>
      <c r="DP89" s="18">
        <f>DO89*VLOOKUP('Données projet'!$B$14,Paramètres!$A$1:$I$89,3,0)*VLOOKUP('Données projet'!$B$14,Paramètres!$A$1:$I$89,5,0)</f>
        <v>193.7457600000001</v>
      </c>
      <c r="DQ89" s="14">
        <f t="shared" si="97"/>
        <v>48.367143914001069</v>
      </c>
      <c r="DR89" s="22">
        <f t="shared" si="70"/>
        <v>421.67997431688536</v>
      </c>
      <c r="DS89" s="62">
        <f t="shared" si="71"/>
        <v>715.01330765021862</v>
      </c>
      <c r="DT89" s="62">
        <f ca="1">AVERAGE(OFFSET($DS$3,0,0,'Données projet'!$E$14+1,1))-AVERAGE(OFFSET($H$3,0,0,'Données projet'!$E$14+1,1))</f>
        <v>309.55876703480277</v>
      </c>
      <c r="DU89" s="62">
        <f t="shared" si="98"/>
        <v>122.43799205838684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25.315000158183306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25.315000158183306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9.9839999999999911</v>
      </c>
      <c r="EJ89" s="13">
        <f>IF('Données projet'!$A$192&gt;35,EJ88+EI89-ER88,IF(A89&lt;'Données projet'!$A$192,$EG$205^A89,IF(A89='Données projet'!$A$192,'Données projet'!$B$192,EJ88+EI89-ER88)))</f>
        <v>335.45399999999972</v>
      </c>
      <c r="EK89" s="18">
        <f>EJ89*VLOOKUP('Données projet'!$B$15,Paramètres!$A$1:$I$89,3,0)*VLOOKUP('Données projet'!$B$15,Paramètres!$A$1:$I$89,5,0)</f>
        <v>156.99247199999985</v>
      </c>
      <c r="EL89" s="14">
        <f t="shared" si="99"/>
        <v>40.163411714047015</v>
      </c>
      <c r="EM89" s="22">
        <f t="shared" si="73"/>
        <v>343.37983080196494</v>
      </c>
      <c r="EN89" s="62">
        <f t="shared" si="74"/>
        <v>636.71316413529826</v>
      </c>
      <c r="EO89" s="62">
        <f ca="1">AVERAGE(OFFSET($EN$3,0,0,'Données projet'!$E$15+1,1))-AVERAGE(OFFSET($H$3,0,0,'Données projet'!$E$15+1,1))</f>
        <v>301.04834785168049</v>
      </c>
      <c r="EP89" s="62">
        <f t="shared" si="100"/>
        <v>164.1450425611464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38.734403665932582</v>
      </c>
      <c r="EW89" s="23">
        <f>EXP(-LN(2)/25)*EW88+(1-EXP(-LN(2)/25))/(LN(2)/25)*Calculateur!ER89*Calculateur!ET89*VLOOKUP('Données projet'!$B$15,Paramètres!$A$1:$I$89,3,0)*0.475*44/12</f>
        <v>33.584656828630877</v>
      </c>
      <c r="EX89" s="23">
        <f>EXP(-LN(2)/2)*EX88+(1-EXP(-LN(2)/2))/(LN(2)/2)*ER89*EU89*VLOOKUP('Données projet'!$B$15,Paramètres!$A$1:$I$89,3,0)*0.475*44/12</f>
        <v>7.9637897089257565</v>
      </c>
      <c r="EY89" s="24">
        <f t="shared" si="75"/>
        <v>80.282850203489218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>
        <f>VLOOKUP(A89,'Données projet'!$A$217:$I$237,2,0)</f>
        <v>210.57</v>
      </c>
      <c r="FC89" s="13">
        <f>VLOOKUP(A89,'Données projet'!$A$217:$I$237,9,0)</f>
        <v>6.0955555555555536</v>
      </c>
      <c r="FD89" s="13">
        <f t="array" ref="FD89">INDEX(FC:FC,MIN(IF(ISNUMBER(FC89:FC285),ROW(FC89:FC285),"")))</f>
        <v>6.0955555555555536</v>
      </c>
      <c r="FE89" s="13">
        <f>IF('Données projet'!$A$218&gt;35,FE88+FD89-FM88,IF(A89&lt;'Données projet'!$A$218,$FB$205^A89,IF(A89='Données projet'!$A$218,'Données projet'!$B$218,FE88+FD89-FM88)))</f>
        <v>210.56999999999974</v>
      </c>
      <c r="FF89" s="18">
        <f>FE89*VLOOKUP('Données projet'!$B$16,Paramètres!$A$1:$I$89,3,0)*VLOOKUP('Données projet'!$B$16,Paramètres!$A$1:$I$89,5,0)</f>
        <v>190.52373599999976</v>
      </c>
      <c r="FG89" s="14">
        <f t="shared" si="101"/>
        <v>47.655724887616046</v>
      </c>
      <c r="FH89" s="22">
        <f t="shared" si="76"/>
        <v>414.82922771259751</v>
      </c>
      <c r="FI89" s="62">
        <f t="shared" si="77"/>
        <v>708.16256104593083</v>
      </c>
      <c r="FJ89" s="62">
        <f ca="1">AVERAGE(OFFSET($FI$3,0,0,'Données projet'!$E$16+1,1))-AVERAGE(OFFSET($H$3,0,0,'Données projet'!$E$16+1,1))</f>
        <v>330.53726676433649</v>
      </c>
      <c r="FK89" s="62">
        <f t="shared" si="102"/>
        <v>228.01260676706528</v>
      </c>
      <c r="FL89" s="16">
        <f>IF(ISNA(VLOOKUP(A89,'Données projet'!$A$217:$I$237,3,0)),0,VLOOKUP(A89,'Données projet'!$A$217:$I$237,3,0))</f>
        <v>4</v>
      </c>
      <c r="FM89" s="16">
        <f>IF(ISNA(VLOOKUP(A89,'Données projet'!$A$217:$I$237,4,0)),0,VLOOKUP(A89,'Données projet'!$A$217:$I$237,4,0))</f>
        <v>34.46</v>
      </c>
      <c r="FN89" s="17">
        <f>IF(ISNA(VLOOKUP(A89,'Données projet'!$A$217:$I$237,5,0)),0%,VLOOKUP(A89,'Données projet'!$A$217:$I$237,5,0)*VLOOKUP('Données projet'!$B$16,Paramètres!$A$1:$I$89,7,0))</f>
        <v>0.17200000000000001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16.551658924234772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16.551658924234772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>
        <f>VLOOKUP(A89,'Données projet'!$A$243:$I$263,2,0)</f>
        <v>210.57</v>
      </c>
      <c r="FX89" s="13">
        <f>VLOOKUP(A89,'Données projet'!$A$243:$I$263,9,0)</f>
        <v>6.0955555555555536</v>
      </c>
      <c r="FY89" s="13">
        <f t="array" ref="FY89">INDEX(FX:FX,MIN(IF(ISNUMBER(FX89:FX285),ROW(FX89:FX285),"")))</f>
        <v>6.0955555555555536</v>
      </c>
      <c r="FZ89" s="13">
        <f>IF('Données projet'!$A$244&gt;35,FZ88+FY89-GH88,IF(A89&lt;'Données projet'!$A$244,$FW$205^A89,IF(A89='Données projet'!$A$244,'Données projet'!$B$244,FZ88+FY89-GH88)))</f>
        <v>210.56999999999974</v>
      </c>
      <c r="GA89" s="18">
        <f>FZ89*VLOOKUP('Données projet'!$B$17,Paramètres!$A$1:$I$89,3,0)*VLOOKUP('Données projet'!$B$17,Paramètres!$A$1:$I$89,5,0)</f>
        <v>239.7971159999997</v>
      </c>
      <c r="GB89" s="14">
        <f t="shared" si="103"/>
        <v>58.395876852985708</v>
      </c>
      <c r="GC89" s="22">
        <f t="shared" si="79"/>
        <v>519.35279588561627</v>
      </c>
      <c r="GD89" s="62">
        <f t="shared" si="80"/>
        <v>812.68612921894965</v>
      </c>
      <c r="GE89" s="62">
        <f ca="1">AVERAGE(OFFSET($GD$3,0,0,'Données projet'!$E$17+1,1))-AVERAGE(OFFSET($H$3,0,0,'Données projet'!$E$17+1,1))</f>
        <v>405.71017054131318</v>
      </c>
      <c r="GF89" s="62">
        <f t="shared" si="104"/>
        <v>276.12900965322166</v>
      </c>
      <c r="GG89" s="16">
        <f>IF(ISNA(VLOOKUP(A89,'Données projet'!$A$243:$I$263,3,0)),0,VLOOKUP(A89,'Données projet'!$A$243:$I$263,3,0))</f>
        <v>4</v>
      </c>
      <c r="GH89" s="16">
        <f>IF(ISNA(VLOOKUP(A89,'Données projet'!$A$243:$I$263,4,0)),0,VLOOKUP(A89,'Données projet'!$A$243:$I$263,4,0))</f>
        <v>34.46</v>
      </c>
      <c r="GI89" s="17">
        <f>IF(ISNA(VLOOKUP(A89,'Données projet'!$A$243:$I$263,5,0)),0%,VLOOKUP(A89,'Données projet'!$A$243:$I$263,5,0)*VLOOKUP('Données projet'!$B$17,Paramètres!$A$1:$I$89,7,0))</f>
        <v>0.17200000000000001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20.832260370157559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20.832260370157559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>
        <f>VLOOKUP(A89,'Données projet'!$A$269:$I$289,2,0)</f>
        <v>210.57</v>
      </c>
      <c r="GS89" s="13">
        <f>VLOOKUP(A89,'Données projet'!$A$269:$I$289,9,0)</f>
        <v>6.0955555555555536</v>
      </c>
      <c r="GT89" s="13">
        <f t="array" ref="GT89">INDEX(GS:GS,MIN(IF(ISNUMBER(GS89:GS285),ROW(GS89:GS285),"")))</f>
        <v>6.0955555555555536</v>
      </c>
      <c r="GU89" s="13">
        <f>IF('Données projet'!$A$270&gt;35,GU88+GT89-HC88,IF(A89&lt;'Données projet'!$A$270,$GR$205^A89,IF(A89='Données projet'!$A$270,'Données projet'!$B$270,GU88+GT89-HC88)))</f>
        <v>210.56999999999974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4</v>
      </c>
      <c r="HC89" s="16">
        <f>IF(ISNA(VLOOKUP(A89,'Données projet'!$A$269:$I$289,4,0)),0,VLOOKUP(A89,'Données projet'!$A$269:$I$289,4,0))</f>
        <v>34.46</v>
      </c>
      <c r="HD89" s="17" t="e">
        <f>IF(ISNA(VLOOKUP(A89,'Données projet'!$A$269:$I$289,5,0)),0%,VLOOKUP(A89,'Données projet'!$A$269:$I$289,5,0)*VLOOKUP('Données projet'!$B$18,Paramètres!$A$1:$I$89,7,0))</f>
        <v>#N/A</v>
      </c>
      <c r="HE89" s="17" t="e">
        <f>IF(ISNA(VLOOKUP(A89,'Données projet'!$A$269:$I$289,6,0)),0%,VLOOKUP(A89,'Données projet'!$A$269:$I$289,6,0)*VLOOKUP('Données projet'!$B$18,Paramètres!$A$1:$I$89,7,0))</f>
        <v>#N/A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8.1950000000000021</v>
      </c>
      <c r="N90" s="14">
        <f>IF('Données projet'!$A$36&gt;35,N89+M90-V89,IF(A90&lt;'Données projet'!$A$36,$K$205^A90,IF(A90='Données projet'!$A$36,'Données projet'!$B$36,N89+M90-V89)))</f>
        <v>288.46500000000026</v>
      </c>
      <c r="O90" s="14">
        <f>N90*VLOOKUP('Données projet'!$B$9,Paramètres!$A$1:$I$89,3,0)*VLOOKUP('Données projet'!$B$9,Paramètres!$A$1:$I$89,5,0)</f>
        <v>261.00313200000022</v>
      </c>
      <c r="P90" s="14">
        <f t="shared" si="87"/>
        <v>62.936157215568819</v>
      </c>
      <c r="Q90" s="22">
        <f t="shared" si="54"/>
        <v>564.19426205044931</v>
      </c>
      <c r="R90" s="62">
        <f t="shared" si="55"/>
        <v>857.52759538378268</v>
      </c>
      <c r="S90" s="62">
        <f ca="1">AVERAGE(OFFSET($R$3,0,0,'Données projet'!$E$9+1,1))-AVERAGE(OFFSET($H$3,0,0,'Données projet'!$E$9+1,1))</f>
        <v>452.54136967045082</v>
      </c>
      <c r="T90" s="62">
        <f t="shared" si="88"/>
        <v>269.67340993773422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35.487723435372054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35.487723435372054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8.1950000000000021</v>
      </c>
      <c r="BD90" s="13">
        <f>IF('Données projet'!$A$88&gt;35,BD89+BC90-BL89,IF(A90&lt;'Données projet'!$A$88,$BA$205^A90,IF(A90='Données projet'!$A$88,'Données projet'!$B$88,BD89+BC90-BL89)))</f>
        <v>288.46500000000026</v>
      </c>
      <c r="BE90" s="14">
        <f>BD90*VLOOKUP('Données projet'!$B$11,Paramètres!$A$1:$I$89,3,0)*VLOOKUP('Données projet'!$B$11,Paramètres!$A$1:$I$89,5,0)</f>
        <v>292.50351000000029</v>
      </c>
      <c r="BF90" s="14">
        <f t="shared" si="91"/>
        <v>69.602604151321927</v>
      </c>
      <c r="BG90" s="22">
        <f t="shared" si="61"/>
        <v>630.66814881355288</v>
      </c>
      <c r="BH90" s="62">
        <f t="shared" si="62"/>
        <v>924.00148214688625</v>
      </c>
      <c r="BI90" s="62">
        <f ca="1">AVERAGE(OFFSET($BH$3,0,0,'Données projet'!$E$11+1,1))-AVERAGE(OFFSET($H$3,0,0,'Données projet'!$E$11+1,1))</f>
        <v>502.06005292569733</v>
      </c>
      <c r="BJ90" s="62">
        <f t="shared" si="92"/>
        <v>297.06786598620607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39.770724539641101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39.770724539641101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-2.8421709430404007E-14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-5.1431925385259088E-14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204.787338911576</v>
      </c>
      <c r="CZ90" s="62">
        <f t="shared" si="96"/>
        <v>287.24932051638558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15.141458930156096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15.141458930156096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209.2000000000001</v>
      </c>
      <c r="DP90" s="18">
        <f>DO90*VLOOKUP('Données projet'!$B$14,Paramètres!$A$1:$I$89,3,0)*VLOOKUP('Données projet'!$B$14,Paramètres!$A$1:$I$89,5,0)</f>
        <v>199.0747200000001</v>
      </c>
      <c r="DQ90" s="14">
        <f t="shared" si="97"/>
        <v>49.540764339415233</v>
      </c>
      <c r="DR90" s="22">
        <f t="shared" si="70"/>
        <v>433.00530189114835</v>
      </c>
      <c r="DS90" s="62">
        <f t="shared" si="71"/>
        <v>726.33863522448166</v>
      </c>
      <c r="DT90" s="62">
        <f ca="1">AVERAGE(OFFSET($DS$3,0,0,'Données projet'!$E$14+1,1))-AVERAGE(OFFSET($H$3,0,0,'Données projet'!$E$14+1,1))</f>
        <v>309.55876703480277</v>
      </c>
      <c r="DU90" s="62">
        <f t="shared" si="98"/>
        <v>122.43799205838684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24.818588445706794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24.818588445706794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9.9839999999999911</v>
      </c>
      <c r="EJ90" s="13">
        <f>IF('Données projet'!$A$192&gt;35,EJ89+EI90-ER89,IF(A90&lt;'Données projet'!$A$192,$EG$205^A90,IF(A90='Données projet'!$A$192,'Données projet'!$B$192,EJ89+EI90-ER89)))</f>
        <v>345.4379999999997</v>
      </c>
      <c r="EK90" s="18">
        <f>EJ90*VLOOKUP('Données projet'!$B$15,Paramètres!$A$1:$I$89,3,0)*VLOOKUP('Données projet'!$B$15,Paramètres!$A$1:$I$89,5,0)</f>
        <v>161.66498399999986</v>
      </c>
      <c r="EL90" s="14">
        <f t="shared" si="99"/>
        <v>41.217830629016561</v>
      </c>
      <c r="EM90" s="22">
        <f t="shared" si="73"/>
        <v>353.35423547887029</v>
      </c>
      <c r="EN90" s="62">
        <f t="shared" si="74"/>
        <v>646.68756881220361</v>
      </c>
      <c r="EO90" s="62">
        <f ca="1">AVERAGE(OFFSET($EN$3,0,0,'Données projet'!$E$15+1,1))-AVERAGE(OFFSET($H$3,0,0,'Données projet'!$E$15+1,1))</f>
        <v>301.04834785168049</v>
      </c>
      <c r="EP90" s="62">
        <f t="shared" si="100"/>
        <v>164.1450425611464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37.974845635697044</v>
      </c>
      <c r="EW90" s="23">
        <f>EXP(-LN(2)/25)*EW89+(1-EXP(-LN(2)/25))/(LN(2)/25)*Calculateur!ER90*Calculateur!ET90*VLOOKUP('Données projet'!$B$15,Paramètres!$A$1:$I$89,3,0)*0.475*44/12</f>
        <v>32.66628262151162</v>
      </c>
      <c r="EX90" s="23">
        <f>EXP(-LN(2)/2)*EX89+(1-EXP(-LN(2)/2))/(LN(2)/2)*ER90*EU90*VLOOKUP('Données projet'!$B$15,Paramètres!$A$1:$I$89,3,0)*0.475*44/12</f>
        <v>5.6312497071250442</v>
      </c>
      <c r="EY90" s="24">
        <f t="shared" si="75"/>
        <v>76.272377964333714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6.0866666666666669</v>
      </c>
      <c r="FE90" s="13">
        <f>IF('Données projet'!$A$218&gt;35,FE89+FD90-FM89,IF(A90&lt;'Données projet'!$A$218,$FB$205^A90,IF(A90='Données projet'!$A$218,'Données projet'!$B$218,FE89+FD90-FM89)))</f>
        <v>182.1966666666664</v>
      </c>
      <c r="FF90" s="18">
        <f>FE90*VLOOKUP('Données projet'!$B$16,Paramètres!$A$1:$I$89,3,0)*VLOOKUP('Données projet'!$B$16,Paramètres!$A$1:$I$89,5,0)</f>
        <v>164.85154399999976</v>
      </c>
      <c r="FG90" s="14">
        <f t="shared" si="101"/>
        <v>41.9348850172479</v>
      </c>
      <c r="FH90" s="22">
        <f t="shared" si="76"/>
        <v>360.153030538373</v>
      </c>
      <c r="FI90" s="62">
        <f t="shared" si="77"/>
        <v>653.48636387170632</v>
      </c>
      <c r="FJ90" s="62">
        <f ca="1">AVERAGE(OFFSET($FI$3,0,0,'Données projet'!$E$16+1,1))-AVERAGE(OFFSET($H$3,0,0,'Données projet'!$E$16+1,1))</f>
        <v>330.53726676433649</v>
      </c>
      <c r="FK90" s="62">
        <f t="shared" si="102"/>
        <v>228.01260676706528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16.227090988245621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16.227090988245621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6.0866666666666669</v>
      </c>
      <c r="FZ90" s="13">
        <f>IF('Données projet'!$A$244&gt;35,FZ89+FY90-GH89,IF(A90&lt;'Données projet'!$A$244,$FW$205^A90,IF(A90='Données projet'!$A$244,'Données projet'!$B$244,FZ89+FY90-GH89)))</f>
        <v>182.1966666666664</v>
      </c>
      <c r="GA90" s="18">
        <f>FZ90*VLOOKUP('Données projet'!$B$17,Paramètres!$A$1:$I$89,3,0)*VLOOKUP('Données projet'!$B$17,Paramètres!$A$1:$I$89,5,0)</f>
        <v>207.4855639999997</v>
      </c>
      <c r="GB90" s="14">
        <f t="shared" si="103"/>
        <v>51.385733552186139</v>
      </c>
      <c r="GC90" s="22">
        <f t="shared" si="79"/>
        <v>450.86750990339033</v>
      </c>
      <c r="GD90" s="62">
        <f t="shared" si="80"/>
        <v>744.20084323672359</v>
      </c>
      <c r="GE90" s="62">
        <f ca="1">AVERAGE(OFFSET($GD$3,0,0,'Données projet'!$E$17+1,1))-AVERAGE(OFFSET($H$3,0,0,'Données projet'!$E$17+1,1))</f>
        <v>405.71017054131318</v>
      </c>
      <c r="GF90" s="62">
        <f t="shared" si="104"/>
        <v>276.12900965322166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20.42375245072294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20.42375245072294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6.0866666666666669</v>
      </c>
      <c r="GU90" s="13">
        <f>IF('Données projet'!$A$270&gt;35,GU89+GT90-HC89,IF(A90&lt;'Données projet'!$A$270,$GR$205^A90,IF(A90='Données projet'!$A$270,'Données projet'!$B$270,GU89+GT90-HC89)))</f>
        <v>182.1966666666664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8.1950000000000021</v>
      </c>
      <c r="N91" s="14">
        <f>IF('Données projet'!$A$36&gt;35,N90+M91-V90,IF(A91&lt;'Données projet'!$A$36,$K$205^A91,IF(A91='Données projet'!$A$36,'Données projet'!$B$36,N90+M91-V90)))</f>
        <v>296.66000000000025</v>
      </c>
      <c r="O91" s="14">
        <f>N91*VLOOKUP('Données projet'!$B$9,Paramètres!$A$1:$I$89,3,0)*VLOOKUP('Données projet'!$B$9,Paramètres!$A$1:$I$89,5,0)</f>
        <v>268.4179680000002</v>
      </c>
      <c r="P91" s="14">
        <f t="shared" si="87"/>
        <v>64.513407424132879</v>
      </c>
      <c r="Q91" s="22">
        <f t="shared" si="54"/>
        <v>579.85547886369841</v>
      </c>
      <c r="R91" s="62">
        <f t="shared" si="55"/>
        <v>873.18881219703167</v>
      </c>
      <c r="S91" s="62">
        <f ca="1">AVERAGE(OFFSET($R$3,0,0,'Données projet'!$E$9+1,1))-AVERAGE(OFFSET($H$3,0,0,'Données projet'!$E$9+1,1))</f>
        <v>452.54136967045082</v>
      </c>
      <c r="T91" s="62">
        <f t="shared" si="88"/>
        <v>269.67340993773422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34.791830824178398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34.791830824178398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8.1950000000000021</v>
      </c>
      <c r="BD91" s="13">
        <f>IF('Données projet'!$A$88&gt;35,BD90+BC91-BL90,IF(A91&lt;'Données projet'!$A$88,$BA$205^A91,IF(A91='Données projet'!$A$88,'Données projet'!$B$88,BD90+BC91-BL90)))</f>
        <v>296.66000000000025</v>
      </c>
      <c r="BE91" s="14">
        <f>BD91*VLOOKUP('Données projet'!$B$11,Paramètres!$A$1:$I$89,3,0)*VLOOKUP('Données projet'!$B$11,Paramètres!$A$1:$I$89,5,0)</f>
        <v>300.81324000000029</v>
      </c>
      <c r="BF91" s="14">
        <f t="shared" si="91"/>
        <v>71.346922946291471</v>
      </c>
      <c r="BG91" s="22">
        <f t="shared" si="61"/>
        <v>648.17895046479146</v>
      </c>
      <c r="BH91" s="62">
        <f t="shared" si="62"/>
        <v>941.51228379812483</v>
      </c>
      <c r="BI91" s="62">
        <f ca="1">AVERAGE(OFFSET($BH$3,0,0,'Données projet'!$E$11+1,1))-AVERAGE(OFFSET($H$3,0,0,'Données projet'!$E$11+1,1))</f>
        <v>502.06005292569733</v>
      </c>
      <c r="BJ91" s="62">
        <f t="shared" si="92"/>
        <v>297.06786598620607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38.990844889165452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38.990844889165452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-2.8421709430404007E-14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-5.1431925385259088E-14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204.787338911576</v>
      </c>
      <c r="CZ91" s="62">
        <f t="shared" si="96"/>
        <v>287.24932051638558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14.844544155913765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14.844544155913765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214.8000000000001</v>
      </c>
      <c r="DP91" s="18">
        <f>DO91*VLOOKUP('Données projet'!$B$14,Paramètres!$A$1:$I$89,3,0)*VLOOKUP('Données projet'!$B$14,Paramètres!$A$1:$I$89,5,0)</f>
        <v>204.40368000000009</v>
      </c>
      <c r="DQ91" s="14">
        <f t="shared" si="97"/>
        <v>50.710733146553544</v>
      </c>
      <c r="DR91" s="22">
        <f t="shared" si="70"/>
        <v>444.32426956358091</v>
      </c>
      <c r="DS91" s="62">
        <f t="shared" si="71"/>
        <v>737.65760289691423</v>
      </c>
      <c r="DT91" s="62">
        <f ca="1">AVERAGE(OFFSET($DS$3,0,0,'Données projet'!$E$14+1,1))-AVERAGE(OFFSET($H$3,0,0,'Données projet'!$E$14+1,1))</f>
        <v>309.55876703480277</v>
      </c>
      <c r="DU91" s="62">
        <f t="shared" si="98"/>
        <v>122.43799205838684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24.331911064130697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24.331911064130697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9.9839999999999911</v>
      </c>
      <c r="EJ91" s="13">
        <f>IF('Données projet'!$A$192&gt;35,EJ90+EI91-ER90,IF(A91&lt;'Données projet'!$A$192,$EG$205^A91,IF(A91='Données projet'!$A$192,'Données projet'!$B$192,EJ90+EI91-ER90)))</f>
        <v>355.42199999999968</v>
      </c>
      <c r="EK91" s="18">
        <f>EJ91*VLOOKUP('Données projet'!$B$15,Paramètres!$A$1:$I$89,3,0)*VLOOKUP('Données projet'!$B$15,Paramètres!$A$1:$I$89,5,0)</f>
        <v>166.33749599999985</v>
      </c>
      <c r="EL91" s="14">
        <f t="shared" si="99"/>
        <v>42.268707661135892</v>
      </c>
      <c r="EM91" s="22">
        <f t="shared" si="73"/>
        <v>363.32247137647801</v>
      </c>
      <c r="EN91" s="62">
        <f t="shared" si="74"/>
        <v>656.65580470981126</v>
      </c>
      <c r="EO91" s="62">
        <f ca="1">AVERAGE(OFFSET($EN$3,0,0,'Données projet'!$E$15+1,1))-AVERAGE(OFFSET($H$3,0,0,'Données projet'!$E$15+1,1))</f>
        <v>301.04834785168049</v>
      </c>
      <c r="EP91" s="62">
        <f t="shared" si="100"/>
        <v>164.1450425611464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37.23018207514977</v>
      </c>
      <c r="EW91" s="23">
        <f>EXP(-LN(2)/25)*EW90+(1-EXP(-LN(2)/25))/(LN(2)/25)*Calculateur!ER91*Calculateur!ET91*VLOOKUP('Données projet'!$B$15,Paramètres!$A$1:$I$89,3,0)*0.475*44/12</f>
        <v>31.77302140538124</v>
      </c>
      <c r="EX91" s="23">
        <f>EXP(-LN(2)/2)*EX90+(1-EXP(-LN(2)/2))/(LN(2)/2)*ER91*EU91*VLOOKUP('Données projet'!$B$15,Paramètres!$A$1:$I$89,3,0)*0.475*44/12</f>
        <v>3.9818948544628787</v>
      </c>
      <c r="EY91" s="24">
        <f t="shared" si="75"/>
        <v>72.985098334993893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6.0866666666666669</v>
      </c>
      <c r="FE91" s="13">
        <f>IF('Données projet'!$A$218&gt;35,FE90+FD91-FM90,IF(A91&lt;'Données projet'!$A$218,$FB$205^A91,IF(A91='Données projet'!$A$218,'Données projet'!$B$218,FE90+FD91-FM90)))</f>
        <v>188.28333333333308</v>
      </c>
      <c r="FF91" s="18">
        <f>FE91*VLOOKUP('Données projet'!$B$16,Paramètres!$A$1:$I$89,3,0)*VLOOKUP('Données projet'!$B$16,Paramètres!$A$1:$I$89,5,0)</f>
        <v>170.35875999999976</v>
      </c>
      <c r="FG91" s="14">
        <f t="shared" si="101"/>
        <v>43.170364029841458</v>
      </c>
      <c r="FH91" s="22">
        <f t="shared" si="76"/>
        <v>371.89655768530679</v>
      </c>
      <c r="FI91" s="62">
        <f t="shared" si="77"/>
        <v>665.22989101864005</v>
      </c>
      <c r="FJ91" s="62">
        <f ca="1">AVERAGE(OFFSET($FI$3,0,0,'Données projet'!$E$16+1,1))-AVERAGE(OFFSET($H$3,0,0,'Données projet'!$E$16+1,1))</f>
        <v>330.53726676433649</v>
      </c>
      <c r="FK91" s="62">
        <f t="shared" si="102"/>
        <v>228.01260676706528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15.908887631514325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15.908887631514325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6.0866666666666669</v>
      </c>
      <c r="FZ91" s="13">
        <f>IF('Données projet'!$A$244&gt;35,FZ90+FY91-GH90,IF(A91&lt;'Données projet'!$A$244,$FW$205^A91,IF(A91='Données projet'!$A$244,'Données projet'!$B$244,FZ90+FY91-GH90)))</f>
        <v>188.28333333333308</v>
      </c>
      <c r="GA91" s="18">
        <f>FZ91*VLOOKUP('Données projet'!$B$17,Paramètres!$A$1:$I$89,3,0)*VLOOKUP('Données projet'!$B$17,Paramètres!$A$1:$I$89,5,0)</f>
        <v>214.41705999999968</v>
      </c>
      <c r="GB91" s="14">
        <f t="shared" si="103"/>
        <v>52.899651983686184</v>
      </c>
      <c r="GC91" s="22">
        <f t="shared" si="79"/>
        <v>465.57660670491958</v>
      </c>
      <c r="GD91" s="62">
        <f t="shared" si="80"/>
        <v>758.9099400382529</v>
      </c>
      <c r="GE91" s="62">
        <f ca="1">AVERAGE(OFFSET($GD$3,0,0,'Données projet'!$E$17+1,1))-AVERAGE(OFFSET($H$3,0,0,'Données projet'!$E$17+1,1))</f>
        <v>405.71017054131318</v>
      </c>
      <c r="GF91" s="62">
        <f t="shared" si="104"/>
        <v>276.12900965322166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20.023255122423205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20.023255122423205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6.0866666666666669</v>
      </c>
      <c r="GU91" s="13">
        <f>IF('Données projet'!$A$270&gt;35,GU90+GT91-HC90,IF(A91&lt;'Données projet'!$A$270,$GR$205^A91,IF(A91='Données projet'!$A$270,'Données projet'!$B$270,GU90+GT91-HC90)))</f>
        <v>188.28333333333308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8.1950000000000021</v>
      </c>
      <c r="N92" s="14">
        <f>IF('Données projet'!$A$36&gt;35,N91+M92-V91,IF(A92&lt;'Données projet'!$A$36,$K$205^A92,IF(A92='Données projet'!$A$36,'Données projet'!$B$36,N91+M92-V91)))</f>
        <v>304.85500000000025</v>
      </c>
      <c r="O92" s="14">
        <f>N92*VLOOKUP('Données projet'!$B$9,Paramètres!$A$1:$I$89,3,0)*VLOOKUP('Données projet'!$B$9,Paramètres!$A$1:$I$89,5,0)</f>
        <v>275.83280400000024</v>
      </c>
      <c r="P92" s="14">
        <f t="shared" si="87"/>
        <v>66.085593514090476</v>
      </c>
      <c r="Q92" s="22">
        <f t="shared" si="54"/>
        <v>595.50787567037457</v>
      </c>
      <c r="R92" s="62">
        <f t="shared" si="55"/>
        <v>888.84120900370795</v>
      </c>
      <c r="S92" s="62">
        <f ca="1">AVERAGE(OFFSET($R$3,0,0,'Données projet'!$E$9+1,1))-AVERAGE(OFFSET($H$3,0,0,'Données projet'!$E$9+1,1))</f>
        <v>452.54136967045082</v>
      </c>
      <c r="T92" s="62">
        <f t="shared" si="88"/>
        <v>269.67340993773422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34.109584242637673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34.109584242637673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8.1950000000000021</v>
      </c>
      <c r="BD92" s="13">
        <f>IF('Données projet'!$A$88&gt;35,BD91+BC92-BL91,IF(A92&lt;'Données projet'!$A$88,$BA$205^A92,IF(A92='Données projet'!$A$88,'Données projet'!$B$88,BD91+BC92-BL91)))</f>
        <v>304.85500000000025</v>
      </c>
      <c r="BE92" s="14">
        <f>BD92*VLOOKUP('Données projet'!$B$11,Paramètres!$A$1:$I$89,3,0)*VLOOKUP('Données projet'!$B$11,Paramètres!$A$1:$I$89,5,0)</f>
        <v>309.12297000000024</v>
      </c>
      <c r="BF92" s="14">
        <f t="shared" si="91"/>
        <v>73.085641211162965</v>
      </c>
      <c r="BG92" s="22">
        <f t="shared" si="61"/>
        <v>665.67999785944255</v>
      </c>
      <c r="BH92" s="62">
        <f t="shared" si="62"/>
        <v>959.01333119277592</v>
      </c>
      <c r="BI92" s="62">
        <f ca="1">AVERAGE(OFFSET($BH$3,0,0,'Données projet'!$E$11+1,1))-AVERAGE(OFFSET($H$3,0,0,'Données projet'!$E$11+1,1))</f>
        <v>502.06005292569733</v>
      </c>
      <c r="BJ92" s="62">
        <f t="shared" si="92"/>
        <v>297.06786598620607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38.226258202956018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38.226258202956018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-2.8421709430404007E-14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-5.1431925385259088E-14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204.787338911576</v>
      </c>
      <c r="CZ92" s="62">
        <f t="shared" si="96"/>
        <v>287.24932051638558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14.553451699294195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14.553451699294195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220.40000000000009</v>
      </c>
      <c r="DP92" s="18">
        <f>DO92*VLOOKUP('Données projet'!$B$14,Paramètres!$A$1:$I$89,3,0)*VLOOKUP('Données projet'!$B$14,Paramètres!$A$1:$I$89,5,0)</f>
        <v>209.73264000000009</v>
      </c>
      <c r="DQ92" s="14">
        <f t="shared" si="97"/>
        <v>51.877156480465146</v>
      </c>
      <c r="DR92" s="22">
        <f t="shared" si="70"/>
        <v>455.63706220347689</v>
      </c>
      <c r="DS92" s="62">
        <f t="shared" si="71"/>
        <v>748.9703955368102</v>
      </c>
      <c r="DT92" s="62">
        <f ca="1">AVERAGE(OFFSET($DS$3,0,0,'Données projet'!$E$14+1,1))-AVERAGE(OFFSET($H$3,0,0,'Données projet'!$E$14+1,1))</f>
        <v>309.55876703480277</v>
      </c>
      <c r="DU92" s="62">
        <f t="shared" si="98"/>
        <v>122.43799205838684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23.854777129163416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23.854777129163416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9.9839999999999911</v>
      </c>
      <c r="EJ92" s="13">
        <f>IF('Données projet'!$A$192&gt;35,EJ91+EI92-ER91,IF(A92&lt;'Données projet'!$A$192,$EG$205^A92,IF(A92='Données projet'!$A$192,'Données projet'!$B$192,EJ91+EI92-ER91)))</f>
        <v>365.40599999999966</v>
      </c>
      <c r="EK92" s="18">
        <f>EJ92*VLOOKUP('Données projet'!$B$15,Paramètres!$A$1:$I$89,3,0)*VLOOKUP('Données projet'!$B$15,Paramètres!$A$1:$I$89,5,0)</f>
        <v>171.01000799999983</v>
      </c>
      <c r="EL92" s="14">
        <f t="shared" si="99"/>
        <v>43.316153733044935</v>
      </c>
      <c r="EM92" s="22">
        <f t="shared" si="73"/>
        <v>373.28473168505292</v>
      </c>
      <c r="EN92" s="62">
        <f t="shared" si="74"/>
        <v>666.61806501838623</v>
      </c>
      <c r="EO92" s="62">
        <f ca="1">AVERAGE(OFFSET($EN$3,0,0,'Données projet'!$E$15+1,1))-AVERAGE(OFFSET($H$3,0,0,'Données projet'!$E$15+1,1))</f>
        <v>301.04834785168049</v>
      </c>
      <c r="EP92" s="62">
        <f t="shared" si="100"/>
        <v>164.1450425611464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36.500120912824904</v>
      </c>
      <c r="EW92" s="23">
        <f>EXP(-LN(2)/25)*EW91+(1-EXP(-LN(2)/25))/(LN(2)/25)*Calculateur!ER92*Calculateur!ET92*VLOOKUP('Données projet'!$B$15,Paramètres!$A$1:$I$89,3,0)*0.475*44/12</f>
        <v>30.904186464180512</v>
      </c>
      <c r="EX92" s="23">
        <f>EXP(-LN(2)/2)*EX91+(1-EXP(-LN(2)/2))/(LN(2)/2)*ER92*EU92*VLOOKUP('Données projet'!$B$15,Paramètres!$A$1:$I$89,3,0)*0.475*44/12</f>
        <v>2.8156248535625226</v>
      </c>
      <c r="EY92" s="24">
        <f t="shared" si="75"/>
        <v>70.219932230567935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6.0866666666666669</v>
      </c>
      <c r="FE92" s="13">
        <f>IF('Données projet'!$A$218&gt;35,FE91+FD92-FM91,IF(A92&lt;'Données projet'!$A$218,$FB$205^A92,IF(A92='Données projet'!$A$218,'Données projet'!$B$218,FE91+FD92-FM91)))</f>
        <v>194.36999999999975</v>
      </c>
      <c r="FF92" s="18">
        <f>FE92*VLOOKUP('Données projet'!$B$16,Paramètres!$A$1:$I$89,3,0)*VLOOKUP('Données projet'!$B$16,Paramètres!$A$1:$I$89,5,0)</f>
        <v>175.86597599999976</v>
      </c>
      <c r="FG92" s="14">
        <f t="shared" si="101"/>
        <v>44.401201962249573</v>
      </c>
      <c r="FH92" s="22">
        <f t="shared" si="76"/>
        <v>383.63200161758419</v>
      </c>
      <c r="FI92" s="62">
        <f t="shared" si="77"/>
        <v>676.96533495091751</v>
      </c>
      <c r="FJ92" s="62">
        <f ca="1">AVERAGE(OFFSET($FI$3,0,0,'Données projet'!$E$16+1,1))-AVERAGE(OFFSET($H$3,0,0,'Données projet'!$E$16+1,1))</f>
        <v>330.53726676433649</v>
      </c>
      <c r="FK92" s="62">
        <f t="shared" si="102"/>
        <v>228.01260676706528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15.596924048523647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15.596924048523647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6.0866666666666669</v>
      </c>
      <c r="FZ92" s="13">
        <f>IF('Données projet'!$A$244&gt;35,FZ91+FY92-GH91,IF(A92&lt;'Données projet'!$A$244,$FW$205^A92,IF(A92='Données projet'!$A$244,'Données projet'!$B$244,FZ91+FY92-GH91)))</f>
        <v>194.36999999999975</v>
      </c>
      <c r="GA92" s="18">
        <f>FZ92*VLOOKUP('Données projet'!$B$17,Paramètres!$A$1:$I$89,3,0)*VLOOKUP('Données projet'!$B$17,Paramètres!$A$1:$I$89,5,0)</f>
        <v>221.34855599999972</v>
      </c>
      <c r="GB92" s="14">
        <f t="shared" si="103"/>
        <v>54.407883376585801</v>
      </c>
      <c r="GC92" s="22">
        <f t="shared" si="79"/>
        <v>480.27579858088637</v>
      </c>
      <c r="GD92" s="62">
        <f t="shared" si="80"/>
        <v>773.60913191421969</v>
      </c>
      <c r="GE92" s="62">
        <f ca="1">AVERAGE(OFFSET($GD$3,0,0,'Données projet'!$E$17+1,1))-AVERAGE(OFFSET($H$3,0,0,'Données projet'!$E$17+1,1))</f>
        <v>405.71017054131318</v>
      </c>
      <c r="GF92" s="62">
        <f t="shared" si="104"/>
        <v>276.12900965322166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19.630611302452177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19.630611302452177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6.0866666666666669</v>
      </c>
      <c r="GU92" s="13">
        <f>IF('Données projet'!$A$270&gt;35,GU91+GT92-HC91,IF(A92&lt;'Données projet'!$A$270,$GR$205^A92,IF(A92='Données projet'!$A$270,'Données projet'!$B$270,GU91+GT92-HC91)))</f>
        <v>194.36999999999975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313.05</v>
      </c>
      <c r="L93" s="13">
        <f>VLOOKUP(A93,'Données projet'!$A$35:$I$55,9,0)</f>
        <v>8.1950000000000021</v>
      </c>
      <c r="M93" s="13">
        <f t="array" ref="M93">INDEX(L:L,MIN(IF(ISNUMBER(L93:L289),ROW(L93:L289),"")))</f>
        <v>8.1950000000000021</v>
      </c>
      <c r="N93" s="14">
        <f>IF('Données projet'!$A$36&gt;35,N92+M93-V92,IF(A93&lt;'Données projet'!$A$36,$K$205^A93,IF(A93='Données projet'!$A$36,'Données projet'!$B$36,N92+M93-V92)))</f>
        <v>313.05000000000024</v>
      </c>
      <c r="O93" s="14">
        <f>N93*VLOOKUP('Données projet'!$B$9,Paramètres!$A$1:$I$89,3,0)*VLOOKUP('Données projet'!$B$9,Paramètres!$A$1:$I$89,5,0)</f>
        <v>283.24764000000022</v>
      </c>
      <c r="P93" s="14">
        <f t="shared" si="87"/>
        <v>67.652867262444559</v>
      </c>
      <c r="Q93" s="22">
        <f t="shared" si="54"/>
        <v>611.15171681542461</v>
      </c>
      <c r="R93" s="62">
        <f t="shared" si="55"/>
        <v>904.48505014875786</v>
      </c>
      <c r="S93" s="62">
        <f ca="1">AVERAGE(OFFSET($R$3,0,0,'Données projet'!$E$9+1,1))-AVERAGE(OFFSET($H$3,0,0,'Données projet'!$E$9+1,1))</f>
        <v>452.54136967045082</v>
      </c>
      <c r="T93" s="62">
        <f t="shared" si="88"/>
        <v>269.67340993773422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33.440716100431636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33.440716100431636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313.05</v>
      </c>
      <c r="BB93" s="13">
        <f>VLOOKUP(A93,'Données projet'!$A$87:$I$107,9,0)</f>
        <v>8.1950000000000021</v>
      </c>
      <c r="BC93" s="13">
        <f t="array" ref="BC93">INDEX(BB:BB,MIN(IF(ISNUMBER(BB93:BB289),ROW(BB93:BB289),"")))</f>
        <v>8.1950000000000021</v>
      </c>
      <c r="BD93" s="13">
        <f>IF('Données projet'!$A$88&gt;35,BD92+BC93-BL92,IF(A93&lt;'Données projet'!$A$88,$BA$205^A93,IF(A93='Données projet'!$A$88,'Données projet'!$B$88,BD92+BC93-BL92)))</f>
        <v>313.05000000000024</v>
      </c>
      <c r="BE93" s="14">
        <f>BD93*VLOOKUP('Données projet'!$B$11,Paramètres!$A$1:$I$89,3,0)*VLOOKUP('Données projet'!$B$11,Paramètres!$A$1:$I$89,5,0)</f>
        <v>317.43270000000024</v>
      </c>
      <c r="BF93" s="14">
        <f t="shared" si="91"/>
        <v>74.818926799760391</v>
      </c>
      <c r="BG93" s="22">
        <f t="shared" si="61"/>
        <v>683.17158334291651</v>
      </c>
      <c r="BH93" s="62">
        <f t="shared" si="62"/>
        <v>976.50491667624988</v>
      </c>
      <c r="BI93" s="62">
        <f ca="1">AVERAGE(OFFSET($BH$3,0,0,'Données projet'!$E$11+1,1))-AVERAGE(OFFSET($H$3,0,0,'Données projet'!$E$11+1,1))</f>
        <v>502.06005292569733</v>
      </c>
      <c r="BJ93" s="62">
        <f t="shared" si="92"/>
        <v>297.06786598620607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37.47666459531132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37.47666459531132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-2.8421709430404007E-14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-5.1431925385259088E-14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204.787338911576</v>
      </c>
      <c r="CZ93" s="62">
        <f t="shared" si="96"/>
        <v>287.24932051638558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14.268067388200068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14.268067388200068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226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226.00000000000009</v>
      </c>
      <c r="DP93" s="18">
        <f>DO93*VLOOKUP('Données projet'!$B$14,Paramètres!$A$1:$I$89,3,0)*VLOOKUP('Données projet'!$B$14,Paramètres!$A$1:$I$89,5,0)</f>
        <v>215.06160000000008</v>
      </c>
      <c r="DQ93" s="14">
        <f t="shared" si="97"/>
        <v>53.040134784913185</v>
      </c>
      <c r="DR93" s="22">
        <f t="shared" si="70"/>
        <v>466.94385475039059</v>
      </c>
      <c r="DS93" s="62">
        <f t="shared" si="71"/>
        <v>760.2771880837239</v>
      </c>
      <c r="DT93" s="62">
        <f ca="1">AVERAGE(OFFSET($DS$3,0,0,'Données projet'!$E$14+1,1))-AVERAGE(OFFSET($H$3,0,0,'Données projet'!$E$14+1,1))</f>
        <v>309.55876703480277</v>
      </c>
      <c r="DU93" s="62">
        <f t="shared" si="98"/>
        <v>122.43799205838684</v>
      </c>
      <c r="DV93" s="16">
        <f>IF(ISNA(VLOOKUP(A93,'Données projet'!$A$165:$I$185,3,0)),0,VLOOKUP(A93,'Données projet'!$A$165:$I$185,3,0))</f>
        <v>11</v>
      </c>
      <c r="DW93" s="16">
        <f>IF(ISNA(VLOOKUP(A93,'Données projet'!$A$165:$I$185,4,0)),0,VLOOKUP(A93,'Données projet'!$A$165:$I$185,4,0))</f>
        <v>22</v>
      </c>
      <c r="DX93" s="17">
        <f>IF(ISNA(VLOOKUP(A93,'Données projet'!$A$165:$I$185,5,0)),0%,VLOOKUP(A93,'Données projet'!$A$165:$I$185,5,0)*VLOOKUP('Données projet'!$B$14,Paramètres!$A$1:$I$89,7,0))</f>
        <v>0.25800000000000001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29.357956319954219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29.357956319954219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375.39</v>
      </c>
      <c r="EH93" s="13">
        <f>VLOOKUP(A93,'Données projet'!$A$191:$I$211,9,0)</f>
        <v>9.9839999999999911</v>
      </c>
      <c r="EI93" s="13">
        <f t="array" ref="EI93">INDEX(EH:EH,MIN(IF(ISNUMBER(EH93:EH289),ROW(EH93:EH289),"")))</f>
        <v>9.9839999999999911</v>
      </c>
      <c r="EJ93" s="13">
        <f>IF('Données projet'!$A$192&gt;35,EJ92+EI93-ER92,IF(A93&lt;'Données projet'!$A$192,$EG$205^A93,IF(A93='Données projet'!$A$192,'Données projet'!$B$192,EJ92+EI93-ER92)))</f>
        <v>375.38999999999965</v>
      </c>
      <c r="EK93" s="18">
        <f>EJ93*VLOOKUP('Données projet'!$B$15,Paramètres!$A$1:$I$89,3,0)*VLOOKUP('Données projet'!$B$15,Paramètres!$A$1:$I$89,5,0)</f>
        <v>175.68251999999981</v>
      </c>
      <c r="EL93" s="14">
        <f t="shared" si="99"/>
        <v>44.360273360899491</v>
      </c>
      <c r="EM93" s="22">
        <f t="shared" si="73"/>
        <v>383.24119843689959</v>
      </c>
      <c r="EN93" s="62">
        <f t="shared" si="74"/>
        <v>676.57453177023285</v>
      </c>
      <c r="EO93" s="62">
        <f ca="1">AVERAGE(OFFSET($EN$3,0,0,'Données projet'!$E$15+1,1))-AVERAGE(OFFSET($H$3,0,0,'Données projet'!$E$15+1,1))</f>
        <v>301.04834785168049</v>
      </c>
      <c r="EP93" s="62">
        <f t="shared" si="100"/>
        <v>164.1450425611464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35.78437580459989</v>
      </c>
      <c r="EW93" s="23">
        <f>EXP(-LN(2)/25)*EW92+(1-EXP(-LN(2)/25))/(LN(2)/25)*Calculateur!ER93*Calculateur!ET93*VLOOKUP('Données projet'!$B$15,Paramètres!$A$1:$I$89,3,0)*0.475*44/12</f>
        <v>30.059109860136964</v>
      </c>
      <c r="EX93" s="23">
        <f>EXP(-LN(2)/2)*EX92+(1-EXP(-LN(2)/2))/(LN(2)/2)*ER93*EU93*VLOOKUP('Données projet'!$B$15,Paramètres!$A$1:$I$89,3,0)*0.475*44/12</f>
        <v>1.9909474272314398</v>
      </c>
      <c r="EY93" s="24">
        <f t="shared" si="75"/>
        <v>67.834433091968293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6.0866666666666669</v>
      </c>
      <c r="FE93" s="13">
        <f>IF('Données projet'!$A$218&gt;35,FE92+FD93-FM92,IF(A93&lt;'Données projet'!$A$218,$FB$205^A93,IF(A93='Données projet'!$A$218,'Données projet'!$B$218,FE92+FD93-FM92)))</f>
        <v>200.45666666666642</v>
      </c>
      <c r="FF93" s="18">
        <f>FE93*VLOOKUP('Données projet'!$B$16,Paramètres!$A$1:$I$89,3,0)*VLOOKUP('Données projet'!$B$16,Paramètres!$A$1:$I$89,5,0)</f>
        <v>181.37319199999979</v>
      </c>
      <c r="FG93" s="14">
        <f t="shared" si="101"/>
        <v>45.627560824525645</v>
      </c>
      <c r="FH93" s="22">
        <f t="shared" si="76"/>
        <v>395.35964450271507</v>
      </c>
      <c r="FI93" s="62">
        <f t="shared" si="77"/>
        <v>688.69297783604839</v>
      </c>
      <c r="FJ93" s="62">
        <f ca="1">AVERAGE(OFFSET($FI$3,0,0,'Données projet'!$E$16+1,1))-AVERAGE(OFFSET($H$3,0,0,'Données projet'!$E$16+1,1))</f>
        <v>330.53726676433649</v>
      </c>
      <c r="FK93" s="62">
        <f t="shared" si="102"/>
        <v>228.01260676706528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15.291077881116419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15.291077881116419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6.0866666666666669</v>
      </c>
      <c r="FZ93" s="13">
        <f>IF('Données projet'!$A$244&gt;35,FZ92+FY93-GH92,IF(A93&lt;'Données projet'!$A$244,$FW$205^A93,IF(A93='Données projet'!$A$244,'Données projet'!$B$244,FZ92+FY93-GH92)))</f>
        <v>200.45666666666642</v>
      </c>
      <c r="GA93" s="18">
        <f>FZ93*VLOOKUP('Données projet'!$B$17,Paramètres!$A$1:$I$89,3,0)*VLOOKUP('Données projet'!$B$17,Paramètres!$A$1:$I$89,5,0)</f>
        <v>228.28005199999973</v>
      </c>
      <c r="GB93" s="14">
        <f t="shared" si="103"/>
        <v>55.910626253080181</v>
      </c>
      <c r="GC93" s="22">
        <f t="shared" si="79"/>
        <v>494.96543129078077</v>
      </c>
      <c r="GD93" s="62">
        <f t="shared" si="80"/>
        <v>788.29876462411403</v>
      </c>
      <c r="GE93" s="62">
        <f ca="1">AVERAGE(OFFSET($GD$3,0,0,'Données projet'!$E$17+1,1))-AVERAGE(OFFSET($H$3,0,0,'Données projet'!$E$17+1,1))</f>
        <v>405.71017054131318</v>
      </c>
      <c r="GF93" s="62">
        <f t="shared" si="104"/>
        <v>276.12900965322166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19.2456669883017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19.2456669883017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6.0866666666666669</v>
      </c>
      <c r="GU93" s="13">
        <f>IF('Données projet'!$A$270&gt;35,GU92+GT93-HC92,IF(A93&lt;'Données projet'!$A$270,$GR$205^A93,IF(A93='Données projet'!$A$270,'Données projet'!$B$270,GU92+GT93-HC92)))</f>
        <v>200.45666666666642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8.4350000000000023</v>
      </c>
      <c r="N94" s="14">
        <f>IF('Données projet'!$A$36&gt;35,N93+M94-V93,IF(A94&lt;'Données projet'!$A$36,$K$205^A94,IF(A94='Données projet'!$A$36,'Données projet'!$B$36,N93+M94-V93)))</f>
        <v>321.48500000000024</v>
      </c>
      <c r="O94" s="14">
        <f>N94*VLOOKUP('Données projet'!$B$9,Paramètres!$A$1:$I$89,3,0)*VLOOKUP('Données projet'!$B$9,Paramètres!$A$1:$I$89,5,0)</f>
        <v>290.8796280000002</v>
      </c>
      <c r="P94" s="14">
        <f t="shared" si="87"/>
        <v>69.261061320562419</v>
      </c>
      <c r="Q94" s="22">
        <f t="shared" si="54"/>
        <v>627.24503389997983</v>
      </c>
      <c r="R94" s="62">
        <f t="shared" si="55"/>
        <v>920.5783672333132</v>
      </c>
      <c r="S94" s="62">
        <f ca="1">AVERAGE(OFFSET($R$3,0,0,'Données projet'!$E$9+1,1))-AVERAGE(OFFSET($H$3,0,0,'Données projet'!$E$9+1,1))</f>
        <v>452.54136967045082</v>
      </c>
      <c r="T94" s="62">
        <f t="shared" si="88"/>
        <v>269.67340993773422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32.784964054524977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32.784964054524977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8.4350000000000023</v>
      </c>
      <c r="BD94" s="13">
        <f>IF('Données projet'!$A$88&gt;35,BD93+BC94-BL93,IF(A94&lt;'Données projet'!$A$88,$BA$205^A94,IF(A94='Données projet'!$A$88,'Données projet'!$B$88,BD93+BC94-BL93)))</f>
        <v>321.48500000000024</v>
      </c>
      <c r="BE94" s="14">
        <f>BD94*VLOOKUP('Données projet'!$B$11,Paramètres!$A$1:$I$89,3,0)*VLOOKUP('Données projet'!$B$11,Paramètres!$A$1:$I$89,5,0)</f>
        <v>325.98579000000029</v>
      </c>
      <c r="BF94" s="14">
        <f t="shared" si="91"/>
        <v>76.597467139334853</v>
      </c>
      <c r="BG94" s="22">
        <f t="shared" si="61"/>
        <v>701.16583951767541</v>
      </c>
      <c r="BH94" s="62">
        <f t="shared" si="62"/>
        <v>994.49917285100878</v>
      </c>
      <c r="BI94" s="62">
        <f ca="1">AVERAGE(OFFSET($BH$3,0,0,'Données projet'!$E$11+1,1))-AVERAGE(OFFSET($H$3,0,0,'Données projet'!$E$11+1,1))</f>
        <v>502.06005292569733</v>
      </c>
      <c r="BJ94" s="62">
        <f t="shared" si="92"/>
        <v>297.06786598620607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36.741770061105576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36.741770061105576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-2.8421709430404007E-14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-5.1431925385259088E-14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204.787338911576</v>
      </c>
      <c r="CZ94" s="62">
        <f t="shared" si="96"/>
        <v>287.24932051638558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13.988279289379255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13.988279289379255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5.4</v>
      </c>
      <c r="DO94" s="13">
        <f>IF('Données projet'!$A$166&gt;35,DO93+DN94-DW93,IF(A94&lt;'Données projet'!$A$166,$DL$205^A94,IF(A94='Données projet'!$A$166,'Données projet'!$B$166,DO93+DN94-DW93)))</f>
        <v>209.40000000000009</v>
      </c>
      <c r="DP94" s="18">
        <f>DO94*VLOOKUP('Données projet'!$B$14,Paramètres!$A$1:$I$89,3,0)*VLOOKUP('Données projet'!$B$14,Paramètres!$A$1:$I$89,5,0)</f>
        <v>199.26504000000008</v>
      </c>
      <c r="DQ94" s="14">
        <f t="shared" si="97"/>
        <v>49.582611169831431</v>
      </c>
      <c r="DR94" s="22">
        <f t="shared" si="70"/>
        <v>433.40965912078991</v>
      </c>
      <c r="DS94" s="62">
        <f t="shared" si="71"/>
        <v>726.74299245412317</v>
      </c>
      <c r="DT94" s="62">
        <f ca="1">AVERAGE(OFFSET($DS$3,0,0,'Données projet'!$E$14+1,1))-AVERAGE(OFFSET($H$3,0,0,'Données projet'!$E$14+1,1))</f>
        <v>309.55876703480277</v>
      </c>
      <c r="DU94" s="62">
        <f t="shared" si="98"/>
        <v>122.43799205838684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28.782264703105145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28.782264703105145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10.114285714285716</v>
      </c>
      <c r="EJ94" s="13">
        <f>IF('Données projet'!$A$192&gt;35,EJ93+EI94-ER93,IF(A94&lt;'Données projet'!$A$192,$EG$205^A94,IF(A94='Données projet'!$A$192,'Données projet'!$B$192,EJ93+EI94-ER93)))</f>
        <v>385.50428571428534</v>
      </c>
      <c r="EK94" s="18">
        <f>EJ94*VLOOKUP('Données projet'!$B$15,Paramètres!$A$1:$I$89,3,0)*VLOOKUP('Données projet'!$B$15,Paramètres!$A$1:$I$89,5,0)</f>
        <v>180.41600571428552</v>
      </c>
      <c r="EL94" s="14">
        <f t="shared" si="99"/>
        <v>45.414727334987795</v>
      </c>
      <c r="EM94" s="22">
        <f t="shared" si="73"/>
        <v>393.3218600608177</v>
      </c>
      <c r="EN94" s="62">
        <f t="shared" si="74"/>
        <v>686.65519339415096</v>
      </c>
      <c r="EO94" s="62">
        <f ca="1">AVERAGE(OFFSET($EN$3,0,0,'Données projet'!$E$15+1,1))-AVERAGE(OFFSET($H$3,0,0,'Données projet'!$E$15+1,1))</f>
        <v>301.04834785168049</v>
      </c>
      <c r="EP94" s="62">
        <f t="shared" si="100"/>
        <v>164.1450425611464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35.082666021385755</v>
      </c>
      <c r="EW94" s="23">
        <f>EXP(-LN(2)/25)*EW93+(1-EXP(-LN(2)/25))/(LN(2)/25)*Calculateur!ER94*Calculateur!ET94*VLOOKUP('Données projet'!$B$15,Paramètres!$A$1:$I$89,3,0)*0.475*44/12</f>
        <v>29.237141920271633</v>
      </c>
      <c r="EX94" s="23">
        <f>EXP(-LN(2)/2)*EX93+(1-EXP(-LN(2)/2))/(LN(2)/2)*ER94*EU94*VLOOKUP('Données projet'!$B$15,Paramètres!$A$1:$I$89,3,0)*0.475*44/12</f>
        <v>1.4078124267812615</v>
      </c>
      <c r="EY94" s="24">
        <f t="shared" si="75"/>
        <v>65.72762036843865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6.0866666666666669</v>
      </c>
      <c r="FE94" s="13">
        <f>IF('Données projet'!$A$218&gt;35,FE93+FD94-FM93,IF(A94&lt;'Données projet'!$A$218,$FB$205^A94,IF(A94='Données projet'!$A$218,'Données projet'!$B$218,FE93+FD94-FM93)))</f>
        <v>206.54333333333309</v>
      </c>
      <c r="FF94" s="18">
        <f>FE94*VLOOKUP('Données projet'!$B$16,Paramètres!$A$1:$I$89,3,0)*VLOOKUP('Données projet'!$B$16,Paramètres!$A$1:$I$89,5,0)</f>
        <v>186.88040799999976</v>
      </c>
      <c r="FG94" s="14">
        <f t="shared" si="101"/>
        <v>46.849592229105795</v>
      </c>
      <c r="FH94" s="22">
        <f t="shared" si="76"/>
        <v>407.0797503990255</v>
      </c>
      <c r="FI94" s="62">
        <f t="shared" si="77"/>
        <v>700.41308373235881</v>
      </c>
      <c r="FJ94" s="62">
        <f ca="1">AVERAGE(OFFSET($FI$3,0,0,'Données projet'!$E$16+1,1))-AVERAGE(OFFSET($H$3,0,0,'Données projet'!$E$16+1,1))</f>
        <v>330.53726676433649</v>
      </c>
      <c r="FK94" s="62">
        <f t="shared" si="102"/>
        <v>228.01260676706528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14.991229170504305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14.991229170504305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6.0866666666666669</v>
      </c>
      <c r="FZ94" s="13">
        <f>IF('Données projet'!$A$244&gt;35,FZ93+FY94-GH93,IF(A94&lt;'Données projet'!$A$244,$FW$205^A94,IF(A94='Données projet'!$A$244,'Données projet'!$B$244,FZ93+FY94-GH93)))</f>
        <v>206.54333333333309</v>
      </c>
      <c r="GA94" s="18">
        <f>FZ94*VLOOKUP('Données projet'!$B$17,Paramètres!$A$1:$I$89,3,0)*VLOOKUP('Données projet'!$B$17,Paramètres!$A$1:$I$89,5,0)</f>
        <v>235.21154799999974</v>
      </c>
      <c r="GB94" s="14">
        <f t="shared" si="103"/>
        <v>57.408066394440617</v>
      </c>
      <c r="GC94" s="22">
        <f t="shared" si="79"/>
        <v>509.64582840365028</v>
      </c>
      <c r="GD94" s="62">
        <f t="shared" si="80"/>
        <v>802.97916173698354</v>
      </c>
      <c r="GE94" s="62">
        <f ca="1">AVERAGE(OFFSET($GD$3,0,0,'Données projet'!$E$17+1,1))-AVERAGE(OFFSET($H$3,0,0,'Données projet'!$E$17+1,1))</f>
        <v>405.71017054131318</v>
      </c>
      <c r="GF94" s="62">
        <f t="shared" si="104"/>
        <v>276.12900965322166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18.868271197358865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18.868271197358865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6.0866666666666669</v>
      </c>
      <c r="GU94" s="13">
        <f>IF('Données projet'!$A$270&gt;35,GU93+GT94-HC93,IF(A94&lt;'Données projet'!$A$270,$GR$205^A94,IF(A94='Données projet'!$A$270,'Données projet'!$B$270,GU93+GT94-HC93)))</f>
        <v>206.54333333333309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8.4350000000000023</v>
      </c>
      <c r="N95" s="14">
        <f>IF('Données projet'!$A$36&gt;35,N94+M95-V94,IF(A95&lt;'Données projet'!$A$36,$K$205^A95,IF(A95='Données projet'!$A$36,'Données projet'!$B$36,N94+M95-V94)))</f>
        <v>329.92000000000024</v>
      </c>
      <c r="O95" s="14">
        <f>N95*VLOOKUP('Données projet'!$B$9,Paramètres!$A$1:$I$89,3,0)*VLOOKUP('Données projet'!$B$9,Paramètres!$A$1:$I$89,5,0)</f>
        <v>298.51161600000017</v>
      </c>
      <c r="P95" s="14">
        <f t="shared" si="87"/>
        <v>70.864350757660134</v>
      </c>
      <c r="Q95" s="22">
        <f t="shared" si="54"/>
        <v>643.32980876959175</v>
      </c>
      <c r="R95" s="62">
        <f t="shared" si="55"/>
        <v>936.66314210292512</v>
      </c>
      <c r="S95" s="62">
        <f ca="1">AVERAGE(OFFSET($R$3,0,0,'Données projet'!$E$9+1,1))-AVERAGE(OFFSET($H$3,0,0,'Données projet'!$E$9+1,1))</f>
        <v>452.54136967045082</v>
      </c>
      <c r="T95" s="62">
        <f t="shared" si="88"/>
        <v>269.67340993773422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32.142070906269289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32.142070906269289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8.4350000000000023</v>
      </c>
      <c r="BD95" s="13">
        <f>IF('Données projet'!$A$88&gt;35,BD94+BC95-BL94,IF(A95&lt;'Données projet'!$A$88,$BA$205^A95,IF(A95='Données projet'!$A$88,'Données projet'!$B$88,BD94+BC95-BL94)))</f>
        <v>329.92000000000024</v>
      </c>
      <c r="BE95" s="14">
        <f>BD95*VLOOKUP('Données projet'!$B$11,Paramètres!$A$1:$I$89,3,0)*VLOOKUP('Données projet'!$B$11,Paramètres!$A$1:$I$89,5,0)</f>
        <v>334.53888000000029</v>
      </c>
      <c r="BF95" s="14">
        <f t="shared" si="91"/>
        <v>78.370583341013258</v>
      </c>
      <c r="BG95" s="22">
        <f t="shared" si="61"/>
        <v>719.1506486522652</v>
      </c>
      <c r="BH95" s="62">
        <f t="shared" si="62"/>
        <v>1012.4839819855986</v>
      </c>
      <c r="BI95" s="62">
        <f ca="1">AVERAGE(OFFSET($BH$3,0,0,'Données projet'!$E$11+1,1))-AVERAGE(OFFSET($H$3,0,0,'Données projet'!$E$11+1,1))</f>
        <v>502.06005292569733</v>
      </c>
      <c r="BJ95" s="62">
        <f t="shared" si="92"/>
        <v>297.06786598620607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36.0212863604742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36.0212863604742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-2.8421709430404007E-14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-5.1431925385259088E-14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204.787338911576</v>
      </c>
      <c r="CZ95" s="62">
        <f t="shared" si="96"/>
        <v>287.24932051638558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13.713977664522428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13.713977664522428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5.4</v>
      </c>
      <c r="DO95" s="13">
        <f>IF('Données projet'!$A$166&gt;35,DO94+DN95-DW94,IF(A95&lt;'Données projet'!$A$166,$DL$205^A95,IF(A95='Données projet'!$A$166,'Données projet'!$B$166,DO94+DN95-DW94)))</f>
        <v>214.8000000000001</v>
      </c>
      <c r="DP95" s="18">
        <f>DO95*VLOOKUP('Données projet'!$B$14,Paramètres!$A$1:$I$89,3,0)*VLOOKUP('Données projet'!$B$14,Paramètres!$A$1:$I$89,5,0)</f>
        <v>204.40368000000009</v>
      </c>
      <c r="DQ95" s="14">
        <f t="shared" si="97"/>
        <v>50.710733146553544</v>
      </c>
      <c r="DR95" s="22">
        <f t="shared" si="70"/>
        <v>444.32426956358091</v>
      </c>
      <c r="DS95" s="62">
        <f t="shared" si="71"/>
        <v>737.65760289691423</v>
      </c>
      <c r="DT95" s="62">
        <f ca="1">AVERAGE(OFFSET($DS$3,0,0,'Données projet'!$E$14+1,1))-AVERAGE(OFFSET($H$3,0,0,'Données projet'!$E$14+1,1))</f>
        <v>309.55876703480277</v>
      </c>
      <c r="DU95" s="62">
        <f t="shared" si="98"/>
        <v>122.43799205838684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28.217862047725266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28.217862047725266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10.114285714285716</v>
      </c>
      <c r="EJ95" s="13">
        <f>IF('Données projet'!$A$192&gt;35,EJ94+EI95-ER94,IF(A95&lt;'Données projet'!$A$192,$EG$205^A95,IF(A95='Données projet'!$A$192,'Données projet'!$B$192,EJ94+EI95-ER94)))</f>
        <v>395.61857142857104</v>
      </c>
      <c r="EK95" s="18">
        <f>EJ95*VLOOKUP('Données projet'!$B$15,Paramètres!$A$1:$I$89,3,0)*VLOOKUP('Données projet'!$B$15,Paramètres!$A$1:$I$89,5,0)</f>
        <v>185.14949142857125</v>
      </c>
      <c r="EL95" s="14">
        <f t="shared" si="99"/>
        <v>46.465965603432124</v>
      </c>
      <c r="EM95" s="22">
        <f t="shared" si="73"/>
        <v>403.39692099740586</v>
      </c>
      <c r="EN95" s="62">
        <f t="shared" si="74"/>
        <v>696.73025433073917</v>
      </c>
      <c r="EO95" s="62">
        <f ca="1">AVERAGE(OFFSET($EN$3,0,0,'Données projet'!$E$15+1,1))-AVERAGE(OFFSET($H$3,0,0,'Données projet'!$E$15+1,1))</f>
        <v>301.04834785168049</v>
      </c>
      <c r="EP95" s="62">
        <f t="shared" si="100"/>
        <v>164.1450425611464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34.394716339019745</v>
      </c>
      <c r="EW95" s="23">
        <f>EXP(-LN(2)/25)*EW94+(1-EXP(-LN(2)/25))/(LN(2)/25)*Calculateur!ER95*Calculateur!ET95*VLOOKUP('Données projet'!$B$15,Paramètres!$A$1:$I$89,3,0)*0.475*44/12</f>
        <v>28.437650736947333</v>
      </c>
      <c r="EX95" s="23">
        <f>EXP(-LN(2)/2)*EX94+(1-EXP(-LN(2)/2))/(LN(2)/2)*ER95*EU95*VLOOKUP('Données projet'!$B$15,Paramètres!$A$1:$I$89,3,0)*0.475*44/12</f>
        <v>0.99547371361572001</v>
      </c>
      <c r="EY95" s="24">
        <f t="shared" si="75"/>
        <v>63.827840789582801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6.0866666666666669</v>
      </c>
      <c r="FE95" s="13">
        <f>IF('Données projet'!$A$218&gt;35,FE94+FD95-FM94,IF(A95&lt;'Données projet'!$A$218,$FB$205^A95,IF(A95='Données projet'!$A$218,'Données projet'!$B$218,FE94+FD95-FM94)))</f>
        <v>212.62999999999977</v>
      </c>
      <c r="FF95" s="18">
        <f>FE95*VLOOKUP('Données projet'!$B$16,Paramètres!$A$1:$I$89,3,0)*VLOOKUP('Données projet'!$B$16,Paramètres!$A$1:$I$89,5,0)</f>
        <v>192.38762399999979</v>
      </c>
      <c r="FG95" s="14">
        <f t="shared" si="101"/>
        <v>48.067438344628293</v>
      </c>
      <c r="FH95" s="22">
        <f t="shared" si="76"/>
        <v>418.79256691689392</v>
      </c>
      <c r="FI95" s="62">
        <f t="shared" si="77"/>
        <v>712.12590025022723</v>
      </c>
      <c r="FJ95" s="62">
        <f ca="1">AVERAGE(OFFSET($FI$3,0,0,'Données projet'!$E$16+1,1))-AVERAGE(OFFSET($H$3,0,0,'Données projet'!$E$16+1,1))</f>
        <v>330.53726676433649</v>
      </c>
      <c r="FK95" s="62">
        <f t="shared" si="102"/>
        <v>228.01260676706528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14.69726031021764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14.69726031021764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6.0866666666666669</v>
      </c>
      <c r="FZ95" s="13">
        <f>IF('Données projet'!$A$244&gt;35,FZ94+FY95-GH94,IF(A95&lt;'Données projet'!$A$244,$FW$205^A95,IF(A95='Données projet'!$A$244,'Données projet'!$B$244,FZ94+FY95-GH94)))</f>
        <v>212.62999999999977</v>
      </c>
      <c r="GA95" s="18">
        <f>FZ95*VLOOKUP('Données projet'!$B$17,Paramètres!$A$1:$I$89,3,0)*VLOOKUP('Données projet'!$B$17,Paramètres!$A$1:$I$89,5,0)</f>
        <v>242.14304399999975</v>
      </c>
      <c r="GB95" s="14">
        <f t="shared" si="103"/>
        <v>58.900378009795347</v>
      </c>
      <c r="GC95" s="22">
        <f t="shared" si="79"/>
        <v>524.31729333372641</v>
      </c>
      <c r="GD95" s="62">
        <f t="shared" si="80"/>
        <v>817.65062666705967</v>
      </c>
      <c r="GE95" s="62">
        <f ca="1">AVERAGE(OFFSET($GD$3,0,0,'Données projet'!$E$17+1,1))-AVERAGE(OFFSET($H$3,0,0,'Données projet'!$E$17+1,1))</f>
        <v>405.71017054131318</v>
      </c>
      <c r="GF95" s="62">
        <f t="shared" si="104"/>
        <v>276.12900965322166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18.498275907687717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18.498275907687717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6.0866666666666669</v>
      </c>
      <c r="GU95" s="13">
        <f>IF('Données projet'!$A$270&gt;35,GU94+GT95-HC94,IF(A95&lt;'Données projet'!$A$270,$GR$205^A95,IF(A95='Données projet'!$A$270,'Données projet'!$B$270,GU94+GT95-HC94)))</f>
        <v>212.62999999999977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8.4350000000000023</v>
      </c>
      <c r="N96" s="14">
        <f>IF('Données projet'!$A$36&gt;35,N95+M96-V95,IF(A96&lt;'Données projet'!$A$36,$K$205^A96,IF(A96='Données projet'!$A$36,'Données projet'!$B$36,N95+M96-V95)))</f>
        <v>338.35500000000025</v>
      </c>
      <c r="O96" s="14">
        <f>N96*VLOOKUP('Données projet'!$B$9,Paramètres!$A$1:$I$89,3,0)*VLOOKUP('Données projet'!$B$9,Paramètres!$A$1:$I$89,5,0)</f>
        <v>306.14360400000021</v>
      </c>
      <c r="P96" s="14">
        <f t="shared" si="87"/>
        <v>72.462875387980091</v>
      </c>
      <c r="Q96" s="22">
        <f t="shared" si="54"/>
        <v>659.40628493406564</v>
      </c>
      <c r="R96" s="62">
        <f t="shared" si="55"/>
        <v>952.73961826739901</v>
      </c>
      <c r="S96" s="62">
        <f ca="1">AVERAGE(OFFSET($R$3,0,0,'Données projet'!$E$9+1,1))-AVERAGE(OFFSET($H$3,0,0,'Données projet'!$E$9+1,1))</f>
        <v>452.54136967045082</v>
      </c>
      <c r="T96" s="62">
        <f t="shared" si="88"/>
        <v>269.67340993773422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31.511784500524794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31.511784500524794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8.4350000000000023</v>
      </c>
      <c r="BD96" s="13">
        <f>IF('Données projet'!$A$88&gt;35,BD95+BC96-BL95,IF(A96&lt;'Données projet'!$A$88,$BA$205^A96,IF(A96='Données projet'!$A$88,'Données projet'!$B$88,BD95+BC96-BL95)))</f>
        <v>338.35500000000025</v>
      </c>
      <c r="BE96" s="14">
        <f>BD96*VLOOKUP('Données projet'!$B$11,Paramètres!$A$1:$I$89,3,0)*VLOOKUP('Données projet'!$B$11,Paramètres!$A$1:$I$89,5,0)</f>
        <v>343.09197000000029</v>
      </c>
      <c r="BF96" s="14">
        <f t="shared" si="91"/>
        <v>80.138430028716243</v>
      </c>
      <c r="BG96" s="22">
        <f t="shared" si="61"/>
        <v>737.12628005001454</v>
      </c>
      <c r="BH96" s="62">
        <f t="shared" si="62"/>
        <v>1030.4596133833479</v>
      </c>
      <c r="BI96" s="62">
        <f ca="1">AVERAGE(OFFSET($BH$3,0,0,'Données projet'!$E$11+1,1))-AVERAGE(OFFSET($H$3,0,0,'Données projet'!$E$11+1,1))</f>
        <v>502.06005292569733</v>
      </c>
      <c r="BJ96" s="62">
        <f t="shared" si="92"/>
        <v>297.06786598620607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35.314930905760541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35.314930905760541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-2.8421709430404007E-14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-5.1431925385259088E-14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204.787338911576</v>
      </c>
      <c r="CZ96" s="62">
        <f t="shared" si="96"/>
        <v>287.24932051638558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13.445054927221573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13.445054927221573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5.4</v>
      </c>
      <c r="DO96" s="13">
        <f>IF('Données projet'!$A$166&gt;35,DO95+DN96-DW95,IF(A96&lt;'Données projet'!$A$166,$DL$205^A96,IF(A96='Données projet'!$A$166,'Données projet'!$B$166,DO95+DN96-DW95)))</f>
        <v>220.2000000000001</v>
      </c>
      <c r="DP96" s="18">
        <f>DO96*VLOOKUP('Données projet'!$B$14,Paramètres!$A$1:$I$89,3,0)*VLOOKUP('Données projet'!$B$14,Paramètres!$A$1:$I$89,5,0)</f>
        <v>209.5423200000001</v>
      </c>
      <c r="DQ96" s="14">
        <f t="shared" si="97"/>
        <v>51.835558406813597</v>
      </c>
      <c r="DR96" s="22">
        <f t="shared" si="70"/>
        <v>455.23313822520049</v>
      </c>
      <c r="DS96" s="62">
        <f t="shared" si="71"/>
        <v>748.56647155853375</v>
      </c>
      <c r="DT96" s="62">
        <f ca="1">AVERAGE(OFFSET($DS$3,0,0,'Données projet'!$E$14+1,1))-AVERAGE(OFFSET($H$3,0,0,'Données projet'!$E$14+1,1))</f>
        <v>309.55876703480277</v>
      </c>
      <c r="DU96" s="62">
        <f t="shared" si="98"/>
        <v>122.43799205838684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27.664526984165757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27.664526984165757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10.114285714285716</v>
      </c>
      <c r="EJ96" s="13">
        <f>IF('Données projet'!$A$192&gt;35,EJ95+EI96-ER95,IF(A96&lt;'Données projet'!$A$192,$EG$205^A96,IF(A96='Données projet'!$A$192,'Données projet'!$B$192,EJ95+EI96-ER95)))</f>
        <v>405.73285714285674</v>
      </c>
      <c r="EK96" s="18">
        <f>EJ96*VLOOKUP('Données projet'!$B$15,Paramètres!$A$1:$I$89,3,0)*VLOOKUP('Données projet'!$B$15,Paramètres!$A$1:$I$89,5,0)</f>
        <v>189.88297714285696</v>
      </c>
      <c r="EL96" s="14">
        <f t="shared" si="99"/>
        <v>47.514079831406946</v>
      </c>
      <c r="EM96" s="22">
        <f t="shared" si="73"/>
        <v>413.4665408968429</v>
      </c>
      <c r="EN96" s="62">
        <f t="shared" si="74"/>
        <v>706.79987423017621</v>
      </c>
      <c r="EO96" s="62">
        <f ca="1">AVERAGE(OFFSET($EN$3,0,0,'Données projet'!$E$15+1,1))-AVERAGE(OFFSET($H$3,0,0,'Données projet'!$E$15+1,1))</f>
        <v>301.04834785168049</v>
      </c>
      <c r="EP96" s="62">
        <f t="shared" si="100"/>
        <v>164.1450425611464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33.720256930317056</v>
      </c>
      <c r="EW96" s="23">
        <f>EXP(-LN(2)/25)*EW95+(1-EXP(-LN(2)/25))/(LN(2)/25)*Calculateur!ER96*Calculateur!ET96*VLOOKUP('Données projet'!$B$15,Paramètres!$A$1:$I$89,3,0)*0.475*44/12</f>
        <v>27.660021682074451</v>
      </c>
      <c r="EX96" s="23">
        <f>EXP(-LN(2)/2)*EX95+(1-EXP(-LN(2)/2))/(LN(2)/2)*ER96*EU96*VLOOKUP('Données projet'!$B$15,Paramètres!$A$1:$I$89,3,0)*0.475*44/12</f>
        <v>0.70390621339063086</v>
      </c>
      <c r="EY96" s="24">
        <f t="shared" si="75"/>
        <v>62.084184825782138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6.0866666666666669</v>
      </c>
      <c r="FE96" s="13">
        <f>IF('Données projet'!$A$218&gt;35,FE95+FD96-FM95,IF(A96&lt;'Données projet'!$A$218,$FB$205^A96,IF(A96='Données projet'!$A$218,'Données projet'!$B$218,FE95+FD96-FM95)))</f>
        <v>218.71666666666644</v>
      </c>
      <c r="FF96" s="18">
        <f>FE96*VLOOKUP('Données projet'!$B$16,Paramètres!$A$1:$I$89,3,0)*VLOOKUP('Données projet'!$B$16,Paramètres!$A$1:$I$89,5,0)</f>
        <v>197.89483999999979</v>
      </c>
      <c r="FG96" s="14">
        <f t="shared" si="101"/>
        <v>49.281232737468613</v>
      </c>
      <c r="FH96" s="22">
        <f t="shared" si="76"/>
        <v>430.49832668442417</v>
      </c>
      <c r="FI96" s="62">
        <f t="shared" si="77"/>
        <v>723.83166001775749</v>
      </c>
      <c r="FJ96" s="62">
        <f ca="1">AVERAGE(OFFSET($FI$3,0,0,'Données projet'!$E$16+1,1))-AVERAGE(OFFSET($H$3,0,0,'Données projet'!$E$16+1,1))</f>
        <v>330.53726676433649</v>
      </c>
      <c r="FK96" s="62">
        <f t="shared" si="102"/>
        <v>228.01260676706528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14.409055999977896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14.409055999977896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6.0866666666666669</v>
      </c>
      <c r="FZ96" s="13">
        <f>IF('Données projet'!$A$244&gt;35,FZ95+FY96-GH95,IF(A96&lt;'Données projet'!$A$244,$FW$205^A96,IF(A96='Données projet'!$A$244,'Données projet'!$B$244,FZ95+FY96-GH95)))</f>
        <v>218.71666666666644</v>
      </c>
      <c r="GA96" s="18">
        <f>FZ96*VLOOKUP('Données projet'!$B$17,Paramètres!$A$1:$I$89,3,0)*VLOOKUP('Données projet'!$B$17,Paramètres!$A$1:$I$89,5,0)</f>
        <v>249.07453999999973</v>
      </c>
      <c r="GB96" s="14">
        <f t="shared" si="103"/>
        <v>60.387724767321366</v>
      </c>
      <c r="GC96" s="22">
        <f t="shared" si="79"/>
        <v>538.98011113641758</v>
      </c>
      <c r="GD96" s="62">
        <f t="shared" si="80"/>
        <v>832.31344446975095</v>
      </c>
      <c r="GE96" s="62">
        <f ca="1">AVERAGE(OFFSET($GD$3,0,0,'Données projet'!$E$17+1,1))-AVERAGE(OFFSET($H$3,0,0,'Données projet'!$E$17+1,1))</f>
        <v>405.71017054131318</v>
      </c>
      <c r="GF96" s="62">
        <f t="shared" si="104"/>
        <v>276.12900965322166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18.135535999972177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18.135535999972177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6.0866666666666669</v>
      </c>
      <c r="GU96" s="13">
        <f>IF('Données projet'!$A$270&gt;35,GU95+GT96-HC95,IF(A96&lt;'Données projet'!$A$270,$GR$205^A96,IF(A96='Données projet'!$A$270,'Données projet'!$B$270,GU95+GT96-HC95)))</f>
        <v>218.71666666666644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346.79</v>
      </c>
      <c r="L97" s="13">
        <f>VLOOKUP(A97,'Données projet'!$A$35:$I$55,9,0)</f>
        <v>8.4350000000000023</v>
      </c>
      <c r="M97" s="13">
        <f t="array" ref="M97">INDEX(L:L,MIN(IF(ISNUMBER(L97:L293),ROW(L97:L293),"")))</f>
        <v>8.4350000000000023</v>
      </c>
      <c r="N97" s="14">
        <f>IF('Données projet'!$A$36&gt;35,N96+M97-V96,IF(A97&lt;'Données projet'!$A$36,$K$205^A97,IF(A97='Données projet'!$A$36,'Données projet'!$B$36,N96+M97-V96)))</f>
        <v>346.79000000000025</v>
      </c>
      <c r="O97" s="14">
        <f>N97*VLOOKUP('Données projet'!$B$9,Paramètres!$A$1:$I$89,3,0)*VLOOKUP('Données projet'!$B$9,Paramètres!$A$1:$I$89,5,0)</f>
        <v>313.77559200000019</v>
      </c>
      <c r="P97" s="14">
        <f t="shared" si="87"/>
        <v>74.056767657464533</v>
      </c>
      <c r="Q97" s="22">
        <f t="shared" si="54"/>
        <v>675.47469307008441</v>
      </c>
      <c r="R97" s="62">
        <f t="shared" si="55"/>
        <v>968.80802640341767</v>
      </c>
      <c r="S97" s="62">
        <f ca="1">AVERAGE(OFFSET($R$3,0,0,'Données projet'!$E$9+1,1))-AVERAGE(OFFSET($H$3,0,0,'Données projet'!$E$9+1,1))</f>
        <v>452.54136967045082</v>
      </c>
      <c r="T97" s="62">
        <f t="shared" si="88"/>
        <v>269.67340993773422</v>
      </c>
      <c r="U97" s="16">
        <f>IF(ISNA(VLOOKUP(A97,'Données projet'!$A$35:$I$55,3,0)),0,VLOOKUP(A97,'Données projet'!$A$35:$I$55,3,0))</f>
        <v>7</v>
      </c>
      <c r="V97" s="16">
        <f>IF(ISNA(VLOOKUP(A97,'Données projet'!$A$35:$I$55,4,0)),0,VLOOKUP(A97,'Données projet'!$A$35:$I$55,4,0))</f>
        <v>61.85</v>
      </c>
      <c r="W97" s="17">
        <f>IF(ISNA(VLOOKUP(A97,'Données projet'!$A$35:$I$55,5,0)),0%,VLOOKUP(A97,'Données projet'!$A$35:$I$55,5,0)*VLOOKUP('Données projet'!$B$9,Paramètres!$A$1:$I$89,7,0))</f>
        <v>0.30099999999999999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49.514982044376396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49.514982044376396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>
        <f>VLOOKUP(A97,'Données projet'!$A$87:$I$107,2,0)</f>
        <v>346.79</v>
      </c>
      <c r="BB97" s="13">
        <f>VLOOKUP(A97,'Données projet'!$A$87:$I$107,9,0)</f>
        <v>8.4350000000000023</v>
      </c>
      <c r="BC97" s="13">
        <f t="array" ref="BC97">INDEX(BB:BB,MIN(IF(ISNUMBER(BB97:BB293),ROW(BB97:BB293),"")))</f>
        <v>8.4350000000000023</v>
      </c>
      <c r="BD97" s="13">
        <f>IF('Données projet'!$A$88&gt;35,BD96+BC97-BL96,IF(A97&lt;'Données projet'!$A$88,$BA$205^A97,IF(A97='Données projet'!$A$88,'Données projet'!$B$88,BD96+BC97-BL96)))</f>
        <v>346.79000000000025</v>
      </c>
      <c r="BE97" s="14">
        <f>BD97*VLOOKUP('Données projet'!$B$11,Paramètres!$A$1:$I$89,3,0)*VLOOKUP('Données projet'!$B$11,Paramètres!$A$1:$I$89,5,0)</f>
        <v>351.64506000000029</v>
      </c>
      <c r="BF97" s="14">
        <f t="shared" si="91"/>
        <v>81.901153677584574</v>
      </c>
      <c r="BG97" s="22">
        <f t="shared" si="61"/>
        <v>755.09298882179371</v>
      </c>
      <c r="BH97" s="62">
        <f t="shared" si="62"/>
        <v>1048.4263221551271</v>
      </c>
      <c r="BI97" s="62">
        <f ca="1">AVERAGE(OFFSET($BH$3,0,0,'Données projet'!$E$11+1,1))-AVERAGE(OFFSET($H$3,0,0,'Données projet'!$E$11+1,1))</f>
        <v>502.06005292569733</v>
      </c>
      <c r="BJ97" s="62">
        <f t="shared" si="92"/>
        <v>297.06786598620607</v>
      </c>
      <c r="BK97" s="16">
        <f>IF(ISNA(VLOOKUP(A97,'Données projet'!$A$87:$I$107,3,0)),0,VLOOKUP(A97,'Données projet'!$A$87:$I$107,3,0))</f>
        <v>7</v>
      </c>
      <c r="BL97" s="16">
        <f>IF(ISNA(VLOOKUP(A97,'Données projet'!$A$87:$I$107,4,0)),0,VLOOKUP(A97,'Données projet'!$A$87:$I$107,4,0))</f>
        <v>61.85</v>
      </c>
      <c r="BM97" s="17">
        <f>IF(ISNA(VLOOKUP(A97,'Données projet'!$A$87:$I$107,5,0)),0%,VLOOKUP(A97,'Données projet'!$A$87:$I$107,5,0)*VLOOKUP('Données projet'!$B$11,Paramètres!$A$1:$I$89,7,0))</f>
        <v>0.30099999999999999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55.490928153180448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55.490928153180448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-2.8421709430404007E-14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-5.1431925385259088E-14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204.787338911576</v>
      </c>
      <c r="CZ97" s="62">
        <f t="shared" si="96"/>
        <v>287.24932051638558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13.181405600772514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13.181405600772514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5.4</v>
      </c>
      <c r="DO97" s="13">
        <f>IF('Données projet'!$A$166&gt;35,DO96+DN97-DW96,IF(A97&lt;'Données projet'!$A$166,$DL$205^A97,IF(A97='Données projet'!$A$166,'Données projet'!$B$166,DO96+DN97-DW96)))</f>
        <v>225.60000000000011</v>
      </c>
      <c r="DP97" s="18">
        <f>DO97*VLOOKUP('Données projet'!$B$14,Paramètres!$A$1:$I$89,3,0)*VLOOKUP('Données projet'!$B$14,Paramètres!$A$1:$I$89,5,0)</f>
        <v>214.68096000000011</v>
      </c>
      <c r="DQ97" s="14">
        <f t="shared" si="97"/>
        <v>52.957177096561942</v>
      </c>
      <c r="DR97" s="22">
        <f t="shared" si="70"/>
        <v>466.13642210984557</v>
      </c>
      <c r="DS97" s="62">
        <f t="shared" si="71"/>
        <v>759.46975544317888</v>
      </c>
      <c r="DT97" s="62">
        <f ca="1">AVERAGE(OFFSET($DS$3,0,0,'Données projet'!$E$14+1,1))-AVERAGE(OFFSET($H$3,0,0,'Données projet'!$E$14+1,1))</f>
        <v>309.55876703480277</v>
      </c>
      <c r="DU97" s="62">
        <f t="shared" si="98"/>
        <v>122.43799205838684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27.122042483701588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27.122042483701588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10.114285714285716</v>
      </c>
      <c r="EJ97" s="13">
        <f>IF('Données projet'!$A$192&gt;35,EJ96+EI97-ER96,IF(A97&lt;'Données projet'!$A$192,$EG$205^A97,IF(A97='Données projet'!$A$192,'Données projet'!$B$192,EJ96+EI97-ER96)))</f>
        <v>415.84714285714244</v>
      </c>
      <c r="EK97" s="18">
        <f>EJ97*VLOOKUP('Données projet'!$B$15,Paramètres!$A$1:$I$89,3,0)*VLOOKUP('Données projet'!$B$15,Paramètres!$A$1:$I$89,5,0)</f>
        <v>194.61646285714266</v>
      </c>
      <c r="EL97" s="14">
        <f t="shared" si="99"/>
        <v>48.559156853467215</v>
      </c>
      <c r="EM97" s="22">
        <f t="shared" si="73"/>
        <v>423.53087099597883</v>
      </c>
      <c r="EN97" s="62">
        <f t="shared" si="74"/>
        <v>716.86420432931209</v>
      </c>
      <c r="EO97" s="62">
        <f ca="1">AVERAGE(OFFSET($EN$3,0,0,'Données projet'!$E$15+1,1))-AVERAGE(OFFSET($H$3,0,0,'Données projet'!$E$15+1,1))</f>
        <v>301.04834785168049</v>
      </c>
      <c r="EP97" s="62">
        <f t="shared" si="100"/>
        <v>164.1450425611464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33.05902325923941</v>
      </c>
      <c r="EW97" s="23">
        <f>EXP(-LN(2)/25)*EW96+(1-EXP(-LN(2)/25))/(LN(2)/25)*Calculateur!ER97*Calculateur!ET97*VLOOKUP('Données projet'!$B$15,Paramètres!$A$1:$I$89,3,0)*0.475*44/12</f>
        <v>26.903656934600804</v>
      </c>
      <c r="EX97" s="23">
        <f>EXP(-LN(2)/2)*EX96+(1-EXP(-LN(2)/2))/(LN(2)/2)*ER97*EU97*VLOOKUP('Données projet'!$B$15,Paramètres!$A$1:$I$89,3,0)*0.475*44/12</f>
        <v>0.49773685680786006</v>
      </c>
      <c r="EY97" s="24">
        <f t="shared" si="75"/>
        <v>60.460417050648076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6.0866666666666669</v>
      </c>
      <c r="FE97" s="13">
        <f>IF('Données projet'!$A$218&gt;35,FE96+FD97-FM96,IF(A97&lt;'Données projet'!$A$218,$FB$205^A97,IF(A97='Données projet'!$A$218,'Données projet'!$B$218,FE96+FD97-FM96)))</f>
        <v>224.80333333333311</v>
      </c>
      <c r="FF97" s="18">
        <f>FE97*VLOOKUP('Données projet'!$B$16,Paramètres!$A$1:$I$89,3,0)*VLOOKUP('Données projet'!$B$16,Paramètres!$A$1:$I$89,5,0)</f>
        <v>203.40205599999979</v>
      </c>
      <c r="FG97" s="14">
        <f t="shared" si="101"/>
        <v>50.491101116964437</v>
      </c>
      <c r="FH97" s="22">
        <f t="shared" si="76"/>
        <v>442.19724864537937</v>
      </c>
      <c r="FI97" s="62">
        <f t="shared" si="77"/>
        <v>735.53058197871269</v>
      </c>
      <c r="FJ97" s="62">
        <f ca="1">AVERAGE(OFFSET($FI$3,0,0,'Données projet'!$E$16+1,1))-AVERAGE(OFFSET($H$3,0,0,'Données projet'!$E$16+1,1))</f>
        <v>330.53726676433649</v>
      </c>
      <c r="FK97" s="62">
        <f t="shared" si="102"/>
        <v>228.01260676706528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14.126503200474682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14.126503200474682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6.0866666666666669</v>
      </c>
      <c r="FZ97" s="13">
        <f>IF('Données projet'!$A$244&gt;35,FZ96+FY97-GH96,IF(A97&lt;'Données projet'!$A$244,$FW$205^A97,IF(A97='Données projet'!$A$244,'Données projet'!$B$244,FZ96+FY97-GH96)))</f>
        <v>224.80333333333311</v>
      </c>
      <c r="GA97" s="18">
        <f>FZ97*VLOOKUP('Données projet'!$B$17,Paramètres!$A$1:$I$89,3,0)*VLOOKUP('Données projet'!$B$17,Paramètres!$A$1:$I$89,5,0)</f>
        <v>256.00603599999977</v>
      </c>
      <c r="GB97" s="14">
        <f t="shared" si="103"/>
        <v>61.870260707420279</v>
      </c>
      <c r="GC97" s="22">
        <f t="shared" si="79"/>
        <v>553.63455009875656</v>
      </c>
      <c r="GD97" s="62">
        <f t="shared" si="80"/>
        <v>846.96788343208982</v>
      </c>
      <c r="GE97" s="62">
        <f ca="1">AVERAGE(OFFSET($GD$3,0,0,'Données projet'!$E$17+1,1))-AVERAGE(OFFSET($H$3,0,0,'Données projet'!$E$17+1,1))</f>
        <v>405.71017054131318</v>
      </c>
      <c r="GF97" s="62">
        <f t="shared" si="104"/>
        <v>276.12900965322166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17.779909200597441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17.779909200597441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6.0866666666666669</v>
      </c>
      <c r="GU97" s="13">
        <f>IF('Données projet'!$A$270&gt;35,GU96+GT97-HC96,IF(A97&lt;'Données projet'!$A$270,$GR$205^A97,IF(A97='Données projet'!$A$270,'Données projet'!$B$270,GU96+GT97-HC96)))</f>
        <v>224.80333333333311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7.9550000000000027</v>
      </c>
      <c r="N98" s="14">
        <f>IF('Données projet'!$A$36&gt;35,N97+M98-V97,IF(A98&lt;'Données projet'!$A$36,$K$205^A98,IF(A98='Données projet'!$A$36,'Données projet'!$B$36,N97+M98-V97)))</f>
        <v>292.89500000000021</v>
      </c>
      <c r="O98" s="14">
        <f>N98*VLOOKUP('Données projet'!$B$9,Paramètres!$A$1:$I$89,3,0)*VLOOKUP('Données projet'!$B$9,Paramètres!$A$1:$I$89,5,0)</f>
        <v>265.01139600000016</v>
      </c>
      <c r="P98" s="14">
        <f t="shared" si="87"/>
        <v>63.789415259199288</v>
      </c>
      <c r="Q98" s="22">
        <f t="shared" si="54"/>
        <v>572.66141294310569</v>
      </c>
      <c r="R98" s="62">
        <f t="shared" si="55"/>
        <v>865.99474627643895</v>
      </c>
      <c r="S98" s="62">
        <f ca="1">AVERAGE(OFFSET($R$3,0,0,'Données projet'!$E$9+1,1))-AVERAGE(OFFSET($H$3,0,0,'Données projet'!$E$9+1,1))</f>
        <v>452.54136967045082</v>
      </c>
      <c r="T98" s="62">
        <f t="shared" si="88"/>
        <v>269.67340993773422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48.544023447643106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48.544023447643106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7.9550000000000027</v>
      </c>
      <c r="BD98" s="13">
        <f>IF('Données projet'!$A$88&gt;35,BD97+BC98-BL97,IF(A98&lt;'Données projet'!$A$88,$BA$205^A98,IF(A98='Données projet'!$A$88,'Données projet'!$B$88,BD97+BC98-BL97)))</f>
        <v>292.89500000000021</v>
      </c>
      <c r="BE98" s="14">
        <f>BD98*VLOOKUP('Données projet'!$B$11,Paramètres!$A$1:$I$89,3,0)*VLOOKUP('Données projet'!$B$11,Paramètres!$A$1:$I$89,5,0)</f>
        <v>296.99553000000026</v>
      </c>
      <c r="BF98" s="14">
        <f t="shared" si="91"/>
        <v>70.546242664971942</v>
      </c>
      <c r="BG98" s="22">
        <f t="shared" si="61"/>
        <v>640.13525405815994</v>
      </c>
      <c r="BH98" s="62">
        <f t="shared" si="62"/>
        <v>933.4685873914932</v>
      </c>
      <c r="BI98" s="62">
        <f ca="1">AVERAGE(OFFSET($BH$3,0,0,'Données projet'!$E$11+1,1))-AVERAGE(OFFSET($H$3,0,0,'Données projet'!$E$11+1,1))</f>
        <v>502.06005292569733</v>
      </c>
      <c r="BJ98" s="62">
        <f t="shared" si="92"/>
        <v>297.06786598620607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54.402784898220723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54.402784898220723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-2.8421709430404007E-14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-5.1431925385259088E-14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204.787338911576</v>
      </c>
      <c r="CZ98" s="62">
        <f t="shared" si="96"/>
        <v>287.24932051638558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12.922926276804912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12.922926276804912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231</v>
      </c>
      <c r="DM98" s="13">
        <f>VLOOKUP(A98,'Données projet'!$A$165:$I$185,9,0)</f>
        <v>5.4</v>
      </c>
      <c r="DN98" s="13">
        <f t="array" ref="DN98">INDEX(DM:DM,MIN(IF(ISNUMBER(DM98:DM294),ROW(DM98:DM294),"")))</f>
        <v>5.4</v>
      </c>
      <c r="DO98" s="13">
        <f>IF('Données projet'!$A$166&gt;35,DO97+DN98-DW97,IF(A98&lt;'Données projet'!$A$166,$DL$205^A98,IF(A98='Données projet'!$A$166,'Données projet'!$B$166,DO97+DN98-DW97)))</f>
        <v>231.00000000000011</v>
      </c>
      <c r="DP98" s="18">
        <f>DO98*VLOOKUP('Données projet'!$B$14,Paramètres!$A$1:$I$89,3,0)*VLOOKUP('Données projet'!$B$14,Paramètres!$A$1:$I$89,5,0)</f>
        <v>219.81960000000009</v>
      </c>
      <c r="DQ98" s="14">
        <f t="shared" si="97"/>
        <v>54.075674800133505</v>
      </c>
      <c r="DR98" s="22">
        <f t="shared" si="70"/>
        <v>477.03427027689941</v>
      </c>
      <c r="DS98" s="62">
        <f t="shared" si="71"/>
        <v>770.36760361023266</v>
      </c>
      <c r="DT98" s="62">
        <f ca="1">AVERAGE(OFFSET($DS$3,0,0,'Données projet'!$E$14+1,1))-AVERAGE(OFFSET($H$3,0,0,'Données projet'!$E$14+1,1))</f>
        <v>309.55876703480277</v>
      </c>
      <c r="DU98" s="62">
        <f t="shared" si="98"/>
        <v>122.43799205838684</v>
      </c>
      <c r="DV98" s="16">
        <f>IF(ISNA(VLOOKUP(A98,'Données projet'!$A$165:$I$185,3,0)),0,VLOOKUP(A98,'Données projet'!$A$165:$I$185,3,0))</f>
        <v>12</v>
      </c>
      <c r="DW98" s="16">
        <f>IF(ISNA(VLOOKUP(A98,'Données projet'!$A$165:$I$185,4,0)),0,VLOOKUP(A98,'Données projet'!$A$165:$I$185,4,0))</f>
        <v>22</v>
      </c>
      <c r="DX98" s="17">
        <f>IF(ISNA(VLOOKUP(A98,'Données projet'!$A$165:$I$185,5,0)),0%,VLOOKUP(A98,'Données projet'!$A$165:$I$185,5,0)*VLOOKUP('Données projet'!$B$14,Paramètres!$A$1:$I$89,7,0))</f>
        <v>0.25800000000000001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32.561152593724991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32.561152593724991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10.114285714285716</v>
      </c>
      <c r="EJ98" s="13">
        <f>IF('Données projet'!$A$192&gt;35,EJ97+EI98-ER97,IF(A98&lt;'Données projet'!$A$192,$EG$205^A98,IF(A98='Données projet'!$A$192,'Données projet'!$B$192,EJ97+EI98-ER97)))</f>
        <v>425.96142857142814</v>
      </c>
      <c r="EK98" s="18">
        <f>EJ98*VLOOKUP('Données projet'!$B$15,Paramètres!$A$1:$I$89,3,0)*VLOOKUP('Données projet'!$B$15,Paramètres!$A$1:$I$89,5,0)</f>
        <v>199.34994857142837</v>
      </c>
      <c r="EL98" s="14">
        <f t="shared" si="99"/>
        <v>49.601279039324432</v>
      </c>
      <c r="EM98" s="22">
        <f t="shared" si="73"/>
        <v>433.59005475539442</v>
      </c>
      <c r="EN98" s="62">
        <f t="shared" si="74"/>
        <v>726.92338808872773</v>
      </c>
      <c r="EO98" s="62">
        <f ca="1">AVERAGE(OFFSET($EN$3,0,0,'Données projet'!$E$15+1,1))-AVERAGE(OFFSET($H$3,0,0,'Données projet'!$E$15+1,1))</f>
        <v>301.04834785168049</v>
      </c>
      <c r="EP98" s="62">
        <f t="shared" si="100"/>
        <v>164.1450425611464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32.410755977138884</v>
      </c>
      <c r="EW98" s="23">
        <f>EXP(-LN(2)/25)*EW97+(1-EXP(-LN(2)/25))/(LN(2)/25)*Calculateur!ER98*Calculateur!ET98*VLOOKUP('Données projet'!$B$15,Paramètres!$A$1:$I$89,3,0)*0.475*44/12</f>
        <v>26.167975020922317</v>
      </c>
      <c r="EX98" s="23">
        <f>EXP(-LN(2)/2)*EX97+(1-EXP(-LN(2)/2))/(LN(2)/2)*ER98*EU98*VLOOKUP('Données projet'!$B$15,Paramètres!$A$1:$I$89,3,0)*0.475*44/12</f>
        <v>0.35195310669531549</v>
      </c>
      <c r="EY98" s="24">
        <f t="shared" si="75"/>
        <v>58.930684104756516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230.89</v>
      </c>
      <c r="FC98" s="13">
        <f>VLOOKUP(A98,'Données projet'!$A$217:$I$237,9,0)</f>
        <v>6.0866666666666669</v>
      </c>
      <c r="FD98" s="13">
        <f t="array" ref="FD98">INDEX(FC:FC,MIN(IF(ISNUMBER(FC98:FC294),ROW(FC98:FC294),"")))</f>
        <v>6.0866666666666669</v>
      </c>
      <c r="FE98" s="13">
        <f>IF('Données projet'!$A$218&gt;35,FE97+FD98-FM97,IF(A98&lt;'Données projet'!$A$218,$FB$205^A98,IF(A98='Données projet'!$A$218,'Données projet'!$B$218,FE97+FD98-FM97)))</f>
        <v>230.88999999999979</v>
      </c>
      <c r="FF98" s="18">
        <f>FE98*VLOOKUP('Données projet'!$B$16,Paramètres!$A$1:$I$89,3,0)*VLOOKUP('Données projet'!$B$16,Paramètres!$A$1:$I$89,5,0)</f>
        <v>208.90927199999979</v>
      </c>
      <c r="FG98" s="14">
        <f t="shared" si="101"/>
        <v>51.69716199766188</v>
      </c>
      <c r="FH98" s="22">
        <f t="shared" si="76"/>
        <v>453.889539212594</v>
      </c>
      <c r="FI98" s="62">
        <f t="shared" si="77"/>
        <v>747.22287254592732</v>
      </c>
      <c r="FJ98" s="62">
        <f ca="1">AVERAGE(OFFSET($FI$3,0,0,'Données projet'!$E$16+1,1))-AVERAGE(OFFSET($H$3,0,0,'Données projet'!$E$16+1,1))</f>
        <v>330.53726676433649</v>
      </c>
      <c r="FK98" s="62">
        <f t="shared" si="102"/>
        <v>228.01260676706528</v>
      </c>
      <c r="FL98" s="16">
        <f>IF(ISNA(VLOOKUP(A98,'Données projet'!$A$217:$I$237,3,0)),0,VLOOKUP(A98,'Données projet'!$A$217:$I$237,3,0))</f>
        <v>5</v>
      </c>
      <c r="FM98" s="16">
        <f>IF(ISNA(VLOOKUP(A98,'Données projet'!$A$217:$I$237,4,0)),0,VLOOKUP(A98,'Données projet'!$A$217:$I$237,4,0))</f>
        <v>38.770000000000003</v>
      </c>
      <c r="FN98" s="17">
        <f>IF(ISNA(VLOOKUP(A98,'Données projet'!$A$217:$I$237,5,0)),0%,VLOOKUP(A98,'Données projet'!$A$217:$I$237,5,0)*VLOOKUP('Données projet'!$B$16,Paramètres!$A$1:$I$89,7,0))</f>
        <v>0.17200000000000001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20.519462158861895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20.519462158861895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>
        <f>VLOOKUP(A98,'Données projet'!$A$243:$I$263,2,0)</f>
        <v>230.89</v>
      </c>
      <c r="FX98" s="13">
        <f>VLOOKUP(A98,'Données projet'!$A$243:$I$263,9,0)</f>
        <v>6.0866666666666669</v>
      </c>
      <c r="FY98" s="13">
        <f t="array" ref="FY98">INDEX(FX:FX,MIN(IF(ISNUMBER(FX98:FX294),ROW(FX98:FX294),"")))</f>
        <v>6.0866666666666669</v>
      </c>
      <c r="FZ98" s="13">
        <f>IF('Données projet'!$A$244&gt;35,FZ97+FY98-GH97,IF(A98&lt;'Données projet'!$A$244,$FW$205^A98,IF(A98='Données projet'!$A$244,'Données projet'!$B$244,FZ97+FY98-GH97)))</f>
        <v>230.88999999999979</v>
      </c>
      <c r="GA98" s="18">
        <f>FZ98*VLOOKUP('Données projet'!$B$17,Paramètres!$A$1:$I$89,3,0)*VLOOKUP('Données projet'!$B$17,Paramètres!$A$1:$I$89,5,0)</f>
        <v>262.93753199999975</v>
      </c>
      <c r="GB98" s="14">
        <f t="shared" si="103"/>
        <v>63.348131054214917</v>
      </c>
      <c r="GC98" s="22">
        <f t="shared" si="79"/>
        <v>568.28086315275721</v>
      </c>
      <c r="GD98" s="62">
        <f t="shared" si="80"/>
        <v>861.61419648609058</v>
      </c>
      <c r="GE98" s="62">
        <f ca="1">AVERAGE(OFFSET($GD$3,0,0,'Données projet'!$E$17+1,1))-AVERAGE(OFFSET($H$3,0,0,'Données projet'!$E$17+1,1))</f>
        <v>405.71017054131318</v>
      </c>
      <c r="GF98" s="62">
        <f t="shared" si="104"/>
        <v>276.12900965322166</v>
      </c>
      <c r="GG98" s="16">
        <f>IF(ISNA(VLOOKUP(A98,'Données projet'!$A$243:$I$263,3,0)),0,VLOOKUP(A98,'Données projet'!$A$243:$I$263,3,0))</f>
        <v>5</v>
      </c>
      <c r="GH98" s="16">
        <f>IF(ISNA(VLOOKUP(A98,'Données projet'!$A$243:$I$263,4,0)),0,VLOOKUP(A98,'Données projet'!$A$243:$I$263,4,0))</f>
        <v>38.770000000000003</v>
      </c>
      <c r="GI98" s="17">
        <f>IF(ISNA(VLOOKUP(A98,'Données projet'!$A$243:$I$263,5,0)),0%,VLOOKUP(A98,'Données projet'!$A$243:$I$263,5,0)*VLOOKUP('Données projet'!$B$17,Paramètres!$A$1:$I$89,7,0))</f>
        <v>0.17200000000000001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25.826219613739973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25.826219613739973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>
        <f>VLOOKUP(A98,'Données projet'!$A$269:$I$289,2,0)</f>
        <v>230.89</v>
      </c>
      <c r="GS98" s="13">
        <f>VLOOKUP(A98,'Données projet'!$A$269:$I$289,9,0)</f>
        <v>6.0866666666666669</v>
      </c>
      <c r="GT98" s="13">
        <f t="array" ref="GT98">INDEX(GS:GS,MIN(IF(ISNUMBER(GS98:GS294),ROW(GS98:GS294),"")))</f>
        <v>6.0866666666666669</v>
      </c>
      <c r="GU98" s="13">
        <f>IF('Données projet'!$A$270&gt;35,GU97+GT98-HC97,IF(A98&lt;'Données projet'!$A$270,$GR$205^A98,IF(A98='Données projet'!$A$270,'Données projet'!$B$270,GU97+GT98-HC97)))</f>
        <v>230.88999999999979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5</v>
      </c>
      <c r="HC98" s="16">
        <f>IF(ISNA(VLOOKUP(A98,'Données projet'!$A$269:$I$289,4,0)),0,VLOOKUP(A98,'Données projet'!$A$269:$I$289,4,0))</f>
        <v>38.770000000000003</v>
      </c>
      <c r="HD98" s="17" t="e">
        <f>IF(ISNA(VLOOKUP(A98,'Données projet'!$A$269:$I$289,5,0)),0%,VLOOKUP(A98,'Données projet'!$A$269:$I$289,5,0)*VLOOKUP('Données projet'!$B$18,Paramètres!$A$1:$I$89,7,0))</f>
        <v>#N/A</v>
      </c>
      <c r="HE98" s="17" t="e">
        <f>IF(ISNA(VLOOKUP(A98,'Données projet'!$A$269:$I$289,6,0)),0%,VLOOKUP(A98,'Données projet'!$A$269:$I$289,6,0)*VLOOKUP('Données projet'!$B$18,Paramètres!$A$1:$I$89,7,0))</f>
        <v>#N/A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7.9550000000000027</v>
      </c>
      <c r="N99" s="14">
        <f>IF('Données projet'!$A$36&gt;35,N98+M99-V98,IF(A99&lt;'Données projet'!$A$36,$K$205^A99,IF(A99='Données projet'!$A$36,'Données projet'!$B$36,N98+M99-V98)))</f>
        <v>300.85000000000019</v>
      </c>
      <c r="O99" s="14">
        <f>N99*VLOOKUP('Données projet'!$B$9,Paramètres!$A$1:$I$89,3,0)*VLOOKUP('Données projet'!$B$9,Paramètres!$A$1:$I$89,5,0)</f>
        <v>272.2090800000002</v>
      </c>
      <c r="P99" s="14">
        <f t="shared" si="87"/>
        <v>65.317869250399823</v>
      </c>
      <c r="Q99" s="22">
        <f t="shared" ref="Q99:Q130" si="107">(O99+P99)*0.475*44/12</f>
        <v>587.85943661111344</v>
      </c>
      <c r="R99" s="62">
        <f t="shared" si="55"/>
        <v>881.19276994444681</v>
      </c>
      <c r="S99" s="62">
        <f ca="1">AVERAGE(OFFSET($R$3,0,0,'Données projet'!$E$9+1,1))-AVERAGE(OFFSET($H$3,0,0,'Données projet'!$E$9+1,1))</f>
        <v>452.54136967045082</v>
      </c>
      <c r="T99" s="62">
        <f t="shared" si="88"/>
        <v>269.67340993773422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47.592104756765487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47.592104756765487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7.9550000000000027</v>
      </c>
      <c r="BD99" s="13">
        <f>IF('Données projet'!$A$88&gt;35,BD98+BC99-BL98,IF(A99&lt;'Données projet'!$A$88,$BA$205^A99,IF(A99='Données projet'!$A$88,'Données projet'!$B$88,BD98+BC99-BL98)))</f>
        <v>300.85000000000019</v>
      </c>
      <c r="BE99" s="14">
        <f>BD99*VLOOKUP('Données projet'!$B$11,Paramètres!$A$1:$I$89,3,0)*VLOOKUP('Données projet'!$B$11,Paramètres!$A$1:$I$89,5,0)</f>
        <v>305.06190000000021</v>
      </c>
      <c r="BF99" s="14">
        <f t="shared" si="91"/>
        <v>72.236596554051189</v>
      </c>
      <c r="BG99" s="22">
        <f t="shared" si="61"/>
        <v>657.12821483163953</v>
      </c>
      <c r="BH99" s="62">
        <f t="shared" si="62"/>
        <v>950.46154816497278</v>
      </c>
      <c r="BI99" s="62">
        <f ca="1">AVERAGE(OFFSET($BH$3,0,0,'Données projet'!$E$11+1,1))-AVERAGE(OFFSET($H$3,0,0,'Données projet'!$E$11+1,1))</f>
        <v>502.06005292569733</v>
      </c>
      <c r="BJ99" s="62">
        <f t="shared" si="92"/>
        <v>297.06786598620607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53.335979468788913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53.335979468788913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-2.8421709430404007E-14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-5.1431925385259088E-14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204.787338911576</v>
      </c>
      <c r="CZ99" s="62">
        <f t="shared" si="96"/>
        <v>287.24932051638558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12.669515574723492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12.669515574723492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5.2</v>
      </c>
      <c r="DO99" s="13">
        <f>IF('Données projet'!$A$166&gt;35,DO98+DN99-DW98,IF(A99&lt;'Données projet'!$A$166,$DL$205^A99,IF(A99='Données projet'!$A$166,'Données projet'!$B$166,DO98+DN99-DW98)))</f>
        <v>214.2000000000001</v>
      </c>
      <c r="DP99" s="18">
        <f>DO99*VLOOKUP('Données projet'!$B$14,Paramètres!$A$1:$I$89,3,0)*VLOOKUP('Données projet'!$B$14,Paramètres!$A$1:$I$89,5,0)</f>
        <v>203.83272000000011</v>
      </c>
      <c r="DQ99" s="14">
        <f t="shared" si="97"/>
        <v>50.585550755991584</v>
      </c>
      <c r="DR99" s="22">
        <f t="shared" si="70"/>
        <v>443.11182156668548</v>
      </c>
      <c r="DS99" s="62">
        <f t="shared" si="71"/>
        <v>736.44515490001879</v>
      </c>
      <c r="DT99" s="62">
        <f ca="1">AVERAGE(OFFSET($DS$3,0,0,'Données projet'!$E$14+1,1))-AVERAGE(OFFSET($H$3,0,0,'Données projet'!$E$14+1,1))</f>
        <v>309.55876703480277</v>
      </c>
      <c r="DU99" s="62">
        <f t="shared" si="98"/>
        <v>122.43799205838684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31.922648251704079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31.922648251704079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10.114285714285716</v>
      </c>
      <c r="EJ99" s="13">
        <f>IF('Données projet'!$A$192&gt;35,EJ98+EI99-ER98,IF(A99&lt;'Données projet'!$A$192,$EG$205^A99,IF(A99='Données projet'!$A$192,'Données projet'!$B$192,EJ98+EI99-ER98)))</f>
        <v>436.07571428571384</v>
      </c>
      <c r="EK99" s="18">
        <f>EJ99*VLOOKUP('Données projet'!$B$15,Paramètres!$A$1:$I$89,3,0)*VLOOKUP('Données projet'!$B$15,Paramètres!$A$1:$I$89,5,0)</f>
        <v>204.08343428571408</v>
      </c>
      <c r="EL99" s="14">
        <f t="shared" si="99"/>
        <v>50.64052462390368</v>
      </c>
      <c r="EM99" s="22">
        <f t="shared" si="73"/>
        <v>443.64422843425086</v>
      </c>
      <c r="EN99" s="62">
        <f t="shared" si="74"/>
        <v>736.97756176758412</v>
      </c>
      <c r="EO99" s="62">
        <f ca="1">AVERAGE(OFFSET($EN$3,0,0,'Données projet'!$E$15+1,1))-AVERAGE(OFFSET($H$3,0,0,'Données projet'!$E$15+1,1))</f>
        <v>301.04834785168049</v>
      </c>
      <c r="EP99" s="62">
        <f t="shared" si="100"/>
        <v>164.1450425611464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31.775200821036346</v>
      </c>
      <c r="EW99" s="23">
        <f>EXP(-LN(2)/25)*EW98+(1-EXP(-LN(2)/25))/(LN(2)/25)*Calculateur!ER99*Calculateur!ET99*VLOOKUP('Données projet'!$B$15,Paramètres!$A$1:$I$89,3,0)*0.475*44/12</f>
        <v>25.452410367861198</v>
      </c>
      <c r="EX99" s="23">
        <f>EXP(-LN(2)/2)*EX98+(1-EXP(-LN(2)/2))/(LN(2)/2)*ER99*EU99*VLOOKUP('Données projet'!$B$15,Paramètres!$A$1:$I$89,3,0)*0.475*44/12</f>
        <v>0.24886842840393009</v>
      </c>
      <c r="EY99" s="24">
        <f t="shared" si="75"/>
        <v>57.476479617301472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6.0016666666666696</v>
      </c>
      <c r="FE99" s="13">
        <f>IF('Données projet'!$A$218&gt;35,FE98+FD99-FM98,IF(A99&lt;'Données projet'!$A$218,$FB$205^A99,IF(A99='Données projet'!$A$218,'Données projet'!$B$218,FE98+FD99-FM98)))</f>
        <v>198.12166666666644</v>
      </c>
      <c r="FF99" s="18">
        <f>FE99*VLOOKUP('Données projet'!$B$16,Paramètres!$A$1:$I$89,3,0)*VLOOKUP('Données projet'!$B$16,Paramètres!$A$1:$I$89,5,0)</f>
        <v>179.26048399999979</v>
      </c>
      <c r="FG99" s="14">
        <f t="shared" si="101"/>
        <v>45.157618080577372</v>
      </c>
      <c r="FH99" s="22">
        <f t="shared" si="76"/>
        <v>390.86152779033858</v>
      </c>
      <c r="FI99" s="62">
        <f t="shared" si="77"/>
        <v>684.1948611236719</v>
      </c>
      <c r="FJ99" s="62">
        <f ca="1">AVERAGE(OFFSET($FI$3,0,0,'Données projet'!$E$16+1,1))-AVERAGE(OFFSET($H$3,0,0,'Données projet'!$E$16+1,1))</f>
        <v>330.53726676433649</v>
      </c>
      <c r="FK99" s="62">
        <f t="shared" si="102"/>
        <v>228.01260676706528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20.117088021562715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20.117088021562715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6.0016666666666696</v>
      </c>
      <c r="FZ99" s="13">
        <f>IF('Données projet'!$A$244&gt;35,FZ98+FY99-GH98,IF(A99&lt;'Données projet'!$A$244,$FW$205^A99,IF(A99='Données projet'!$A$244,'Données projet'!$B$244,FZ98+FY99-GH98)))</f>
        <v>198.12166666666644</v>
      </c>
      <c r="GA99" s="18">
        <f>FZ99*VLOOKUP('Données projet'!$B$17,Paramètres!$A$1:$I$89,3,0)*VLOOKUP('Données projet'!$B$17,Paramètres!$A$1:$I$89,5,0)</f>
        <v>225.62095399999973</v>
      </c>
      <c r="GB99" s="14">
        <f t="shared" si="103"/>
        <v>55.334772697851044</v>
      </c>
      <c r="GC99" s="22">
        <f t="shared" si="79"/>
        <v>489.33122399875668</v>
      </c>
      <c r="GD99" s="62">
        <f t="shared" si="80"/>
        <v>782.66455733209</v>
      </c>
      <c r="GE99" s="62">
        <f ca="1">AVERAGE(OFFSET($GD$3,0,0,'Données projet'!$E$17+1,1))-AVERAGE(OFFSET($H$3,0,0,'Données projet'!$E$17+1,1))</f>
        <v>405.71017054131318</v>
      </c>
      <c r="GF99" s="62">
        <f t="shared" si="104"/>
        <v>276.12900965322166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25.319783199553072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25.319783199553072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6.0016666666666696</v>
      </c>
      <c r="GU99" s="13">
        <f>IF('Données projet'!$A$270&gt;35,GU98+GT99-HC98,IF(A99&lt;'Données projet'!$A$270,$GR$205^A99,IF(A99='Données projet'!$A$270,'Données projet'!$B$270,GU98+GT99-HC98)))</f>
        <v>198.12166666666644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7.9550000000000027</v>
      </c>
      <c r="N100" s="14">
        <f>IF('Données projet'!$A$36&gt;35,N99+M100-V99,IF(A100&lt;'Données projet'!$A$36,$K$205^A100,IF(A100='Données projet'!$A$36,'Données projet'!$B$36,N99+M100-V99)))</f>
        <v>308.80500000000018</v>
      </c>
      <c r="O100" s="14">
        <f>N100*VLOOKUP('Données projet'!$B$9,Paramètres!$A$1:$I$89,3,0)*VLOOKUP('Données projet'!$B$9,Paramètres!$A$1:$I$89,5,0)</f>
        <v>279.40676400000012</v>
      </c>
      <c r="P100" s="14">
        <f t="shared" si="87"/>
        <v>66.841625589691489</v>
      </c>
      <c r="Q100" s="22">
        <f t="shared" si="107"/>
        <v>603.04927853537947</v>
      </c>
      <c r="R100" s="62">
        <f t="shared" si="55"/>
        <v>896.38261186871273</v>
      </c>
      <c r="S100" s="62">
        <f ca="1">AVERAGE(OFFSET($R$3,0,0,'Données projet'!$E$9+1,1))-AVERAGE(OFFSET($H$3,0,0,'Données projet'!$E$9+1,1))</f>
        <v>452.54136967045082</v>
      </c>
      <c r="T100" s="62">
        <f t="shared" si="88"/>
        <v>269.67340993773422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46.65885261080291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46.65885261080291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7.9550000000000027</v>
      </c>
      <c r="BD100" s="13">
        <f>IF('Données projet'!$A$88&gt;35,BD99+BC100-BL99,IF(A100&lt;'Données projet'!$A$88,$BA$205^A100,IF(A100='Données projet'!$A$88,'Données projet'!$B$88,BD99+BC100-BL99)))</f>
        <v>308.80500000000018</v>
      </c>
      <c r="BE100" s="14">
        <f>BD100*VLOOKUP('Données projet'!$B$11,Paramètres!$A$1:$I$89,3,0)*VLOOKUP('Données projet'!$B$11,Paramètres!$A$1:$I$89,5,0)</f>
        <v>313.12827000000021</v>
      </c>
      <c r="BF100" s="14">
        <f t="shared" si="91"/>
        <v>73.921755197333482</v>
      </c>
      <c r="BG100" s="22">
        <f t="shared" si="61"/>
        <v>674.11212721868947</v>
      </c>
      <c r="BH100" s="62">
        <f t="shared" si="62"/>
        <v>967.44546055202272</v>
      </c>
      <c r="BI100" s="62">
        <f ca="1">AVERAGE(OFFSET($BH$3,0,0,'Données projet'!$E$11+1,1))-AVERAGE(OFFSET($H$3,0,0,'Données projet'!$E$11+1,1))</f>
        <v>502.06005292569733</v>
      </c>
      <c r="BJ100" s="62">
        <f t="shared" si="92"/>
        <v>297.06786598620607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52.290093443141195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52.290093443141195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-2.8421709430404007E-14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-5.1431925385259088E-14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204.787338911576</v>
      </c>
      <c r="CZ100" s="62">
        <f t="shared" si="96"/>
        <v>287.24932051638558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12.421074101944624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12.421074101944624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5.2</v>
      </c>
      <c r="DO100" s="13">
        <f>IF('Données projet'!$A$166&gt;35,DO99+DN100-DW99,IF(A100&lt;'Données projet'!$A$166,$DL$205^A100,IF(A100='Données projet'!$A$166,'Données projet'!$B$166,DO99+DN100-DW99)))</f>
        <v>219.40000000000009</v>
      </c>
      <c r="DP100" s="18">
        <f>DO100*VLOOKUP('Données projet'!$B$14,Paramètres!$A$1:$I$89,3,0)*VLOOKUP('Données projet'!$B$14,Paramètres!$A$1:$I$89,5,0)</f>
        <v>208.7810400000001</v>
      </c>
      <c r="DQ100" s="14">
        <f t="shared" si="97"/>
        <v>51.669122086849427</v>
      </c>
      <c r="DR100" s="22">
        <f t="shared" si="70"/>
        <v>453.61736563459635</v>
      </c>
      <c r="DS100" s="62">
        <f t="shared" si="71"/>
        <v>746.95069896792961</v>
      </c>
      <c r="DT100" s="62">
        <f ca="1">AVERAGE(OFFSET($DS$3,0,0,'Données projet'!$E$14+1,1))-AVERAGE(OFFSET($H$3,0,0,'Données projet'!$E$14+1,1))</f>
        <v>309.55876703480277</v>
      </c>
      <c r="DU100" s="62">
        <f t="shared" si="98"/>
        <v>122.43799205838684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31.296664590381003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31.296664590381003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>
        <f>VLOOKUP(A100,'Données projet'!$A$191:$I$211,2,0)</f>
        <v>446.19</v>
      </c>
      <c r="EH100" s="13">
        <f>VLOOKUP(A100,'Données projet'!$A$191:$I$211,9,0)</f>
        <v>10.114285714285716</v>
      </c>
      <c r="EI100" s="13">
        <f t="array" ref="EI100">INDEX(EH:EH,MIN(IF(ISNUMBER(EH100:EH296),ROW(EH100:EH296),"")))</f>
        <v>10.114285714285716</v>
      </c>
      <c r="EJ100" s="13">
        <f>IF('Données projet'!$A$192&gt;35,EJ99+EI100-ER99,IF(A100&lt;'Données projet'!$A$192,$EG$205^A100,IF(A100='Données projet'!$A$192,'Données projet'!$B$192,EJ99+EI100-ER99)))</f>
        <v>446.18999999999954</v>
      </c>
      <c r="EK100" s="18">
        <f>EJ100*VLOOKUP('Données projet'!$B$15,Paramètres!$A$1:$I$89,3,0)*VLOOKUP('Données projet'!$B$15,Paramètres!$A$1:$I$89,5,0)</f>
        <v>208.81691999999978</v>
      </c>
      <c r="EL100" s="14">
        <f t="shared" si="99"/>
        <v>51.676968005915981</v>
      </c>
      <c r="EM100" s="22">
        <f t="shared" si="73"/>
        <v>453.69352161030332</v>
      </c>
      <c r="EN100" s="62">
        <f t="shared" si="74"/>
        <v>747.02685494363664</v>
      </c>
      <c r="EO100" s="62">
        <f ca="1">AVERAGE(OFFSET($EN$3,0,0,'Données projet'!$E$15+1,1))-AVERAGE(OFFSET($H$3,0,0,'Données projet'!$E$15+1,1))</f>
        <v>301.04834785168049</v>
      </c>
      <c r="EP100" s="62">
        <f t="shared" si="100"/>
        <v>164.1450425611464</v>
      </c>
      <c r="EQ100" s="16">
        <f>IF(ISNA(VLOOKUP(A100,'Données projet'!$A$191:$I$211,3,0)),0,VLOOKUP(A100,'Données projet'!$A$191:$I$211,3,0))</f>
        <v>5</v>
      </c>
      <c r="ER100" s="16">
        <f>IF(ISNA(VLOOKUP(A100,'Données projet'!$A$191:$I$211,4,0)),0,VLOOKUP(A100,'Données projet'!$A$191:$I$211,4,0))</f>
        <v>89.6</v>
      </c>
      <c r="ES100" s="17">
        <f>IF(ISNA(VLOOKUP(A100,'Données projet'!$A$191:$I$211,5,0)),0%,VLOOKUP(A100,'Données projet'!$A$191:$I$211,5,0)*VLOOKUP('Données projet'!$B$15,Paramètres!$A$1:$I$89,7,0))</f>
        <v>0.33</v>
      </c>
      <c r="ET100" s="17">
        <f>IF(ISNA(VLOOKUP(A100,'Données projet'!$A$191:$I$211,6,0)),0%,VLOOKUP(A100,'Données projet'!$A$191:$I$211,6,0)*VLOOKUP('Données projet'!$B$15,Paramètres!$A$1:$I$89,7,0))</f>
        <v>0.12100000000000001</v>
      </c>
      <c r="EU100" s="17">
        <f>IF(ISNA(VLOOKUP(A100,'Données projet'!$A$191:$I$211,7,0)),0%,VLOOKUP(A100,'Données projet'!$A$191:$I$211,7,0))</f>
        <v>0.18</v>
      </c>
      <c r="EV100" s="23">
        <f>EXP(-LN(2)/35)*EV99+(1-EXP(-LN(2)/35))/(LN(2)/35)*ER100*ES100*VLOOKUP('Données projet'!$B$15,Paramètres!$A$1:$I$89,3,0)*0.475*44/12</f>
        <v>49.508873972922814</v>
      </c>
      <c r="EW100" s="23">
        <f>EXP(-LN(2)/25)*EW99+(1-EXP(-LN(2)/25))/(LN(2)/25)*Calculateur!ER100*Calculateur!ET100*VLOOKUP('Données projet'!$B$15,Paramètres!$A$1:$I$89,3,0)*0.475*44/12</f>
        <v>31.460725090145946</v>
      </c>
      <c r="EX100" s="23">
        <f>EXP(-LN(2)/2)*EX99+(1-EXP(-LN(2)/2))/(LN(2)/2)*ER100*EU100*VLOOKUP('Données projet'!$B$15,Paramètres!$A$1:$I$89,3,0)*0.475*44/12</f>
        <v>8.721957240776856</v>
      </c>
      <c r="EY100" s="24">
        <f t="shared" si="75"/>
        <v>89.691556303845616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6.0016666666666696</v>
      </c>
      <c r="FE100" s="13">
        <f>IF('Données projet'!$A$218&gt;35,FE99+FD100-FM99,IF(A100&lt;'Données projet'!$A$218,$FB$205^A100,IF(A100='Données projet'!$A$218,'Données projet'!$B$218,FE99+FD100-FM99)))</f>
        <v>204.12333333333311</v>
      </c>
      <c r="FF100" s="18">
        <f>FE100*VLOOKUP('Données projet'!$B$16,Paramètres!$A$1:$I$89,3,0)*VLOOKUP('Données projet'!$B$16,Paramètres!$A$1:$I$89,5,0)</f>
        <v>184.69079199999979</v>
      </c>
      <c r="FG100" s="14">
        <f t="shared" si="101"/>
        <v>46.364233266087474</v>
      </c>
      <c r="FH100" s="22">
        <f t="shared" si="76"/>
        <v>402.4208356717686</v>
      </c>
      <c r="FI100" s="62">
        <f t="shared" si="77"/>
        <v>695.75416900510186</v>
      </c>
      <c r="FJ100" s="62">
        <f ca="1">AVERAGE(OFFSET($FI$3,0,0,'Données projet'!$E$16+1,1))-AVERAGE(OFFSET($H$3,0,0,'Données projet'!$E$16+1,1))</f>
        <v>330.53726676433649</v>
      </c>
      <c r="FK100" s="62">
        <f t="shared" si="102"/>
        <v>228.01260676706528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19.72260419567198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19.72260419567198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6.0016666666666696</v>
      </c>
      <c r="FZ100" s="13">
        <f>IF('Données projet'!$A$244&gt;35,FZ99+FY100-GH99,IF(A100&lt;'Données projet'!$A$244,$FW$205^A100,IF(A100='Données projet'!$A$244,'Données projet'!$B$244,FZ99+FY100-GH99)))</f>
        <v>204.12333333333311</v>
      </c>
      <c r="GA100" s="18">
        <f>FZ100*VLOOKUP('Données projet'!$B$17,Paramètres!$A$1:$I$89,3,0)*VLOOKUP('Données projet'!$B$17,Paramètres!$A$1:$I$89,5,0)</f>
        <v>232.45565199999973</v>
      </c>
      <c r="GB100" s="14">
        <f t="shared" si="103"/>
        <v>56.813322272915812</v>
      </c>
      <c r="GC100" s="22">
        <f t="shared" si="79"/>
        <v>503.81013019199457</v>
      </c>
      <c r="GD100" s="62">
        <f t="shared" si="80"/>
        <v>797.14346352532789</v>
      </c>
      <c r="GE100" s="62">
        <f ca="1">AVERAGE(OFFSET($GD$3,0,0,'Données projet'!$E$17+1,1))-AVERAGE(OFFSET($H$3,0,0,'Données projet'!$E$17+1,1))</f>
        <v>405.71017054131318</v>
      </c>
      <c r="GF100" s="62">
        <f t="shared" si="104"/>
        <v>276.12900965322166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24.823277694552665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24.823277694552665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6.0016666666666696</v>
      </c>
      <c r="GU100" s="13">
        <f>IF('Données projet'!$A$270&gt;35,GU99+GT100-HC99,IF(A100&lt;'Données projet'!$A$270,$GR$205^A100,IF(A100='Données projet'!$A$270,'Données projet'!$B$270,GU99+GT100-HC99)))</f>
        <v>204.12333333333311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7.9550000000000027</v>
      </c>
      <c r="N101" s="14">
        <f>IF('Données projet'!$A$36&gt;35,N100+M101-V100,IF(A101&lt;'Données projet'!$A$36,$K$205^A101,IF(A101='Données projet'!$A$36,'Données projet'!$B$36,N100+M101-V100)))</f>
        <v>316.76000000000016</v>
      </c>
      <c r="O101" s="14">
        <f>N101*VLOOKUP('Données projet'!$B$9,Paramètres!$A$1:$I$89,3,0)*VLOOKUP('Données projet'!$B$9,Paramètres!$A$1:$I$89,5,0)</f>
        <v>286.60444800000016</v>
      </c>
      <c r="P101" s="14">
        <f t="shared" si="87"/>
        <v>68.36081920529071</v>
      </c>
      <c r="Q101" s="22">
        <f t="shared" si="107"/>
        <v>618.23117371588148</v>
      </c>
      <c r="R101" s="62">
        <f t="shared" si="55"/>
        <v>911.56450704921485</v>
      </c>
      <c r="S101" s="62">
        <f ca="1">AVERAGE(OFFSET($R$3,0,0,'Données projet'!$E$9+1,1))-AVERAGE(OFFSET($H$3,0,0,'Données projet'!$E$9+1,1))</f>
        <v>452.54136967045082</v>
      </c>
      <c r="T101" s="62">
        <f t="shared" si="88"/>
        <v>269.67340993773422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45.743900970195057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45.743900970195057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7.9550000000000027</v>
      </c>
      <c r="BD101" s="13">
        <f>IF('Données projet'!$A$88&gt;35,BD100+BC101-BL100,IF(A101&lt;'Données projet'!$A$88,$BA$205^A101,IF(A101='Données projet'!$A$88,'Données projet'!$B$88,BD100+BC101-BL100)))</f>
        <v>316.76000000000016</v>
      </c>
      <c r="BE101" s="14">
        <f>BD101*VLOOKUP('Données projet'!$B$11,Paramètres!$A$1:$I$89,3,0)*VLOOKUP('Données projet'!$B$11,Paramètres!$A$1:$I$89,5,0)</f>
        <v>321.19464000000022</v>
      </c>
      <c r="BF101" s="14">
        <f t="shared" si="91"/>
        <v>75.601867815165932</v>
      </c>
      <c r="BG101" s="22">
        <f t="shared" si="61"/>
        <v>691.08725111141428</v>
      </c>
      <c r="BH101" s="62">
        <f t="shared" si="62"/>
        <v>984.42058444474765</v>
      </c>
      <c r="BI101" s="62">
        <f ca="1">AVERAGE(OFFSET($BH$3,0,0,'Données projet'!$E$11+1,1))-AVERAGE(OFFSET($H$3,0,0,'Données projet'!$E$11+1,1))</f>
        <v>502.06005292569733</v>
      </c>
      <c r="BJ101" s="62">
        <f t="shared" si="92"/>
        <v>297.06786598620607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51.264716604528942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51.264716604528942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-2.8421709430404007E-14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-5.1431925385259088E-14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204.787338911576</v>
      </c>
      <c r="CZ101" s="62">
        <f t="shared" si="96"/>
        <v>287.24932051638558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12.177504414912613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12.177504414912613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5.2</v>
      </c>
      <c r="DO101" s="13">
        <f>IF('Données projet'!$A$166&gt;35,DO100+DN101-DW100,IF(A101&lt;'Données projet'!$A$166,$DL$205^A101,IF(A101='Données projet'!$A$166,'Données projet'!$B$166,DO100+DN101-DW100)))</f>
        <v>224.60000000000008</v>
      </c>
      <c r="DP101" s="18">
        <f>DO101*VLOOKUP('Données projet'!$B$14,Paramètres!$A$1:$I$89,3,0)*VLOOKUP('Données projet'!$B$14,Paramètres!$A$1:$I$89,5,0)</f>
        <v>213.7293600000001</v>
      </c>
      <c r="DQ101" s="14">
        <f t="shared" si="97"/>
        <v>52.749707888980879</v>
      </c>
      <c r="DR101" s="22">
        <f t="shared" si="70"/>
        <v>464.11770990664189</v>
      </c>
      <c r="DS101" s="62">
        <f t="shared" si="71"/>
        <v>757.45104323997521</v>
      </c>
      <c r="DT101" s="62">
        <f ca="1">AVERAGE(OFFSET($DS$3,0,0,'Données projet'!$E$14+1,1))-AVERAGE(OFFSET($H$3,0,0,'Données projet'!$E$14+1,1))</f>
        <v>309.55876703480277</v>
      </c>
      <c r="DU101" s="62">
        <f t="shared" si="98"/>
        <v>122.43799205838684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30.68295608684414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30.68295608684414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8.9866666666666593</v>
      </c>
      <c r="EJ101" s="13">
        <f>IF('Données projet'!$A$192&gt;35,EJ100+EI101-ER100,IF(A101&lt;'Données projet'!$A$192,$EG$205^A101,IF(A101='Données projet'!$A$192,'Données projet'!$B$192,EJ100+EI101-ER100)))</f>
        <v>365.57666666666626</v>
      </c>
      <c r="EK101" s="18">
        <f>EJ101*VLOOKUP('Données projet'!$B$15,Paramètres!$A$1:$I$89,3,0)*VLOOKUP('Données projet'!$B$15,Paramètres!$A$1:$I$89,5,0)</f>
        <v>171.08987999999982</v>
      </c>
      <c r="EL101" s="14">
        <f t="shared" si="99"/>
        <v>43.334029587999623</v>
      </c>
      <c r="EM101" s="22">
        <f t="shared" si="73"/>
        <v>373.45497586576568</v>
      </c>
      <c r="EN101" s="62">
        <f t="shared" si="74"/>
        <v>666.78830919909899</v>
      </c>
      <c r="EO101" s="62">
        <f ca="1">AVERAGE(OFFSET($EN$3,0,0,'Données projet'!$E$15+1,1))-AVERAGE(OFFSET($H$3,0,0,'Données projet'!$E$15+1,1))</f>
        <v>301.04834785168049</v>
      </c>
      <c r="EP101" s="62">
        <f t="shared" si="100"/>
        <v>164.1450425611464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48.53803515174517</v>
      </c>
      <c r="EW101" s="23">
        <f>EXP(-LN(2)/25)*EW100+(1-EXP(-LN(2)/25))/(LN(2)/25)*Calculateur!ER101*Calculateur!ET101*VLOOKUP('Données projet'!$B$15,Paramètres!$A$1:$I$89,3,0)*0.475*44/12</f>
        <v>30.600429908108278</v>
      </c>
      <c r="EX101" s="23">
        <f>EXP(-LN(2)/2)*EX100+(1-EXP(-LN(2)/2))/(LN(2)/2)*ER101*EU101*VLOOKUP('Données projet'!$B$15,Paramètres!$A$1:$I$89,3,0)*0.475*44/12</f>
        <v>6.1673551101724247</v>
      </c>
      <c r="EY101" s="24">
        <f t="shared" si="75"/>
        <v>85.305820170025868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6.0016666666666696</v>
      </c>
      <c r="FE101" s="13">
        <f>IF('Données projet'!$A$218&gt;35,FE100+FD101-FM100,IF(A101&lt;'Données projet'!$A$218,$FB$205^A101,IF(A101='Données projet'!$A$218,'Données projet'!$B$218,FE100+FD101-FM100)))</f>
        <v>210.12499999999977</v>
      </c>
      <c r="FF101" s="18">
        <f>FE101*VLOOKUP('Données projet'!$B$16,Paramètres!$A$1:$I$89,3,0)*VLOOKUP('Données projet'!$B$16,Paramètres!$A$1:$I$89,5,0)</f>
        <v>190.12109999999979</v>
      </c>
      <c r="FG101" s="14">
        <f t="shared" si="101"/>
        <v>47.566725348901365</v>
      </c>
      <c r="FH101" s="22">
        <f t="shared" si="76"/>
        <v>413.97296248266952</v>
      </c>
      <c r="FI101" s="62">
        <f t="shared" si="77"/>
        <v>707.30629581600283</v>
      </c>
      <c r="FJ101" s="62">
        <f ca="1">AVERAGE(OFFSET($FI$3,0,0,'Données projet'!$E$16+1,1))-AVERAGE(OFFSET($H$3,0,0,'Données projet'!$E$16+1,1))</f>
        <v>330.53726676433649</v>
      </c>
      <c r="FK101" s="62">
        <f t="shared" si="102"/>
        <v>228.01260676706528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19.335855956995587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19.335855956995587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6.0016666666666696</v>
      </c>
      <c r="FZ101" s="13">
        <f>IF('Données projet'!$A$244&gt;35,FZ100+FY101-GH100,IF(A101&lt;'Données projet'!$A$244,$FW$205^A101,IF(A101='Données projet'!$A$244,'Données projet'!$B$244,FZ100+FY101-GH100)))</f>
        <v>210.12499999999977</v>
      </c>
      <c r="GA101" s="18">
        <f>FZ101*VLOOKUP('Données projet'!$B$17,Paramètres!$A$1:$I$89,3,0)*VLOOKUP('Données projet'!$B$17,Paramètres!$A$1:$I$89,5,0)</f>
        <v>239.29034999999976</v>
      </c>
      <c r="GB101" s="14">
        <f t="shared" si="103"/>
        <v>58.286819523252205</v>
      </c>
      <c r="GC101" s="22">
        <f t="shared" si="79"/>
        <v>518.28023691966382</v>
      </c>
      <c r="GD101" s="62">
        <f t="shared" si="80"/>
        <v>811.61357025299708</v>
      </c>
      <c r="GE101" s="62">
        <f ca="1">AVERAGE(OFFSET($GD$3,0,0,'Données projet'!$E$17+1,1))-AVERAGE(OFFSET($H$3,0,0,'Données projet'!$E$17+1,1))</f>
        <v>405.71017054131318</v>
      </c>
      <c r="GF101" s="62">
        <f t="shared" si="104"/>
        <v>276.12900965322166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24.336508359666862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24.336508359666862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6.0016666666666696</v>
      </c>
      <c r="GU101" s="13">
        <f>IF('Données projet'!$A$270&gt;35,GU100+GT101-HC100,IF(A101&lt;'Données projet'!$A$270,$GR$205^A101,IF(A101='Données projet'!$A$270,'Données projet'!$B$270,GU100+GT101-HC100)))</f>
        <v>210.12499999999977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7.9550000000000027</v>
      </c>
      <c r="N102" s="14">
        <f>IF('Données projet'!$A$36&gt;35,N101+M102-V101,IF(A102&lt;'Données projet'!$A$36,$K$205^A102,IF(A102='Données projet'!$A$36,'Données projet'!$B$36,N101+M102-V101)))</f>
        <v>324.71500000000015</v>
      </c>
      <c r="O102" s="14">
        <f>N102*VLOOKUP('Données projet'!$B$9,Paramètres!$A$1:$I$89,3,0)*VLOOKUP('Données projet'!$B$9,Paramètres!$A$1:$I$89,5,0)</f>
        <v>293.80213200000014</v>
      </c>
      <c r="P102" s="14">
        <f t="shared" si="87"/>
        <v>69.875577862109012</v>
      </c>
      <c r="Q102" s="22">
        <f t="shared" si="107"/>
        <v>633.40534467650673</v>
      </c>
      <c r="R102" s="62">
        <f t="shared" si="55"/>
        <v>926.73867800983999</v>
      </c>
      <c r="S102" s="62">
        <f ca="1">AVERAGE(OFFSET($R$3,0,0,'Données projet'!$E$9+1,1))-AVERAGE(OFFSET($H$3,0,0,'Données projet'!$E$9+1,1))</f>
        <v>452.54136967045082</v>
      </c>
      <c r="T102" s="62">
        <f t="shared" si="88"/>
        <v>269.67340993773422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44.846890973194128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44.846890973194128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7.9550000000000027</v>
      </c>
      <c r="BD102" s="13">
        <f>IF('Données projet'!$A$88&gt;35,BD101+BC102-BL101,IF(A102&lt;'Données projet'!$A$88,$BA$205^A102,IF(A102='Données projet'!$A$88,'Données projet'!$B$88,BD101+BC102-BL101)))</f>
        <v>324.71500000000015</v>
      </c>
      <c r="BE102" s="14">
        <f>BD102*VLOOKUP('Données projet'!$B$11,Paramètres!$A$1:$I$89,3,0)*VLOOKUP('Données projet'!$B$11,Paramètres!$A$1:$I$89,5,0)</f>
        <v>329.26101000000017</v>
      </c>
      <c r="BF102" s="14">
        <f t="shared" si="91"/>
        <v>77.277075705825581</v>
      </c>
      <c r="BG102" s="22">
        <f t="shared" si="61"/>
        <v>708.05383260431324</v>
      </c>
      <c r="BH102" s="62">
        <f t="shared" si="62"/>
        <v>1001.3871659376466</v>
      </c>
      <c r="BI102" s="62">
        <f ca="1">AVERAGE(OFFSET($BH$3,0,0,'Données projet'!$E$11+1,1))-AVERAGE(OFFSET($H$3,0,0,'Données projet'!$E$11+1,1))</f>
        <v>502.06005292569733</v>
      </c>
      <c r="BJ102" s="62">
        <f t="shared" si="92"/>
        <v>297.06786598620607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50.259446780303762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50.259446780303762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-2.8421709430404007E-14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-5.1431925385259088E-14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204.787338911576</v>
      </c>
      <c r="CZ102" s="62">
        <f t="shared" si="96"/>
        <v>287.24932051638558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11.938710980880462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11.938710980880462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5.2</v>
      </c>
      <c r="DO102" s="13">
        <f>IF('Données projet'!$A$166&gt;35,DO101+DN102-DW101,IF(A102&lt;'Données projet'!$A$166,$DL$205^A102,IF(A102='Données projet'!$A$166,'Données projet'!$B$166,DO101+DN102-DW101)))</f>
        <v>229.80000000000007</v>
      </c>
      <c r="DP102" s="18">
        <f>DO102*VLOOKUP('Données projet'!$B$14,Paramètres!$A$1:$I$89,3,0)*VLOOKUP('Données projet'!$B$14,Paramètres!$A$1:$I$89,5,0)</f>
        <v>218.67768000000004</v>
      </c>
      <c r="DQ102" s="14">
        <f t="shared" si="97"/>
        <v>53.827385239960364</v>
      </c>
      <c r="DR102" s="22">
        <f t="shared" si="70"/>
        <v>474.61298862626444</v>
      </c>
      <c r="DS102" s="62">
        <f t="shared" si="71"/>
        <v>767.94632195959775</v>
      </c>
      <c r="DT102" s="62">
        <f ca="1">AVERAGE(OFFSET($DS$3,0,0,'Données projet'!$E$14+1,1))-AVERAGE(OFFSET($H$3,0,0,'Données projet'!$E$14+1,1))</f>
        <v>309.55876703480277</v>
      </c>
      <c r="DU102" s="62">
        <f t="shared" si="98"/>
        <v>122.43799205838684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30.081282032736411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30.081282032736411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8.9866666666666593</v>
      </c>
      <c r="EJ102" s="13">
        <f>IF('Données projet'!$A$192&gt;35,EJ101+EI102-ER101,IF(A102&lt;'Données projet'!$A$192,$EG$205^A102,IF(A102='Données projet'!$A$192,'Données projet'!$B$192,EJ101+EI102-ER101)))</f>
        <v>374.56333333333293</v>
      </c>
      <c r="EK102" s="18">
        <f>EJ102*VLOOKUP('Données projet'!$B$15,Paramètres!$A$1:$I$89,3,0)*VLOOKUP('Données projet'!$B$15,Paramètres!$A$1:$I$89,5,0)</f>
        <v>175.29563999999979</v>
      </c>
      <c r="EL102" s="14">
        <f t="shared" si="99"/>
        <v>44.273945028575589</v>
      </c>
      <c r="EM102" s="22">
        <f t="shared" si="73"/>
        <v>382.41702725810211</v>
      </c>
      <c r="EN102" s="62">
        <f t="shared" si="74"/>
        <v>675.75036059143542</v>
      </c>
      <c r="EO102" s="62">
        <f ca="1">AVERAGE(OFFSET($EN$3,0,0,'Données projet'!$E$15+1,1))-AVERAGE(OFFSET($H$3,0,0,'Données projet'!$E$15+1,1))</f>
        <v>301.04834785168049</v>
      </c>
      <c r="EP102" s="62">
        <f t="shared" si="100"/>
        <v>164.1450425611464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47.58623388769761</v>
      </c>
      <c r="EW102" s="23">
        <f>EXP(-LN(2)/25)*EW101+(1-EXP(-LN(2)/25))/(LN(2)/25)*Calculateur!ER102*Calculateur!ET102*VLOOKUP('Données projet'!$B$15,Paramètres!$A$1:$I$89,3,0)*0.475*44/12</f>
        <v>29.763659543064389</v>
      </c>
      <c r="EX102" s="23">
        <f>EXP(-LN(2)/2)*EX101+(1-EXP(-LN(2)/2))/(LN(2)/2)*ER102*EU102*VLOOKUP('Données projet'!$B$15,Paramètres!$A$1:$I$89,3,0)*0.475*44/12</f>
        <v>4.3609786203884289</v>
      </c>
      <c r="EY102" s="24">
        <f t="shared" si="75"/>
        <v>81.710872051150417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6.0016666666666696</v>
      </c>
      <c r="FE102" s="13">
        <f>IF('Données projet'!$A$218&gt;35,FE101+FD102-FM101,IF(A102&lt;'Données projet'!$A$218,$FB$205^A102,IF(A102='Données projet'!$A$218,'Données projet'!$B$218,FE101+FD102-FM101)))</f>
        <v>216.12666666666644</v>
      </c>
      <c r="FF102" s="18">
        <f>FE102*VLOOKUP('Données projet'!$B$16,Paramètres!$A$1:$I$89,3,0)*VLOOKUP('Données projet'!$B$16,Paramètres!$A$1:$I$89,5,0)</f>
        <v>195.55140799999978</v>
      </c>
      <c r="FG102" s="14">
        <f t="shared" si="101"/>
        <v>48.765225620353874</v>
      </c>
      <c r="FH102" s="22">
        <f t="shared" si="76"/>
        <v>425.51813688878264</v>
      </c>
      <c r="FI102" s="62">
        <f t="shared" si="77"/>
        <v>718.85147022211595</v>
      </c>
      <c r="FJ102" s="62">
        <f ca="1">AVERAGE(OFFSET($FI$3,0,0,'Données projet'!$E$16+1,1))-AVERAGE(OFFSET($H$3,0,0,'Données projet'!$E$16+1,1))</f>
        <v>330.53726676433649</v>
      </c>
      <c r="FK102" s="62">
        <f t="shared" si="102"/>
        <v>228.01260676706528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18.956691615386507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18.956691615386507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6.0016666666666696</v>
      </c>
      <c r="FZ102" s="13">
        <f>IF('Données projet'!$A$244&gt;35,FZ101+FY102-GH101,IF(A102&lt;'Données projet'!$A$244,$FW$205^A102,IF(A102='Données projet'!$A$244,'Données projet'!$B$244,FZ101+FY102-GH101)))</f>
        <v>216.12666666666644</v>
      </c>
      <c r="GA102" s="18">
        <f>FZ102*VLOOKUP('Données projet'!$B$17,Paramètres!$A$1:$I$89,3,0)*VLOOKUP('Données projet'!$B$17,Paramètres!$A$1:$I$89,5,0)</f>
        <v>246.12504799999977</v>
      </c>
      <c r="GB102" s="14">
        <f t="shared" si="103"/>
        <v>59.755425329271489</v>
      </c>
      <c r="GC102" s="22">
        <f t="shared" si="79"/>
        <v>532.74182438181401</v>
      </c>
      <c r="GD102" s="62">
        <f t="shared" si="80"/>
        <v>826.07515771514727</v>
      </c>
      <c r="GE102" s="62">
        <f ca="1">AVERAGE(OFFSET($GD$3,0,0,'Données projet'!$E$17+1,1))-AVERAGE(OFFSET($H$3,0,0,'Données projet'!$E$17+1,1))</f>
        <v>405.71017054131318</v>
      </c>
      <c r="GF102" s="62">
        <f t="shared" si="104"/>
        <v>276.12900965322166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23.85928427453819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23.85928427453819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6.0016666666666696</v>
      </c>
      <c r="GU102" s="13">
        <f>IF('Données projet'!$A$270&gt;35,GU101+GT102-HC101,IF(A102&lt;'Données projet'!$A$270,$GR$205^A102,IF(A102='Données projet'!$A$270,'Données projet'!$B$270,GU101+GT102-HC101)))</f>
        <v>216.12666666666644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332.67</v>
      </c>
      <c r="L103" s="13">
        <f>VLOOKUP(A103,'Données projet'!$A$35:$I$55,9,0)</f>
        <v>7.9550000000000027</v>
      </c>
      <c r="M103" s="13">
        <f t="array" ref="M103">INDEX(L:L,MIN(IF(ISNUMBER(L103:L299),ROW(L103:L299),"")))</f>
        <v>7.9550000000000027</v>
      </c>
      <c r="N103" s="14">
        <f>IF('Données projet'!$A$36&gt;35,N102+M103-V102,IF(A103&lt;'Données projet'!$A$36,$K$205^A103,IF(A103='Données projet'!$A$36,'Données projet'!$B$36,N102+M103-V102)))</f>
        <v>332.67000000000013</v>
      </c>
      <c r="O103" s="14">
        <f>N103*VLOOKUP('Données projet'!$B$9,Paramètres!$A$1:$I$89,3,0)*VLOOKUP('Données projet'!$B$9,Paramètres!$A$1:$I$89,5,0)</f>
        <v>300.99981600000012</v>
      </c>
      <c r="P103" s="14">
        <f t="shared" si="87"/>
        <v>71.386022708090167</v>
      </c>
      <c r="Q103" s="22">
        <f t="shared" si="107"/>
        <v>648.57200241659064</v>
      </c>
      <c r="R103" s="62">
        <f t="shared" si="55"/>
        <v>941.90533574992401</v>
      </c>
      <c r="S103" s="62">
        <f ca="1">AVERAGE(OFFSET($R$3,0,0,'Données projet'!$E$9+1,1))-AVERAGE(OFFSET($H$3,0,0,'Données projet'!$E$9+1,1))</f>
        <v>452.54136967045082</v>
      </c>
      <c r="T103" s="62">
        <f t="shared" si="88"/>
        <v>269.67340993773422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43.967470795112312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43.967470795112312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332.67</v>
      </c>
      <c r="BB103" s="13">
        <f>VLOOKUP(A103,'Données projet'!$A$87:$I$107,9,0)</f>
        <v>7.9550000000000027</v>
      </c>
      <c r="BC103" s="13">
        <f t="array" ref="BC103">INDEX(BB:BB,MIN(IF(ISNUMBER(BB103:BB299),ROW(BB103:BB299),"")))</f>
        <v>7.9550000000000027</v>
      </c>
      <c r="BD103" s="13">
        <f>IF('Données projet'!$A$88&gt;35,BD102+BC103-BL102,IF(A103&lt;'Données projet'!$A$88,$BA$205^A103,IF(A103='Données projet'!$A$88,'Données projet'!$B$88,BD102+BC103-BL102)))</f>
        <v>332.67000000000013</v>
      </c>
      <c r="BE103" s="14">
        <f>BD103*VLOOKUP('Données projet'!$B$11,Paramètres!$A$1:$I$89,3,0)*VLOOKUP('Données projet'!$B$11,Paramètres!$A$1:$I$89,5,0)</f>
        <v>337.32738000000018</v>
      </c>
      <c r="BF103" s="14">
        <f t="shared" si="91"/>
        <v>78.94751284972574</v>
      </c>
      <c r="BG103" s="22">
        <f t="shared" si="61"/>
        <v>725.01210504660594</v>
      </c>
      <c r="BH103" s="62">
        <f t="shared" si="62"/>
        <v>1018.3454383799392</v>
      </c>
      <c r="BI103" s="62">
        <f ca="1">AVERAGE(OFFSET($BH$3,0,0,'Données projet'!$E$11+1,1))-AVERAGE(OFFSET($H$3,0,0,'Données projet'!$E$11+1,1))</f>
        <v>502.06005292569733</v>
      </c>
      <c r="BJ103" s="62">
        <f t="shared" si="92"/>
        <v>297.06786598620607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49.27388968417759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49.27388968417759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-2.8421709430404007E-14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-5.1431925385259088E-14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204.787338911576</v>
      </c>
      <c r="CZ103" s="62">
        <f t="shared" si="96"/>
        <v>287.24932051638558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11.704600140440066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11.704600140440066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235</v>
      </c>
      <c r="DM103" s="13">
        <f>VLOOKUP(A103,'Données projet'!$A$165:$I$185,9,0)</f>
        <v>5.2</v>
      </c>
      <c r="DN103" s="13">
        <f t="array" ref="DN103">INDEX(DM:DM,MIN(IF(ISNUMBER(DM103:DM299),ROW(DM103:DM299),"")))</f>
        <v>5.2</v>
      </c>
      <c r="DO103" s="13">
        <f>IF('Données projet'!$A$166&gt;35,DO102+DN103-DW102,IF(A103&lt;'Données projet'!$A$166,$DL$205^A103,IF(A103='Données projet'!$A$166,'Données projet'!$B$166,DO102+DN103-DW102)))</f>
        <v>235.00000000000006</v>
      </c>
      <c r="DP103" s="18">
        <f>DO103*VLOOKUP('Données projet'!$B$14,Paramètres!$A$1:$I$89,3,0)*VLOOKUP('Données projet'!$B$14,Paramètres!$A$1:$I$89,5,0)</f>
        <v>223.62600000000003</v>
      </c>
      <c r="DQ103" s="14">
        <f t="shared" si="97"/>
        <v>54.902227529974944</v>
      </c>
      <c r="DR103" s="22">
        <f t="shared" si="70"/>
        <v>485.10332961470635</v>
      </c>
      <c r="DS103" s="62">
        <f t="shared" si="71"/>
        <v>778.43666294803961</v>
      </c>
      <c r="DT103" s="62">
        <f ca="1">AVERAGE(OFFSET($DS$3,0,0,'Données projet'!$E$14+1,1))-AVERAGE(OFFSET($H$3,0,0,'Données projet'!$E$14+1,1))</f>
        <v>309.55876703480277</v>
      </c>
      <c r="DU103" s="62">
        <f t="shared" si="98"/>
        <v>122.43799205838684</v>
      </c>
      <c r="DV103" s="16">
        <f>IF(ISNA(VLOOKUP(A103,'Données projet'!$A$165:$I$185,3,0)),0,VLOOKUP(A103,'Données projet'!$A$165:$I$185,3,0))</f>
        <v>13</v>
      </c>
      <c r="DW103" s="16">
        <f>IF(ISNA(VLOOKUP(A103,'Données projet'!$A$165:$I$185,4,0)),0,VLOOKUP(A103,'Données projet'!$A$165:$I$185,4,0))</f>
        <v>22</v>
      </c>
      <c r="DX103" s="17">
        <f>IF(ISNA(VLOOKUP(A103,'Données projet'!$A$165:$I$185,5,0)),0%,VLOOKUP(A103,'Données projet'!$A$165:$I$185,5,0)*VLOOKUP('Données projet'!$B$14,Paramètres!$A$1:$I$89,7,0))</f>
        <v>0.30099999999999999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36.45752273021386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36.45752273021386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383.55</v>
      </c>
      <c r="EH103" s="13">
        <f>VLOOKUP(A103,'Données projet'!$A$191:$I$211,9,0)</f>
        <v>8.9866666666666593</v>
      </c>
      <c r="EI103" s="13">
        <f t="array" ref="EI103">INDEX(EH:EH,MIN(IF(ISNUMBER(EH103:EH299),ROW(EH103:EH299),"")))</f>
        <v>8.9866666666666593</v>
      </c>
      <c r="EJ103" s="13">
        <f>IF('Données projet'!$A$192&gt;35,EJ102+EI103-ER102,IF(A103&lt;'Données projet'!$A$192,$EG$205^A103,IF(A103='Données projet'!$A$192,'Données projet'!$B$192,EJ102+EI103-ER102)))</f>
        <v>383.54999999999961</v>
      </c>
      <c r="EK103" s="18">
        <f>EJ103*VLOOKUP('Données projet'!$B$15,Paramètres!$A$1:$I$89,3,0)*VLOOKUP('Données projet'!$B$15,Paramètres!$A$1:$I$89,5,0)</f>
        <v>179.50139999999982</v>
      </c>
      <c r="EL103" s="14">
        <f t="shared" si="99"/>
        <v>45.211238950904111</v>
      </c>
      <c r="EM103" s="22">
        <f t="shared" si="73"/>
        <v>391.37451283949099</v>
      </c>
      <c r="EN103" s="62">
        <f t="shared" si="74"/>
        <v>684.70784617282425</v>
      </c>
      <c r="EO103" s="62">
        <f ca="1">AVERAGE(OFFSET($EN$3,0,0,'Données projet'!$E$15+1,1))-AVERAGE(OFFSET($H$3,0,0,'Données projet'!$E$15+1,1))</f>
        <v>301.04834785168049</v>
      </c>
      <c r="EP103" s="62">
        <f t="shared" si="100"/>
        <v>164.1450425611464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46.653096865896579</v>
      </c>
      <c r="EW103" s="23">
        <f>EXP(-LN(2)/25)*EW102+(1-EXP(-LN(2)/25))/(LN(2)/25)*Calculateur!ER103*Calculateur!ET103*VLOOKUP('Données projet'!$B$15,Paramètres!$A$1:$I$89,3,0)*0.475*44/12</f>
        <v>28.949770707656462</v>
      </c>
      <c r="EX103" s="23">
        <f>EXP(-LN(2)/2)*EX102+(1-EXP(-LN(2)/2))/(LN(2)/2)*ER103*EU103*VLOOKUP('Données projet'!$B$15,Paramètres!$A$1:$I$89,3,0)*0.475*44/12</f>
        <v>3.0836775550862128</v>
      </c>
      <c r="EY103" s="24">
        <f t="shared" si="75"/>
        <v>78.686545128639253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6.0016666666666696</v>
      </c>
      <c r="FE103" s="13">
        <f>IF('Données projet'!$A$218&gt;35,FE102+FD103-FM102,IF(A103&lt;'Données projet'!$A$218,$FB$205^A103,IF(A103='Données projet'!$A$218,'Données projet'!$B$218,FE102+FD103-FM102)))</f>
        <v>222.1283333333331</v>
      </c>
      <c r="FF103" s="18">
        <f>FE103*VLOOKUP('Données projet'!$B$16,Paramètres!$A$1:$I$89,3,0)*VLOOKUP('Données projet'!$B$16,Paramètres!$A$1:$I$89,5,0)</f>
        <v>200.98171599999978</v>
      </c>
      <c r="FG103" s="14">
        <f t="shared" si="101"/>
        <v>49.959857665151624</v>
      </c>
      <c r="FH103" s="22">
        <f t="shared" si="76"/>
        <v>437.056574133472</v>
      </c>
      <c r="FI103" s="62">
        <f t="shared" si="77"/>
        <v>730.38990746680531</v>
      </c>
      <c r="FJ103" s="62">
        <f ca="1">AVERAGE(OFFSET($FI$3,0,0,'Données projet'!$E$16+1,1))-AVERAGE(OFFSET($H$3,0,0,'Données projet'!$E$16+1,1))</f>
        <v>330.53726676433649</v>
      </c>
      <c r="FK103" s="62">
        <f t="shared" si="102"/>
        <v>228.01260676706528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18.584962455248967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18.584962455248967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6.0016666666666696</v>
      </c>
      <c r="FZ103" s="13">
        <f>IF('Données projet'!$A$244&gt;35,FZ102+FY103-GH102,IF(A103&lt;'Données projet'!$A$244,$FW$205^A103,IF(A103='Données projet'!$A$244,'Données projet'!$B$244,FZ102+FY103-GH102)))</f>
        <v>222.1283333333331</v>
      </c>
      <c r="GA103" s="18">
        <f>FZ103*VLOOKUP('Données projet'!$B$17,Paramètres!$A$1:$I$89,3,0)*VLOOKUP('Données projet'!$B$17,Paramètres!$A$1:$I$89,5,0)</f>
        <v>252.95974599999974</v>
      </c>
      <c r="GB103" s="14">
        <f t="shared" si="103"/>
        <v>61.219291127916989</v>
      </c>
      <c r="GC103" s="22">
        <f t="shared" si="79"/>
        <v>547.19515633112167</v>
      </c>
      <c r="GD103" s="62">
        <f t="shared" si="80"/>
        <v>840.52848966445504</v>
      </c>
      <c r="GE103" s="62">
        <f ca="1">AVERAGE(OFFSET($GD$3,0,0,'Données projet'!$E$17+1,1))-AVERAGE(OFFSET($H$3,0,0,'Données projet'!$E$17+1,1))</f>
        <v>405.71017054131318</v>
      </c>
      <c r="GF103" s="62">
        <f t="shared" si="104"/>
        <v>276.12900965322166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23.39141826264094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23.39141826264094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6.0016666666666696</v>
      </c>
      <c r="GU103" s="13">
        <f>IF('Données projet'!$A$270&gt;35,GU102+GT103-HC102,IF(A103&lt;'Données projet'!$A$270,$GR$205^A103,IF(A103='Données projet'!$A$270,'Données projet'!$B$270,GU102+GT103-HC102)))</f>
        <v>222.1283333333331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8.1850000000000023</v>
      </c>
      <c r="N104" s="14">
        <f>IF('Données projet'!$A$36&gt;35,N103+M104-V103,IF(A104&lt;'Données projet'!$A$36,$K$205^A104,IF(A104='Données projet'!$A$36,'Données projet'!$B$36,N103+M104-V103)))</f>
        <v>340.85500000000013</v>
      </c>
      <c r="O104" s="14">
        <f>N104*VLOOKUP('Données projet'!$B$9,Paramètres!$A$1:$I$89,3,0)*VLOOKUP('Données projet'!$B$9,Paramètres!$A$1:$I$89,5,0)</f>
        <v>308.4056040000001</v>
      </c>
      <c r="P104" s="14">
        <f t="shared" si="87"/>
        <v>72.93575696641328</v>
      </c>
      <c r="Q104" s="22">
        <f t="shared" si="107"/>
        <v>664.16953701650334</v>
      </c>
      <c r="R104" s="62">
        <f t="shared" si="55"/>
        <v>957.50287034983671</v>
      </c>
      <c r="S104" s="62">
        <f ca="1">AVERAGE(OFFSET($R$3,0,0,'Données projet'!$E$9+1,1))-AVERAGE(OFFSET($H$3,0,0,'Données projet'!$E$9+1,1))</f>
        <v>452.54136967045082</v>
      </c>
      <c r="T104" s="62">
        <f t="shared" si="88"/>
        <v>269.67340993773422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43.105295510329334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43.105295510329334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8.1850000000000023</v>
      </c>
      <c r="BD104" s="13">
        <f>IF('Données projet'!$A$88&gt;35,BD103+BC104-BL103,IF(A104&lt;'Données projet'!$A$88,$BA$205^A104,IF(A104='Données projet'!$A$88,'Données projet'!$B$88,BD103+BC104-BL103)))</f>
        <v>340.85500000000013</v>
      </c>
      <c r="BE104" s="14">
        <f>BD104*VLOOKUP('Données projet'!$B$11,Paramètres!$A$1:$I$89,3,0)*VLOOKUP('Données projet'!$B$11,Paramètres!$A$1:$I$89,5,0)</f>
        <v>345.6269700000002</v>
      </c>
      <c r="BF104" s="14">
        <f t="shared" si="91"/>
        <v>80.661401096069483</v>
      </c>
      <c r="BG104" s="22">
        <f t="shared" si="61"/>
        <v>742.45224632565453</v>
      </c>
      <c r="BH104" s="62">
        <f t="shared" si="62"/>
        <v>1035.7855796589879</v>
      </c>
      <c r="BI104" s="62">
        <f ca="1">AVERAGE(OFFSET($BH$3,0,0,'Données projet'!$E$11+1,1))-AVERAGE(OFFSET($H$3,0,0,'Données projet'!$E$11+1,1))</f>
        <v>502.06005292569733</v>
      </c>
      <c r="BJ104" s="62">
        <f t="shared" si="92"/>
        <v>297.06786598620607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48.307658761575979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48.307658761575979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-2.8421709430404007E-14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-5.1431925385259088E-14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204.787338911576</v>
      </c>
      <c r="CZ104" s="62">
        <f t="shared" si="96"/>
        <v>287.24932051638558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11.475080070787195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11.475080070787195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</v>
      </c>
      <c r="DO104" s="13">
        <f>IF('Données projet'!$A$166&gt;35,DO103+DN104-DW103,IF(A104&lt;'Données projet'!$A$166,$DL$205^A104,IF(A104='Données projet'!$A$166,'Données projet'!$B$166,DO103+DN104-DW103)))</f>
        <v>218.00000000000006</v>
      </c>
      <c r="DP104" s="18">
        <f>DO104*VLOOKUP('Données projet'!$B$14,Paramètres!$A$1:$I$89,3,0)*VLOOKUP('Données projet'!$B$14,Paramètres!$A$1:$I$89,5,0)</f>
        <v>207.44880000000003</v>
      </c>
      <c r="DQ104" s="14">
        <f t="shared" si="97"/>
        <v>51.377688337856355</v>
      </c>
      <c r="DR104" s="22">
        <f t="shared" si="70"/>
        <v>450.78946718843326</v>
      </c>
      <c r="DS104" s="62">
        <f t="shared" si="71"/>
        <v>744.12280052176652</v>
      </c>
      <c r="DT104" s="62">
        <f ca="1">AVERAGE(OFFSET($DS$3,0,0,'Données projet'!$E$14+1,1))-AVERAGE(OFFSET($H$3,0,0,'Données projet'!$E$14+1,1))</f>
        <v>309.55876703480277</v>
      </c>
      <c r="DU104" s="62">
        <f t="shared" si="98"/>
        <v>122.43799205838684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35.742612946367522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35.742612946367522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9.0579999999999927</v>
      </c>
      <c r="EJ104" s="13">
        <f>IF('Données projet'!$A$192&gt;35,EJ103+EI104-ER103,IF(A104&lt;'Données projet'!$A$192,$EG$205^A104,IF(A104='Données projet'!$A$192,'Données projet'!$B$192,EJ103+EI104-ER103)))</f>
        <v>392.60799999999961</v>
      </c>
      <c r="EK104" s="18">
        <f>EJ104*VLOOKUP('Données projet'!$B$15,Paramètres!$A$1:$I$89,3,0)*VLOOKUP('Données projet'!$B$15,Paramètres!$A$1:$I$89,5,0)</f>
        <v>183.7405439999998</v>
      </c>
      <c r="EL104" s="14">
        <f t="shared" si="99"/>
        <v>46.153389489473831</v>
      </c>
      <c r="EM104" s="22">
        <f t="shared" si="73"/>
        <v>400.39860082749988</v>
      </c>
      <c r="EN104" s="62">
        <f t="shared" si="74"/>
        <v>693.73193416083313</v>
      </c>
      <c r="EO104" s="62">
        <f ca="1">AVERAGE(OFFSET($EN$3,0,0,'Données projet'!$E$15+1,1))-AVERAGE(OFFSET($H$3,0,0,'Données projet'!$E$15+1,1))</f>
        <v>301.04834785168049</v>
      </c>
      <c r="EP104" s="62">
        <f t="shared" si="100"/>
        <v>164.1450425611464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45.738258091935677</v>
      </c>
      <c r="EW104" s="23">
        <f>EXP(-LN(2)/25)*EW103+(1-EXP(-LN(2)/25))/(LN(2)/25)*Calculateur!ER104*Calculateur!ET104*VLOOKUP('Données projet'!$B$15,Paramètres!$A$1:$I$89,3,0)*0.475*44/12</f>
        <v>28.158137705253321</v>
      </c>
      <c r="EX104" s="23">
        <f>EXP(-LN(2)/2)*EX103+(1-EXP(-LN(2)/2))/(LN(2)/2)*ER104*EU104*VLOOKUP('Données projet'!$B$15,Paramètres!$A$1:$I$89,3,0)*0.475*44/12</f>
        <v>2.1804893101942144</v>
      </c>
      <c r="EY104" s="24">
        <f t="shared" si="75"/>
        <v>76.07688510738322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>
        <f>VLOOKUP(A104,'Données projet'!$A$217:$I$237,2,0)</f>
        <v>228.13</v>
      </c>
      <c r="FC104" s="13">
        <f>VLOOKUP(A104,'Données projet'!$A$217:$I$237,9,0)</f>
        <v>6.0016666666666696</v>
      </c>
      <c r="FD104" s="13">
        <f t="array" ref="FD104">INDEX(FC:FC,MIN(IF(ISNUMBER(FC104:FC300),ROW(FC104:FC300),"")))</f>
        <v>6.0016666666666696</v>
      </c>
      <c r="FE104" s="13">
        <f>IF('Données projet'!$A$218&gt;35,FE103+FD104-FM103,IF(A104&lt;'Données projet'!$A$218,$FB$205^A104,IF(A104='Données projet'!$A$218,'Données projet'!$B$218,FE103+FD104-FM103)))</f>
        <v>228.12999999999977</v>
      </c>
      <c r="FF104" s="18">
        <f>FE104*VLOOKUP('Données projet'!$B$16,Paramètres!$A$1:$I$89,3,0)*VLOOKUP('Données projet'!$B$16,Paramètres!$A$1:$I$89,5,0)</f>
        <v>206.4120239999998</v>
      </c>
      <c r="FG104" s="14">
        <f t="shared" si="101"/>
        <v>51.150738009584337</v>
      </c>
      <c r="FH104" s="22">
        <f t="shared" si="76"/>
        <v>448.58847716669243</v>
      </c>
      <c r="FI104" s="62">
        <f t="shared" si="77"/>
        <v>741.92181050002569</v>
      </c>
      <c r="FJ104" s="62">
        <f ca="1">AVERAGE(OFFSET($FI$3,0,0,'Données projet'!$E$16+1,1))-AVERAGE(OFFSET($H$3,0,0,'Données projet'!$E$16+1,1))</f>
        <v>330.53726676433649</v>
      </c>
      <c r="FK104" s="62">
        <f t="shared" si="102"/>
        <v>228.01260676706528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18.220522677209324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18.220522677209324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>
        <f>VLOOKUP(A104,'Données projet'!$A$243:$I$263,2,0)</f>
        <v>228.13</v>
      </c>
      <c r="FX104" s="13">
        <f>VLOOKUP(A104,'Données projet'!$A$243:$I$263,9,0)</f>
        <v>6.0016666666666696</v>
      </c>
      <c r="FY104" s="13">
        <f t="array" ref="FY104">INDEX(FX:FX,MIN(IF(ISNUMBER(FX104:FX300),ROW(FX104:FX300),"")))</f>
        <v>6.0016666666666696</v>
      </c>
      <c r="FZ104" s="13">
        <f>IF('Données projet'!$A$244&gt;35,FZ103+FY104-GH103,IF(A104&lt;'Données projet'!$A$244,$FW$205^A104,IF(A104='Données projet'!$A$244,'Données projet'!$B$244,FZ103+FY104-GH103)))</f>
        <v>228.12999999999977</v>
      </c>
      <c r="GA104" s="18">
        <f>FZ104*VLOOKUP('Données projet'!$B$17,Paramètres!$A$1:$I$89,3,0)*VLOOKUP('Données projet'!$B$17,Paramètres!$A$1:$I$89,5,0)</f>
        <v>259.79444399999971</v>
      </c>
      <c r="GB104" s="14">
        <f t="shared" si="103"/>
        <v>62.678559706962524</v>
      </c>
      <c r="GC104" s="22">
        <f t="shared" si="79"/>
        <v>561.64048145629249</v>
      </c>
      <c r="GD104" s="62">
        <f t="shared" si="80"/>
        <v>854.97381478962575</v>
      </c>
      <c r="GE104" s="62">
        <f ca="1">AVERAGE(OFFSET($GD$3,0,0,'Données projet'!$E$17+1,1))-AVERAGE(OFFSET($H$3,0,0,'Données projet'!$E$17+1,1))</f>
        <v>405.71017054131318</v>
      </c>
      <c r="GF104" s="62">
        <f t="shared" si="104"/>
        <v>276.12900965322166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22.932726817866907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22.932726817866907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>
        <f>VLOOKUP(A104,'Données projet'!$A$269:$I$289,2,0)</f>
        <v>228.13</v>
      </c>
      <c r="GS104" s="13">
        <f>VLOOKUP(A104,'Données projet'!$A$269:$I$289,9,0)</f>
        <v>6.0016666666666696</v>
      </c>
      <c r="GT104" s="13">
        <f t="array" ref="GT104">INDEX(GS:GS,MIN(IF(ISNUMBER(GS104:GS300),ROW(GS104:GS300),"")))</f>
        <v>6.0016666666666696</v>
      </c>
      <c r="GU104" s="13">
        <f>IF('Données projet'!$A$270&gt;35,GU103+GT104-HC103,IF(A104&lt;'Données projet'!$A$270,$GR$205^A104,IF(A104='Données projet'!$A$270,'Données projet'!$B$270,GU103+GT104-HC103)))</f>
        <v>228.12999999999977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 t="e">
        <f>IF(ISNA(VLOOKUP(A104,'Données projet'!$A$269:$I$289,5,0)),0%,VLOOKUP(A104,'Données projet'!$A$269:$I$289,5,0)*VLOOKUP('Données projet'!$B$18,Paramètres!$A$1:$I$89,7,0))</f>
        <v>#N/A</v>
      </c>
      <c r="HE104" s="17" t="e">
        <f>IF(ISNA(VLOOKUP(A104,'Données projet'!$A$269:$I$289,6,0)),0%,VLOOKUP(A104,'Données projet'!$A$269:$I$289,6,0)*VLOOKUP('Données projet'!$B$18,Paramètres!$A$1:$I$89,7,0))</f>
        <v>#N/A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8.1850000000000023</v>
      </c>
      <c r="N105" s="14">
        <f>IF('Données projet'!$A$36&gt;35,N104+M105-V104,IF(A105&lt;'Données projet'!$A$36,$K$205^A105,IF(A105='Données projet'!$A$36,'Données projet'!$B$36,N104+M105-V104)))</f>
        <v>349.04000000000013</v>
      </c>
      <c r="O105" s="14">
        <f>N105*VLOOKUP('Données projet'!$B$9,Paramètres!$A$1:$I$89,3,0)*VLOOKUP('Données projet'!$B$9,Paramètres!$A$1:$I$89,5,0)</f>
        <v>315.81139200000013</v>
      </c>
      <c r="P105" s="14">
        <f t="shared" si="87"/>
        <v>74.48116512498612</v>
      </c>
      <c r="Q105" s="22">
        <f t="shared" si="107"/>
        <v>679.75953699268439</v>
      </c>
      <c r="R105" s="62">
        <f t="shared" si="55"/>
        <v>973.09287032601765</v>
      </c>
      <c r="S105" s="62">
        <f ca="1">AVERAGE(OFFSET($R$3,0,0,'Données projet'!$E$9+1,1))-AVERAGE(OFFSET($H$3,0,0,'Données projet'!$E$9+1,1))</f>
        <v>452.54136967045082</v>
      </c>
      <c r="T105" s="62">
        <f t="shared" si="88"/>
        <v>269.67340993773422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42.260026957005955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42.260026957005955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8.1850000000000023</v>
      </c>
      <c r="BD105" s="13">
        <f>IF('Données projet'!$A$88&gt;35,BD104+BC105-BL104,IF(A105&lt;'Données projet'!$A$88,$BA$205^A105,IF(A105='Données projet'!$A$88,'Données projet'!$B$88,BD104+BC105-BL104)))</f>
        <v>349.04000000000013</v>
      </c>
      <c r="BE105" s="14">
        <f>BD105*VLOOKUP('Données projet'!$B$11,Paramètres!$A$1:$I$89,3,0)*VLOOKUP('Données projet'!$B$11,Paramètres!$A$1:$I$89,5,0)</f>
        <v>353.92656000000017</v>
      </c>
      <c r="BF105" s="14">
        <f t="shared" si="91"/>
        <v>82.370505005050447</v>
      </c>
      <c r="BG105" s="22">
        <f t="shared" si="61"/>
        <v>759.88405488379647</v>
      </c>
      <c r="BH105" s="62">
        <f t="shared" si="62"/>
        <v>1053.2173882171298</v>
      </c>
      <c r="BI105" s="62">
        <f ca="1">AVERAGE(OFFSET($BH$3,0,0,'Données projet'!$E$11+1,1))-AVERAGE(OFFSET($H$3,0,0,'Données projet'!$E$11+1,1))</f>
        <v>502.06005292569733</v>
      </c>
      <c r="BJ105" s="62">
        <f t="shared" si="92"/>
        <v>297.06786598620607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47.360375038023918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47.360375038023918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-2.8421709430404007E-14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-5.1431925385259088E-14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204.787338911576</v>
      </c>
      <c r="CZ105" s="62">
        <f t="shared" si="96"/>
        <v>287.24932051638558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11.250060749706797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11.250060749706797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</v>
      </c>
      <c r="DO105" s="13">
        <f>IF('Données projet'!$A$166&gt;35,DO104+DN105-DW104,IF(A105&lt;'Données projet'!$A$166,$DL$205^A105,IF(A105='Données projet'!$A$166,'Données projet'!$B$166,DO104+DN105-DW104)))</f>
        <v>223.00000000000006</v>
      </c>
      <c r="DP105" s="18">
        <f>DO105*VLOOKUP('Données projet'!$B$14,Paramètres!$A$1:$I$89,3,0)*VLOOKUP('Données projet'!$B$14,Paramètres!$A$1:$I$89,5,0)</f>
        <v>212.20680000000004</v>
      </c>
      <c r="DQ105" s="14">
        <f t="shared" si="97"/>
        <v>52.417533229349679</v>
      </c>
      <c r="DR105" s="22">
        <f t="shared" si="70"/>
        <v>460.88738037445069</v>
      </c>
      <c r="DS105" s="62">
        <f t="shared" si="71"/>
        <v>754.22071370778394</v>
      </c>
      <c r="DT105" s="62">
        <f ca="1">AVERAGE(OFFSET($DS$3,0,0,'Données projet'!$E$14+1,1))-AVERAGE(OFFSET($H$3,0,0,'Données projet'!$E$14+1,1))</f>
        <v>309.55876703480277</v>
      </c>
      <c r="DU105" s="62">
        <f t="shared" si="98"/>
        <v>122.43799205838684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35.0417221073305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35.0417221073305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9.0579999999999927</v>
      </c>
      <c r="EJ105" s="13">
        <f>IF('Données projet'!$A$192&gt;35,EJ104+EI105-ER104,IF(A105&lt;'Données projet'!$A$192,$EG$205^A105,IF(A105='Données projet'!$A$192,'Données projet'!$B$192,EJ104+EI105-ER104)))</f>
        <v>401.6659999999996</v>
      </c>
      <c r="EK105" s="18">
        <f>EJ105*VLOOKUP('Données projet'!$B$15,Paramètres!$A$1:$I$89,3,0)*VLOOKUP('Données projet'!$B$15,Paramètres!$A$1:$I$89,5,0)</f>
        <v>187.97968799999984</v>
      </c>
      <c r="EL105" s="14">
        <f t="shared" si="99"/>
        <v>47.093013034362791</v>
      </c>
      <c r="EM105" s="22">
        <f t="shared" si="73"/>
        <v>409.41828763484824</v>
      </c>
      <c r="EN105" s="62">
        <f t="shared" si="74"/>
        <v>702.75162096818156</v>
      </c>
      <c r="EO105" s="62">
        <f ca="1">AVERAGE(OFFSET($EN$3,0,0,'Données projet'!$E$15+1,1))-AVERAGE(OFFSET($H$3,0,0,'Données projet'!$E$15+1,1))</f>
        <v>301.04834785168049</v>
      </c>
      <c r="EP105" s="62">
        <f t="shared" si="100"/>
        <v>164.1450425611464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44.841358748335594</v>
      </c>
      <c r="EW105" s="23">
        <f>EXP(-LN(2)/25)*EW104+(1-EXP(-LN(2)/25))/(LN(2)/25)*Calculateur!ER105*Calculateur!ET105*VLOOKUP('Données projet'!$B$15,Paramètres!$A$1:$I$89,3,0)*0.475*44/12</f>
        <v>27.388151948931064</v>
      </c>
      <c r="EX105" s="23">
        <f>EXP(-LN(2)/2)*EX104+(1-EXP(-LN(2)/2))/(LN(2)/2)*ER105*EU105*VLOOKUP('Données projet'!$B$15,Paramètres!$A$1:$I$89,3,0)*0.475*44/12</f>
        <v>1.5418387775431064</v>
      </c>
      <c r="EY105" s="24">
        <f t="shared" si="75"/>
        <v>73.771349474809767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6.2099999999999982</v>
      </c>
      <c r="FE105" s="13">
        <f>IF('Données projet'!$A$218&gt;35,FE104+FD105-FM104,IF(A105&lt;'Données projet'!$A$218,$FB$205^A105,IF(A105='Données projet'!$A$218,'Données projet'!$B$218,FE104+FD105-FM104)))</f>
        <v>234.33999999999978</v>
      </c>
      <c r="FF105" s="18">
        <f>FE105*VLOOKUP('Données projet'!$B$16,Paramètres!$A$1:$I$89,3,0)*VLOOKUP('Données projet'!$B$16,Paramètres!$A$1:$I$89,5,0)</f>
        <v>212.0308319999998</v>
      </c>
      <c r="FG105" s="14">
        <f t="shared" si="101"/>
        <v>52.379124702212358</v>
      </c>
      <c r="FH105" s="22">
        <f t="shared" si="76"/>
        <v>460.51400792301956</v>
      </c>
      <c r="FI105" s="62">
        <f t="shared" si="77"/>
        <v>753.84734125635282</v>
      </c>
      <c r="FJ105" s="62">
        <f ca="1">AVERAGE(OFFSET($FI$3,0,0,'Données projet'!$E$16+1,1))-AVERAGE(OFFSET($H$3,0,0,'Données projet'!$E$16+1,1))</f>
        <v>330.53726676433649</v>
      </c>
      <c r="FK105" s="62">
        <f t="shared" si="102"/>
        <v>228.01260676706528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17.863229340930722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17.863229340930722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6.2099999999999982</v>
      </c>
      <c r="FZ105" s="13">
        <f>IF('Données projet'!$A$244&gt;35,FZ104+FY105-GH104,IF(A105&lt;'Données projet'!$A$244,$FW$205^A105,IF(A105='Données projet'!$A$244,'Données projet'!$B$244,FZ104+FY105-GH104)))</f>
        <v>234.33999999999978</v>
      </c>
      <c r="GA105" s="18">
        <f>FZ105*VLOOKUP('Données projet'!$B$17,Paramètres!$A$1:$I$89,3,0)*VLOOKUP('Données projet'!$B$17,Paramètres!$A$1:$I$89,5,0)</f>
        <v>266.86639199999973</v>
      </c>
      <c r="GB105" s="14">
        <f t="shared" si="103"/>
        <v>64.183787425137268</v>
      </c>
      <c r="GC105" s="22">
        <f t="shared" si="79"/>
        <v>576.57906249878022</v>
      </c>
      <c r="GD105" s="62">
        <f t="shared" si="80"/>
        <v>869.91239583211359</v>
      </c>
      <c r="GE105" s="62">
        <f ca="1">AVERAGE(OFFSET($GD$3,0,0,'Données projet'!$E$17+1,1))-AVERAGE(OFFSET($H$3,0,0,'Données projet'!$E$17+1,1))</f>
        <v>405.71017054131318</v>
      </c>
      <c r="GF105" s="62">
        <f t="shared" si="104"/>
        <v>276.12900965322166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22.483030032550737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22.483030032550737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6.2099999999999982</v>
      </c>
      <c r="GU105" s="13">
        <f>IF('Données projet'!$A$270&gt;35,GU104+GT105-HC104,IF(A105&lt;'Données projet'!$A$270,$GR$205^A105,IF(A105='Données projet'!$A$270,'Données projet'!$B$270,GU104+GT105-HC104)))</f>
        <v>234.33999999999978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8.1850000000000023</v>
      </c>
      <c r="N106" s="14">
        <f>IF('Données projet'!$A$36&gt;35,N105+M106-V105,IF(A106&lt;'Données projet'!$A$36,$K$205^A106,IF(A106='Données projet'!$A$36,'Données projet'!$B$36,N105+M106-V105)))</f>
        <v>357.22500000000014</v>
      </c>
      <c r="O106" s="14">
        <f>N106*VLOOKUP('Données projet'!$B$9,Paramètres!$A$1:$I$89,3,0)*VLOOKUP('Données projet'!$B$9,Paramètres!$A$1:$I$89,5,0)</f>
        <v>323.2171800000001</v>
      </c>
      <c r="P106" s="14">
        <f t="shared" si="87"/>
        <v>76.022360305978083</v>
      </c>
      <c r="Q106" s="22">
        <f t="shared" si="107"/>
        <v>695.34219936624515</v>
      </c>
      <c r="R106" s="62">
        <f t="shared" si="55"/>
        <v>988.67553269957853</v>
      </c>
      <c r="S106" s="62">
        <f ca="1">AVERAGE(OFFSET($R$3,0,0,'Données projet'!$E$9+1,1))-AVERAGE(OFFSET($H$3,0,0,'Données projet'!$E$9+1,1))</f>
        <v>452.54136967045082</v>
      </c>
      <c r="T106" s="62">
        <f t="shared" si="88"/>
        <v>269.67340993773422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41.431333604450337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41.431333604450337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8.1850000000000023</v>
      </c>
      <c r="BD106" s="13">
        <f>IF('Données projet'!$A$88&gt;35,BD105+BC106-BL105,IF(A106&lt;'Données projet'!$A$88,$BA$205^A106,IF(A106='Données projet'!$A$88,'Données projet'!$B$88,BD105+BC106-BL105)))</f>
        <v>357.22500000000014</v>
      </c>
      <c r="BE106" s="14">
        <f>BD106*VLOOKUP('Données projet'!$B$11,Paramètres!$A$1:$I$89,3,0)*VLOOKUP('Données projet'!$B$11,Paramètres!$A$1:$I$89,5,0)</f>
        <v>362.22615000000019</v>
      </c>
      <c r="BF106" s="14">
        <f t="shared" si="91"/>
        <v>84.074949681186041</v>
      </c>
      <c r="BG106" s="22">
        <f t="shared" si="61"/>
        <v>777.30774861139935</v>
      </c>
      <c r="BH106" s="62">
        <f t="shared" si="62"/>
        <v>1070.6410819447326</v>
      </c>
      <c r="BI106" s="62">
        <f ca="1">AVERAGE(OFFSET($BH$3,0,0,'Données projet'!$E$11+1,1))-AVERAGE(OFFSET($H$3,0,0,'Données projet'!$E$11+1,1))</f>
        <v>502.06005292569733</v>
      </c>
      <c r="BJ106" s="62">
        <f t="shared" si="92"/>
        <v>297.06786598620607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46.431666970504693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46.431666970504693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-2.8421709430404007E-14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-5.1431925385259088E-14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204.787338911576</v>
      </c>
      <c r="CZ106" s="62">
        <f t="shared" si="96"/>
        <v>287.24932051638558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11.029453920264553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11.029453920264553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</v>
      </c>
      <c r="DO106" s="13">
        <f>IF('Données projet'!$A$166&gt;35,DO105+DN106-DW105,IF(A106&lt;'Données projet'!$A$166,$DL$205^A106,IF(A106='Données projet'!$A$166,'Données projet'!$B$166,DO105+DN106-DW105)))</f>
        <v>228.00000000000006</v>
      </c>
      <c r="DP106" s="18">
        <f>DO106*VLOOKUP('Données projet'!$B$14,Paramètres!$A$1:$I$89,3,0)*VLOOKUP('Données projet'!$B$14,Paramètres!$A$1:$I$89,5,0)</f>
        <v>216.96480000000008</v>
      </c>
      <c r="DQ106" s="14">
        <f t="shared" si="97"/>
        <v>53.45466756384107</v>
      </c>
      <c r="DR106" s="22">
        <f t="shared" si="70"/>
        <v>470.98057267369001</v>
      </c>
      <c r="DS106" s="62">
        <f t="shared" si="71"/>
        <v>764.31390600702332</v>
      </c>
      <c r="DT106" s="62">
        <f ca="1">AVERAGE(OFFSET($DS$3,0,0,'Données projet'!$E$14+1,1))-AVERAGE(OFFSET($H$3,0,0,'Données projet'!$E$14+1,1))</f>
        <v>309.55876703480277</v>
      </c>
      <c r="DU106" s="62">
        <f t="shared" si="98"/>
        <v>122.43799205838684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34.35457531014579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34.35457531014579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9.0579999999999927</v>
      </c>
      <c r="EJ106" s="13">
        <f>IF('Données projet'!$A$192&gt;35,EJ105+EI106-ER105,IF(A106&lt;'Données projet'!$A$192,$EG$205^A106,IF(A106='Données projet'!$A$192,'Données projet'!$B$192,EJ105+EI106-ER105)))</f>
        <v>410.72399999999959</v>
      </c>
      <c r="EK106" s="18">
        <f>EJ106*VLOOKUP('Données projet'!$B$15,Paramètres!$A$1:$I$89,3,0)*VLOOKUP('Données projet'!$B$15,Paramètres!$A$1:$I$89,5,0)</f>
        <v>192.21883199999982</v>
      </c>
      <c r="EL106" s="14">
        <f t="shared" si="99"/>
        <v>48.030173132671585</v>
      </c>
      <c r="EM106" s="22">
        <f t="shared" si="73"/>
        <v>418.43368393940273</v>
      </c>
      <c r="EN106" s="62">
        <f t="shared" si="74"/>
        <v>711.76701727273598</v>
      </c>
      <c r="EO106" s="62">
        <f ca="1">AVERAGE(OFFSET($EN$3,0,0,'Données projet'!$E$15+1,1))-AVERAGE(OFFSET($H$3,0,0,'Données projet'!$E$15+1,1))</f>
        <v>301.04834785168049</v>
      </c>
      <c r="EP106" s="62">
        <f t="shared" si="100"/>
        <v>164.1450425611464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43.962047053808931</v>
      </c>
      <c r="EW106" s="23">
        <f>EXP(-LN(2)/25)*EW105+(1-EXP(-LN(2)/25))/(LN(2)/25)*Calculateur!ER106*Calculateur!ET106*VLOOKUP('Données projet'!$B$15,Paramètres!$A$1:$I$89,3,0)*0.475*44/12</f>
        <v>26.639221493607231</v>
      </c>
      <c r="EX106" s="23">
        <f>EXP(-LN(2)/2)*EX105+(1-EXP(-LN(2)/2))/(LN(2)/2)*ER106*EU106*VLOOKUP('Données projet'!$B$15,Paramètres!$A$1:$I$89,3,0)*0.475*44/12</f>
        <v>1.0902446550971072</v>
      </c>
      <c r="EY106" s="24">
        <f t="shared" si="75"/>
        <v>71.691513202513278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6.2099999999999982</v>
      </c>
      <c r="FE106" s="13">
        <f>IF('Données projet'!$A$218&gt;35,FE105+FD106-FM105,IF(A106&lt;'Données projet'!$A$218,$FB$205^A106,IF(A106='Données projet'!$A$218,'Données projet'!$B$218,FE105+FD106-FM105)))</f>
        <v>240.54999999999978</v>
      </c>
      <c r="FF106" s="18">
        <f>FE106*VLOOKUP('Données projet'!$B$16,Paramètres!$A$1:$I$89,3,0)*VLOOKUP('Données projet'!$B$16,Paramètres!$A$1:$I$89,5,0)</f>
        <v>217.64963999999981</v>
      </c>
      <c r="FG106" s="14">
        <f t="shared" si="101"/>
        <v>53.603727689246575</v>
      </c>
      <c r="FH106" s="22">
        <f t="shared" si="76"/>
        <v>472.43294872543743</v>
      </c>
      <c r="FI106" s="62">
        <f t="shared" si="77"/>
        <v>765.76628205877068</v>
      </c>
      <c r="FJ106" s="62">
        <f ca="1">AVERAGE(OFFSET($FI$3,0,0,'Données projet'!$E$16+1,1))-AVERAGE(OFFSET($H$3,0,0,'Données projet'!$E$16+1,1))</f>
        <v>330.53726676433649</v>
      </c>
      <c r="FK106" s="62">
        <f t="shared" si="102"/>
        <v>228.01260676706528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17.512942309049127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17.512942309049127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6.2099999999999982</v>
      </c>
      <c r="FZ106" s="13">
        <f>IF('Données projet'!$A$244&gt;35,FZ105+FY106-GH105,IF(A106&lt;'Données projet'!$A$244,$FW$205^A106,IF(A106='Données projet'!$A$244,'Données projet'!$B$244,FZ105+FY106-GH105)))</f>
        <v>240.54999999999978</v>
      </c>
      <c r="GA106" s="18">
        <f>FZ106*VLOOKUP('Données projet'!$B$17,Paramètres!$A$1:$I$89,3,0)*VLOOKUP('Données projet'!$B$17,Paramètres!$A$1:$I$89,5,0)</f>
        <v>273.93833999999976</v>
      </c>
      <c r="GB106" s="14">
        <f t="shared" si="103"/>
        <v>65.684378705477471</v>
      </c>
      <c r="GC106" s="22">
        <f t="shared" si="79"/>
        <v>591.50956841203947</v>
      </c>
      <c r="GD106" s="62">
        <f t="shared" si="80"/>
        <v>884.84290174537273</v>
      </c>
      <c r="GE106" s="62">
        <f ca="1">AVERAGE(OFFSET($GD$3,0,0,'Données projet'!$E$17+1,1))-AVERAGE(OFFSET($H$3,0,0,'Données projet'!$E$17+1,1))</f>
        <v>405.71017054131318</v>
      </c>
      <c r="GF106" s="62">
        <f t="shared" si="104"/>
        <v>276.12900965322166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22.042151526906661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22.042151526906661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6.2099999999999982</v>
      </c>
      <c r="GU106" s="13">
        <f>IF('Données projet'!$A$270&gt;35,GU105+GT106-HC105,IF(A106&lt;'Données projet'!$A$270,$GR$205^A106,IF(A106='Données projet'!$A$270,'Données projet'!$B$270,GU105+GT106-HC105)))</f>
        <v>240.54999999999978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365.41</v>
      </c>
      <c r="L107" s="13">
        <f>VLOOKUP(A107,'Données projet'!$A$35:$I$55,9,0)</f>
        <v>8.1850000000000023</v>
      </c>
      <c r="M107" s="13">
        <f t="array" ref="M107">INDEX(L:L,MIN(IF(ISNUMBER(L107:L303),ROW(L107:L303),"")))</f>
        <v>8.1850000000000023</v>
      </c>
      <c r="N107" s="14">
        <f>IF('Données projet'!$A$36&gt;35,N106+M107-V106,IF(A107&lt;'Données projet'!$A$36,$K$205^A107,IF(A107='Données projet'!$A$36,'Données projet'!$B$36,N106+M107-V106)))</f>
        <v>365.41000000000014</v>
      </c>
      <c r="O107" s="14">
        <f>N107*VLOOKUP('Données projet'!$B$9,Paramètres!$A$1:$I$89,3,0)*VLOOKUP('Données projet'!$B$9,Paramètres!$A$1:$I$89,5,0)</f>
        <v>330.62296800000013</v>
      </c>
      <c r="P107" s="14">
        <f t="shared" si="87"/>
        <v>77.559450151847756</v>
      </c>
      <c r="Q107" s="22">
        <f t="shared" si="107"/>
        <v>710.91771161446832</v>
      </c>
      <c r="R107" s="62">
        <f t="shared" si="55"/>
        <v>1004.2510449478016</v>
      </c>
      <c r="S107" s="62">
        <f ca="1">AVERAGE(OFFSET($R$3,0,0,'Données projet'!$E$9+1,1))-AVERAGE(OFFSET($H$3,0,0,'Données projet'!$E$9+1,1))</f>
        <v>452.54136967045082</v>
      </c>
      <c r="T107" s="62">
        <f t="shared" si="88"/>
        <v>269.67340993773422</v>
      </c>
      <c r="U107" s="16">
        <f>IF(ISNA(VLOOKUP(A107,'Données projet'!$A$35:$I$55,3,0)),0,VLOOKUP(A107,'Données projet'!$A$35:$I$55,3,0))</f>
        <v>8</v>
      </c>
      <c r="V107" s="16">
        <f>IF(ISNA(VLOOKUP(A107,'Données projet'!$A$35:$I$55,4,0)),0,VLOOKUP(A107,'Données projet'!$A$35:$I$55,4,0))</f>
        <v>60.19</v>
      </c>
      <c r="W107" s="17">
        <f>IF(ISNA(VLOOKUP(A107,'Données projet'!$A$35:$I$55,5,0)),0%,VLOOKUP(A107,'Données projet'!$A$35:$I$55,5,0)*VLOOKUP('Données projet'!$B$9,Paramètres!$A$1:$I$89,7,0))</f>
        <v>0.30099999999999999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58.740240119064588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58.740240119064588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>
        <f>VLOOKUP(A107,'Données projet'!$A$87:$I$107,2,0)</f>
        <v>365.41</v>
      </c>
      <c r="BB107" s="13">
        <f>VLOOKUP(A107,'Données projet'!$A$87:$I$107,9,0)</f>
        <v>8.1850000000000023</v>
      </c>
      <c r="BC107" s="13">
        <f t="array" ref="BC107">INDEX(BB:BB,MIN(IF(ISNUMBER(BB107:BB303),ROW(BB107:BB303),"")))</f>
        <v>8.1850000000000023</v>
      </c>
      <c r="BD107" s="13">
        <f>IF('Données projet'!$A$88&gt;35,BD106+BC107-BL106,IF(A107&lt;'Données projet'!$A$88,$BA$205^A107,IF(A107='Données projet'!$A$88,'Données projet'!$B$88,BD106+BC107-BL106)))</f>
        <v>365.41000000000014</v>
      </c>
      <c r="BE107" s="14">
        <f>BD107*VLOOKUP('Données projet'!$B$11,Paramètres!$A$1:$I$89,3,0)*VLOOKUP('Données projet'!$B$11,Paramètres!$A$1:$I$89,5,0)</f>
        <v>370.52574000000016</v>
      </c>
      <c r="BF107" s="14">
        <f t="shared" si="91"/>
        <v>85.774854168850212</v>
      </c>
      <c r="BG107" s="22">
        <f t="shared" si="61"/>
        <v>794.72353484408097</v>
      </c>
      <c r="BH107" s="62">
        <f t="shared" si="62"/>
        <v>1088.0568681774143</v>
      </c>
      <c r="BI107" s="62">
        <f ca="1">AVERAGE(OFFSET($BH$3,0,0,'Données projet'!$E$11+1,1))-AVERAGE(OFFSET($H$3,0,0,'Données projet'!$E$11+1,1))</f>
        <v>502.06005292569733</v>
      </c>
      <c r="BJ107" s="62">
        <f t="shared" si="92"/>
        <v>297.06786598620607</v>
      </c>
      <c r="BK107" s="16">
        <f>IF(ISNA(VLOOKUP(A107,'Données projet'!$A$87:$I$107,3,0)),0,VLOOKUP(A107,'Données projet'!$A$87:$I$107,3,0))</f>
        <v>8</v>
      </c>
      <c r="BL107" s="16">
        <f>IF(ISNA(VLOOKUP(A107,'Données projet'!$A$87:$I$107,4,0)),0,VLOOKUP(A107,'Données projet'!$A$87:$I$107,4,0))</f>
        <v>60.19</v>
      </c>
      <c r="BM107" s="17">
        <f>IF(ISNA(VLOOKUP(A107,'Données projet'!$A$87:$I$107,5,0)),0%,VLOOKUP(A107,'Données projet'!$A$87:$I$107,5,0)*VLOOKUP('Données projet'!$B$11,Paramètres!$A$1:$I$89,7,0))</f>
        <v>0.30099999999999999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65.829579443779281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65.829579443779281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-2.8421709430404007E-14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-5.1431925385259088E-14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204.787338911576</v>
      </c>
      <c r="CZ107" s="62">
        <f t="shared" si="96"/>
        <v>287.24932051638558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10.81317305619079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10.81317305619079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</v>
      </c>
      <c r="DO107" s="13">
        <f>IF('Données projet'!$A$166&gt;35,DO106+DN107-DW106,IF(A107&lt;'Données projet'!$A$166,$DL$205^A107,IF(A107='Données projet'!$A$166,'Données projet'!$B$166,DO106+DN107-DW106)))</f>
        <v>233.00000000000006</v>
      </c>
      <c r="DP107" s="18">
        <f>DO107*VLOOKUP('Données projet'!$B$14,Paramètres!$A$1:$I$89,3,0)*VLOOKUP('Données projet'!$B$14,Paramètres!$A$1:$I$89,5,0)</f>
        <v>221.72280000000003</v>
      </c>
      <c r="DQ107" s="14">
        <f t="shared" si="97"/>
        <v>54.489157628530627</v>
      </c>
      <c r="DR107" s="22">
        <f t="shared" si="70"/>
        <v>481.06915953635763</v>
      </c>
      <c r="DS107" s="62">
        <f t="shared" si="71"/>
        <v>774.40249286969095</v>
      </c>
      <c r="DT107" s="62">
        <f ca="1">AVERAGE(OFFSET($DS$3,0,0,'Données projet'!$E$14+1,1))-AVERAGE(OFFSET($H$3,0,0,'Données projet'!$E$14+1,1))</f>
        <v>309.55876703480277</v>
      </c>
      <c r="DU107" s="62">
        <f t="shared" si="98"/>
        <v>122.43799205838684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33.680903042535711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33.680903042535711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9.0579999999999927</v>
      </c>
      <c r="EJ107" s="13">
        <f>IF('Données projet'!$A$192&gt;35,EJ106+EI107-ER106,IF(A107&lt;'Données projet'!$A$192,$EG$205^A107,IF(A107='Données projet'!$A$192,'Données projet'!$B$192,EJ106+EI107-ER106)))</f>
        <v>419.78199999999958</v>
      </c>
      <c r="EK107" s="18">
        <f>EJ107*VLOOKUP('Données projet'!$B$15,Paramètres!$A$1:$I$89,3,0)*VLOOKUP('Données projet'!$B$15,Paramètres!$A$1:$I$89,5,0)</f>
        <v>196.4579759999998</v>
      </c>
      <c r="EL107" s="14">
        <f t="shared" si="99"/>
        <v>48.964930368551549</v>
      </c>
      <c r="EM107" s="22">
        <f t="shared" si="73"/>
        <v>427.44489525856028</v>
      </c>
      <c r="EN107" s="62">
        <f t="shared" si="74"/>
        <v>720.77822859189359</v>
      </c>
      <c r="EO107" s="62">
        <f ca="1">AVERAGE(OFFSET($EN$3,0,0,'Données projet'!$E$15+1,1))-AVERAGE(OFFSET($H$3,0,0,'Données projet'!$E$15+1,1))</f>
        <v>301.04834785168049</v>
      </c>
      <c r="EP107" s="62">
        <f t="shared" si="100"/>
        <v>164.1450425611464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43.099978125284757</v>
      </c>
      <c r="EW107" s="23">
        <f>EXP(-LN(2)/25)*EW106+(1-EXP(-LN(2)/25))/(LN(2)/25)*Calculateur!ER107*Calculateur!ET107*VLOOKUP('Données projet'!$B$15,Paramètres!$A$1:$I$89,3,0)*0.475*44/12</f>
        <v>25.910770580968766</v>
      </c>
      <c r="EX107" s="23">
        <f>EXP(-LN(2)/2)*EX106+(1-EXP(-LN(2)/2))/(LN(2)/2)*ER107*EU107*VLOOKUP('Données projet'!$B$15,Paramètres!$A$1:$I$89,3,0)*0.475*44/12</f>
        <v>0.77091938877155319</v>
      </c>
      <c r="EY107" s="24">
        <f t="shared" si="75"/>
        <v>69.781668095025083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>
        <f>VLOOKUP(A107,'Données projet'!$A$217:$I$237,2,0)</f>
        <v>246.76</v>
      </c>
      <c r="FC107" s="13">
        <f>VLOOKUP(A107,'Données projet'!$A$217:$I$237,9,0)</f>
        <v>6.2099999999999982</v>
      </c>
      <c r="FD107" s="13">
        <f t="array" ref="FD107">INDEX(FC:FC,MIN(IF(ISNUMBER(FC107:FC303),ROW(FC107:FC303),"")))</f>
        <v>6.2099999999999982</v>
      </c>
      <c r="FE107" s="13">
        <f>IF('Données projet'!$A$218&gt;35,FE106+FD107-FM106,IF(A107&lt;'Données projet'!$A$218,$FB$205^A107,IF(A107='Données projet'!$A$218,'Données projet'!$B$218,FE106+FD107-FM106)))</f>
        <v>246.75999999999979</v>
      </c>
      <c r="FF107" s="18">
        <f>FE107*VLOOKUP('Données projet'!$B$16,Paramètres!$A$1:$I$89,3,0)*VLOOKUP('Données projet'!$B$16,Paramètres!$A$1:$I$89,5,0)</f>
        <v>223.26844799999978</v>
      </c>
      <c r="FG107" s="14">
        <f t="shared" si="101"/>
        <v>54.82465588091987</v>
      </c>
      <c r="FH107" s="22">
        <f t="shared" si="76"/>
        <v>484.34548925926839</v>
      </c>
      <c r="FI107" s="62">
        <f t="shared" si="77"/>
        <v>777.6788225926017</v>
      </c>
      <c r="FJ107" s="62">
        <f ca="1">AVERAGE(OFFSET($FI$3,0,0,'Données projet'!$E$16+1,1))-AVERAGE(OFFSET($H$3,0,0,'Données projet'!$E$16+1,1))</f>
        <v>330.53726676433649</v>
      </c>
      <c r="FK107" s="62">
        <f t="shared" si="102"/>
        <v>228.01260676706528</v>
      </c>
      <c r="FL107" s="16">
        <f>IF(ISNA(VLOOKUP(A107,'Données projet'!$A$217:$I$237,3,0)),0,VLOOKUP(A107,'Données projet'!$A$217:$I$237,3,0))</f>
        <v>6</v>
      </c>
      <c r="FM107" s="16">
        <f>IF(ISNA(VLOOKUP(A107,'Données projet'!$A$217:$I$237,4,0)),0,VLOOKUP(A107,'Données projet'!$A$217:$I$237,4,0))</f>
        <v>35.979999999999997</v>
      </c>
      <c r="FN107" s="17">
        <f>IF(ISNA(VLOOKUP(A107,'Données projet'!$A$217:$I$237,5,0)),0%,VLOOKUP(A107,'Données projet'!$A$217:$I$237,5,0)*VLOOKUP('Données projet'!$B$16,Paramètres!$A$1:$I$89,7,0))</f>
        <v>0.215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24.907000304298251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24.907000304298251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>
        <f>VLOOKUP(A107,'Données projet'!$A$243:$I$263,2,0)</f>
        <v>246.76</v>
      </c>
      <c r="FX107" s="13">
        <f>VLOOKUP(A107,'Données projet'!$A$243:$I$263,9,0)</f>
        <v>6.2099999999999982</v>
      </c>
      <c r="FY107" s="13">
        <f t="array" ref="FY107">INDEX(FX:FX,MIN(IF(ISNUMBER(FX107:FX303),ROW(FX107:FX303),"")))</f>
        <v>6.2099999999999982</v>
      </c>
      <c r="FZ107" s="13">
        <f>IF('Données projet'!$A$244&gt;35,FZ106+FY107-GH106,IF(A107&lt;'Données projet'!$A$244,$FW$205^A107,IF(A107='Données projet'!$A$244,'Données projet'!$B$244,FZ106+FY107-GH106)))</f>
        <v>246.75999999999979</v>
      </c>
      <c r="GA107" s="18">
        <f>FZ107*VLOOKUP('Données projet'!$B$17,Paramètres!$A$1:$I$89,3,0)*VLOOKUP('Données projet'!$B$17,Paramètres!$A$1:$I$89,5,0)</f>
        <v>281.01028799999978</v>
      </c>
      <c r="GB107" s="14">
        <f t="shared" si="103"/>
        <v>67.180467003272369</v>
      </c>
      <c r="GC107" s="22">
        <f t="shared" si="79"/>
        <v>606.43223163069899</v>
      </c>
      <c r="GD107" s="62">
        <f t="shared" si="80"/>
        <v>899.76556496403236</v>
      </c>
      <c r="GE107" s="62">
        <f ca="1">AVERAGE(OFFSET($GD$3,0,0,'Données projet'!$E$17+1,1))-AVERAGE(OFFSET($H$3,0,0,'Données projet'!$E$17+1,1))</f>
        <v>405.71017054131318</v>
      </c>
      <c r="GF107" s="62">
        <f t="shared" si="104"/>
        <v>276.12900965322166</v>
      </c>
      <c r="GG107" s="16">
        <f>IF(ISNA(VLOOKUP(A107,'Données projet'!$A$243:$I$263,3,0)),0,VLOOKUP(A107,'Données projet'!$A$243:$I$263,3,0))</f>
        <v>6</v>
      </c>
      <c r="GH107" s="16">
        <f>IF(ISNA(VLOOKUP(A107,'Données projet'!$A$243:$I$263,4,0)),0,VLOOKUP(A107,'Données projet'!$A$243:$I$263,4,0))</f>
        <v>35.979999999999997</v>
      </c>
      <c r="GI107" s="17">
        <f>IF(ISNA(VLOOKUP(A107,'Données projet'!$A$243:$I$263,5,0)),0%,VLOOKUP(A107,'Données projet'!$A$243:$I$263,5,0)*VLOOKUP('Données projet'!$B$17,Paramètres!$A$1:$I$89,7,0))</f>
        <v>0.215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31.348465900237457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31.348465900237457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>
        <f>VLOOKUP(A107,'Données projet'!$A$269:$I$289,2,0)</f>
        <v>246.76</v>
      </c>
      <c r="GS107" s="13">
        <f>VLOOKUP(A107,'Données projet'!$A$269:$I$289,9,0)</f>
        <v>6.2099999999999982</v>
      </c>
      <c r="GT107" s="13">
        <f t="array" ref="GT107">INDEX(GS:GS,MIN(IF(ISNUMBER(GS107:GS303),ROW(GS107:GS303),"")))</f>
        <v>6.2099999999999982</v>
      </c>
      <c r="GU107" s="13">
        <f>IF('Données projet'!$A$270&gt;35,GU106+GT107-HC106,IF(A107&lt;'Données projet'!$A$270,$GR$205^A107,IF(A107='Données projet'!$A$270,'Données projet'!$B$270,GU106+GT107-HC106)))</f>
        <v>246.75999999999979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6</v>
      </c>
      <c r="HC107" s="16">
        <f>IF(ISNA(VLOOKUP(A107,'Données projet'!$A$269:$I$289,4,0)),0,VLOOKUP(A107,'Données projet'!$A$269:$I$289,4,0))</f>
        <v>35.979999999999997</v>
      </c>
      <c r="HD107" s="17" t="e">
        <f>IF(ISNA(VLOOKUP(A107,'Données projet'!$A$269:$I$289,5,0)),0%,VLOOKUP(A107,'Données projet'!$A$269:$I$289,5,0)*VLOOKUP('Données projet'!$B$18,Paramètres!$A$1:$I$89,7,0))</f>
        <v>#N/A</v>
      </c>
      <c r="HE107" s="17" t="e">
        <f>IF(ISNA(VLOOKUP(A107,'Données projet'!$A$269:$I$289,6,0)),0%,VLOOKUP(A107,'Données projet'!$A$269:$I$289,6,0)*VLOOKUP('Données projet'!$B$18,Paramètres!$A$1:$I$89,7,0))</f>
        <v>#N/A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7.9349999999999969</v>
      </c>
      <c r="N108" s="14">
        <f>IF('Données projet'!$A$36&gt;35,N107+M108-V107,IF(A108&lt;'Données projet'!$A$36,$K$205^A108,IF(A108='Données projet'!$A$36,'Données projet'!$B$36,N107+M108-V107)))</f>
        <v>313.15500000000014</v>
      </c>
      <c r="O108" s="14">
        <f>N108*VLOOKUP('Données projet'!$B$9,Paramètres!$A$1:$I$89,3,0)*VLOOKUP('Données projet'!$B$9,Paramètres!$A$1:$I$89,5,0)</f>
        <v>283.34264400000012</v>
      </c>
      <c r="P108" s="14">
        <f t="shared" si="87"/>
        <v>67.672917015543788</v>
      </c>
      <c r="Q108" s="22">
        <f t="shared" si="107"/>
        <v>611.35210210207231</v>
      </c>
      <c r="R108" s="62">
        <f t="shared" si="55"/>
        <v>904.68543543540568</v>
      </c>
      <c r="S108" s="62">
        <f ca="1">AVERAGE(OFFSET($R$3,0,0,'Données projet'!$E$9+1,1))-AVERAGE(OFFSET($H$3,0,0,'Données projet'!$E$9+1,1))</f>
        <v>452.54136967045082</v>
      </c>
      <c r="T108" s="62">
        <f t="shared" si="88"/>
        <v>269.67340993773422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57.588379838338483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57.588379838338483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7.9349999999999969</v>
      </c>
      <c r="BD108" s="13">
        <f>IF('Données projet'!$A$88&gt;35,BD107+BC108-BL107,IF(A108&lt;'Données projet'!$A$88,$BA$205^A108,IF(A108='Données projet'!$A$88,'Données projet'!$B$88,BD107+BC108-BL107)))</f>
        <v>313.15500000000014</v>
      </c>
      <c r="BE108" s="14">
        <f>BD108*VLOOKUP('Données projet'!$B$11,Paramètres!$A$1:$I$89,3,0)*VLOOKUP('Données projet'!$B$11,Paramètres!$A$1:$I$89,5,0)</f>
        <v>317.53917000000018</v>
      </c>
      <c r="BF108" s="14">
        <f t="shared" si="91"/>
        <v>74.841100302084627</v>
      </c>
      <c r="BG108" s="22">
        <f t="shared" si="61"/>
        <v>683.39563744279769</v>
      </c>
      <c r="BH108" s="62">
        <f t="shared" si="62"/>
        <v>976.72897077613106</v>
      </c>
      <c r="BI108" s="62">
        <f ca="1">AVERAGE(OFFSET($BH$3,0,0,'Données projet'!$E$11+1,1))-AVERAGE(OFFSET($H$3,0,0,'Données projet'!$E$11+1,1))</f>
        <v>502.06005292569733</v>
      </c>
      <c r="BJ108" s="62">
        <f t="shared" si="92"/>
        <v>297.06786598620607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64.538701542965541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64.538701542965541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-2.8421709430404007E-14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-5.1431925385259088E-14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204.787338911576</v>
      </c>
      <c r="CZ108" s="62">
        <f t="shared" si="96"/>
        <v>287.24932051638558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10.601133327943213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10.601133327943213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238</v>
      </c>
      <c r="DM108" s="13">
        <f>VLOOKUP(A108,'Données projet'!$A$165:$I$185,9,0)</f>
        <v>5</v>
      </c>
      <c r="DN108" s="13">
        <f t="array" ref="DN108">INDEX(DM:DM,MIN(IF(ISNUMBER(DM108:DM304),ROW(DM108:DM304),"")))</f>
        <v>5</v>
      </c>
      <c r="DO108" s="13">
        <f>IF('Données projet'!$A$166&gt;35,DO107+DN108-DW107,IF(A108&lt;'Données projet'!$A$166,$DL$205^A108,IF(A108='Données projet'!$A$166,'Données projet'!$B$166,DO107+DN108-DW107)))</f>
        <v>238.00000000000006</v>
      </c>
      <c r="DP108" s="18">
        <f>DO108*VLOOKUP('Données projet'!$B$14,Paramètres!$A$1:$I$89,3,0)*VLOOKUP('Données projet'!$B$14,Paramètres!$A$1:$I$89,5,0)</f>
        <v>226.48080000000007</v>
      </c>
      <c r="DQ108" s="14">
        <f t="shared" si="97"/>
        <v>55.52106670316202</v>
      </c>
      <c r="DR108" s="22">
        <f t="shared" si="70"/>
        <v>491.15325117467387</v>
      </c>
      <c r="DS108" s="62">
        <f t="shared" si="71"/>
        <v>784.48658450800713</v>
      </c>
      <c r="DT108" s="62">
        <f ca="1">AVERAGE(OFFSET($DS$3,0,0,'Données projet'!$E$14+1,1))-AVERAGE(OFFSET($H$3,0,0,'Données projet'!$E$14+1,1))</f>
        <v>309.55876703480277</v>
      </c>
      <c r="DU108" s="62">
        <f t="shared" si="98"/>
        <v>122.43799205838684</v>
      </c>
      <c r="DV108" s="16">
        <f>IF(ISNA(VLOOKUP(A108,'Données projet'!$A$165:$I$185,3,0)),0,VLOOKUP(A108,'Données projet'!$A$165:$I$185,3,0))</f>
        <v>14</v>
      </c>
      <c r="DW108" s="16">
        <f>IF(ISNA(VLOOKUP(A108,'Données projet'!$A$165:$I$185,4,0)),0,VLOOKUP(A108,'Données projet'!$A$165:$I$185,4,0))</f>
        <v>22</v>
      </c>
      <c r="DX108" s="17">
        <f>IF(ISNA(VLOOKUP(A108,'Données projet'!$A$165:$I$185,5,0)),0%,VLOOKUP(A108,'Données projet'!$A$165:$I$185,5,0)*VLOOKUP('Données projet'!$B$14,Paramètres!$A$1:$I$89,7,0))</f>
        <v>0.30099999999999999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39.986557367563023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39.986557367563023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428.84</v>
      </c>
      <c r="EH108" s="13">
        <f>VLOOKUP(A108,'Données projet'!$A$191:$I$211,9,0)</f>
        <v>9.0579999999999927</v>
      </c>
      <c r="EI108" s="13">
        <f t="array" ref="EI108">INDEX(EH:EH,MIN(IF(ISNUMBER(EH108:EH304),ROW(EH108:EH304),"")))</f>
        <v>9.0579999999999927</v>
      </c>
      <c r="EJ108" s="13">
        <f>IF('Données projet'!$A$192&gt;35,EJ107+EI108-ER107,IF(A108&lt;'Données projet'!$A$192,$EG$205^A108,IF(A108='Données projet'!$A$192,'Données projet'!$B$192,EJ107+EI108-ER107)))</f>
        <v>428.83999999999958</v>
      </c>
      <c r="EK108" s="18">
        <f>EJ108*VLOOKUP('Données projet'!$B$15,Paramètres!$A$1:$I$89,3,0)*VLOOKUP('Données projet'!$B$15,Paramètres!$A$1:$I$89,5,0)</f>
        <v>200.69711999999981</v>
      </c>
      <c r="EL108" s="14">
        <f t="shared" si="99"/>
        <v>49.897342562260832</v>
      </c>
      <c r="EM108" s="22">
        <f t="shared" si="73"/>
        <v>436.4520222959373</v>
      </c>
      <c r="EN108" s="62">
        <f t="shared" si="74"/>
        <v>729.78535562927061</v>
      </c>
      <c r="EO108" s="62">
        <f ca="1">AVERAGE(OFFSET($EN$3,0,0,'Données projet'!$E$15+1,1))-AVERAGE(OFFSET($H$3,0,0,'Données projet'!$E$15+1,1))</f>
        <v>301.04834785168049</v>
      </c>
      <c r="EP108" s="62">
        <f t="shared" si="100"/>
        <v>164.1450425611464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42.254813842638818</v>
      </c>
      <c r="EW108" s="23">
        <f>EXP(-LN(2)/25)*EW107+(1-EXP(-LN(2)/25))/(LN(2)/25)*Calculateur!ER108*Calculateur!ET108*VLOOKUP('Données projet'!$B$15,Paramètres!$A$1:$I$89,3,0)*0.475*44/12</f>
        <v>25.202239196843969</v>
      </c>
      <c r="EX108" s="23">
        <f>EXP(-LN(2)/2)*EX107+(1-EXP(-LN(2)/2))/(LN(2)/2)*ER108*EU108*VLOOKUP('Données projet'!$B$15,Paramètres!$A$1:$I$89,3,0)*0.475*44/12</f>
        <v>0.54512232754855361</v>
      </c>
      <c r="EY108" s="24">
        <f t="shared" si="75"/>
        <v>68.002175367031342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6.1422222222222222</v>
      </c>
      <c r="FE108" s="13">
        <f>IF('Données projet'!$A$218&gt;35,FE107+FD108-FM107,IF(A108&lt;'Données projet'!$A$218,$FB$205^A108,IF(A108='Données projet'!$A$218,'Données projet'!$B$218,FE107+FD108-FM107)))</f>
        <v>216.92222222222202</v>
      </c>
      <c r="FF108" s="18">
        <f>FE108*VLOOKUP('Données projet'!$B$16,Paramètres!$A$1:$I$89,3,0)*VLOOKUP('Données projet'!$B$16,Paramètres!$A$1:$I$89,5,0)</f>
        <v>196.27122666666648</v>
      </c>
      <c r="FG108" s="14">
        <f t="shared" si="101"/>
        <v>48.923800788254148</v>
      </c>
      <c r="FH108" s="22">
        <f t="shared" si="76"/>
        <v>427.04800615065341</v>
      </c>
      <c r="FI108" s="62">
        <f t="shared" si="77"/>
        <v>720.38133948398672</v>
      </c>
      <c r="FJ108" s="62">
        <f ca="1">AVERAGE(OFFSET($FI$3,0,0,'Données projet'!$E$16+1,1))-AVERAGE(OFFSET($H$3,0,0,'Données projet'!$E$16+1,1))</f>
        <v>330.53726676433649</v>
      </c>
      <c r="FK108" s="62">
        <f t="shared" si="102"/>
        <v>228.01260676706528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24.418589220101087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24.418589220101087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6.1422222222222222</v>
      </c>
      <c r="FZ108" s="13">
        <f>IF('Données projet'!$A$244&gt;35,FZ107+FY108-GH107,IF(A108&lt;'Données projet'!$A$244,$FW$205^A108,IF(A108='Données projet'!$A$244,'Données projet'!$B$244,FZ107+FY108-GH107)))</f>
        <v>216.92222222222202</v>
      </c>
      <c r="GA108" s="18">
        <f>FZ108*VLOOKUP('Données projet'!$B$17,Paramètres!$A$1:$I$89,3,0)*VLOOKUP('Données projet'!$B$17,Paramètres!$A$1:$I$89,5,0)</f>
        <v>247.03102666666641</v>
      </c>
      <c r="GB108" s="14">
        <f t="shared" si="103"/>
        <v>59.949738520362096</v>
      </c>
      <c r="GC108" s="22">
        <f t="shared" si="79"/>
        <v>534.65816603407461</v>
      </c>
      <c r="GD108" s="62">
        <f t="shared" si="80"/>
        <v>827.99149936740787</v>
      </c>
      <c r="GE108" s="62">
        <f ca="1">AVERAGE(OFFSET($GD$3,0,0,'Données projet'!$E$17+1,1))-AVERAGE(OFFSET($H$3,0,0,'Données projet'!$E$17+1,1))</f>
        <v>405.71017054131318</v>
      </c>
      <c r="GF108" s="62">
        <f t="shared" si="104"/>
        <v>276.12900965322166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30.733741604609989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30.733741604609989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6.1422222222222222</v>
      </c>
      <c r="GU108" s="13">
        <f>IF('Données projet'!$A$270&gt;35,GU107+GT108-HC107,IF(A108&lt;'Données projet'!$A$270,$GR$205^A108,IF(A108='Données projet'!$A$270,'Données projet'!$B$270,GU107+GT108-HC107)))</f>
        <v>216.92222222222202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7.9349999999999969</v>
      </c>
      <c r="N109" s="14">
        <f>IF('Données projet'!$A$36&gt;35,N108+M109-V108,IF(A109&lt;'Données projet'!$A$36,$K$205^A109,IF(A109='Données projet'!$A$36,'Données projet'!$B$36,N108+M109-V108)))</f>
        <v>321.09000000000015</v>
      </c>
      <c r="O109" s="14">
        <f>N109*VLOOKUP('Données projet'!$B$9,Paramètres!$A$1:$I$89,3,0)*VLOOKUP('Données projet'!$B$9,Paramètres!$A$1:$I$89,5,0)</f>
        <v>290.52223200000009</v>
      </c>
      <c r="P109" s="14">
        <f t="shared" si="87"/>
        <v>69.185862279978295</v>
      </c>
      <c r="Q109" s="22">
        <f t="shared" si="107"/>
        <v>626.49159753762888</v>
      </c>
      <c r="R109" s="62">
        <f t="shared" si="55"/>
        <v>919.82493087096213</v>
      </c>
      <c r="S109" s="62">
        <f ca="1">AVERAGE(OFFSET($R$3,0,0,'Données projet'!$E$9+1,1))-AVERAGE(OFFSET($H$3,0,0,'Données projet'!$E$9+1,1))</f>
        <v>452.54136967045082</v>
      </c>
      <c r="T109" s="62">
        <f t="shared" si="88"/>
        <v>269.67340993773422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56.459106835152021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56.459106835152021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7.9349999999999969</v>
      </c>
      <c r="BD109" s="13">
        <f>IF('Données projet'!$A$88&gt;35,BD108+BC109-BL108,IF(A109&lt;'Données projet'!$A$88,$BA$205^A109,IF(A109='Données projet'!$A$88,'Données projet'!$B$88,BD108+BC109-BL108)))</f>
        <v>321.09000000000015</v>
      </c>
      <c r="BE109" s="14">
        <f>BD109*VLOOKUP('Données projet'!$B$11,Paramètres!$A$1:$I$89,3,0)*VLOOKUP('Données projet'!$B$11,Paramètres!$A$1:$I$89,5,0)</f>
        <v>325.58526000000018</v>
      </c>
      <c r="BF109" s="14">
        <f t="shared" si="91"/>
        <v>76.514302718659906</v>
      </c>
      <c r="BG109" s="22">
        <f t="shared" si="61"/>
        <v>700.32340506833282</v>
      </c>
      <c r="BH109" s="62">
        <f t="shared" si="62"/>
        <v>993.65673840166619</v>
      </c>
      <c r="BI109" s="62">
        <f ca="1">AVERAGE(OFFSET($BH$3,0,0,'Données projet'!$E$11+1,1))-AVERAGE(OFFSET($H$3,0,0,'Données projet'!$E$11+1,1))</f>
        <v>502.06005292569733</v>
      </c>
      <c r="BJ109" s="62">
        <f t="shared" si="92"/>
        <v>297.06786598620607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63.273136970428986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63.273136970428986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-2.8421709430404007E-14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-5.1431925385259088E-14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204.787338911576</v>
      </c>
      <c r="CZ109" s="62">
        <f t="shared" si="96"/>
        <v>287.24932051638558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10.393251569435106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10.393251569435106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</v>
      </c>
      <c r="DO109" s="13">
        <f>IF('Données projet'!$A$166&gt;35,DO108+DN109-DW108,IF(A109&lt;'Données projet'!$A$166,$DL$205^A109,IF(A109='Données projet'!$A$166,'Données projet'!$B$166,DO108+DN109-DW108)))</f>
        <v>221.00000000000006</v>
      </c>
      <c r="DP109" s="18">
        <f>DO109*VLOOKUP('Données projet'!$B$14,Paramètres!$A$1:$I$89,3,0)*VLOOKUP('Données projet'!$B$14,Paramètres!$A$1:$I$89,5,0)</f>
        <v>210.30360000000005</v>
      </c>
      <c r="DQ109" s="14">
        <f t="shared" si="97"/>
        <v>52.001924357524459</v>
      </c>
      <c r="DR109" s="22">
        <f t="shared" si="70"/>
        <v>456.84878825602186</v>
      </c>
      <c r="DS109" s="62">
        <f t="shared" si="71"/>
        <v>750.18212158935512</v>
      </c>
      <c r="DT109" s="62">
        <f ca="1">AVERAGE(OFFSET($DS$3,0,0,'Données projet'!$E$14+1,1))-AVERAGE(OFFSET($H$3,0,0,'Données projet'!$E$14+1,1))</f>
        <v>309.55876703480277</v>
      </c>
      <c r="DU109" s="62">
        <f t="shared" si="98"/>
        <v>122.43799205838684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39.202445366976853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39.202445366976853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9.0800000000000125</v>
      </c>
      <c r="EJ109" s="13">
        <f>IF('Données projet'!$A$192&gt;35,EJ108+EI109-ER108,IF(A109&lt;'Données projet'!$A$192,$EG$205^A109,IF(A109='Données projet'!$A$192,'Données projet'!$B$192,EJ108+EI109-ER108)))</f>
        <v>437.91999999999962</v>
      </c>
      <c r="EK109" s="18">
        <f>EJ109*VLOOKUP('Données projet'!$B$15,Paramètres!$A$1:$I$89,3,0)*VLOOKUP('Données projet'!$B$15,Paramètres!$A$1:$I$89,5,0)</f>
        <v>204.94655999999981</v>
      </c>
      <c r="EL109" s="14">
        <f t="shared" si="99"/>
        <v>50.829721281867194</v>
      </c>
      <c r="EM109" s="22">
        <f t="shared" si="73"/>
        <v>445.477023232585</v>
      </c>
      <c r="EN109" s="62">
        <f t="shared" si="74"/>
        <v>738.81035656591826</v>
      </c>
      <c r="EO109" s="62">
        <f ca="1">AVERAGE(OFFSET($EN$3,0,0,'Données projet'!$E$15+1,1))-AVERAGE(OFFSET($H$3,0,0,'Données projet'!$E$15+1,1))</f>
        <v>301.04834785168049</v>
      </c>
      <c r="EP109" s="62">
        <f t="shared" si="100"/>
        <v>164.1450425611464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41.426222716076254</v>
      </c>
      <c r="EW109" s="23">
        <f>EXP(-LN(2)/25)*EW108+(1-EXP(-LN(2)/25))/(LN(2)/25)*Calculateur!ER109*Calculateur!ET109*VLOOKUP('Données projet'!$B$15,Paramètres!$A$1:$I$89,3,0)*0.475*44/12</f>
        <v>24.51308264067811</v>
      </c>
      <c r="EX109" s="23">
        <f>EXP(-LN(2)/2)*EX108+(1-EXP(-LN(2)/2))/(LN(2)/2)*ER109*EU109*VLOOKUP('Données projet'!$B$15,Paramètres!$A$1:$I$89,3,0)*0.475*44/12</f>
        <v>0.3854596943857766</v>
      </c>
      <c r="EY109" s="24">
        <f t="shared" si="75"/>
        <v>66.324765051140133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6.1422222222222222</v>
      </c>
      <c r="FE109" s="13">
        <f>IF('Données projet'!$A$218&gt;35,FE108+FD109-FM108,IF(A109&lt;'Données projet'!$A$218,$FB$205^A109,IF(A109='Données projet'!$A$218,'Données projet'!$B$218,FE108+FD109-FM108)))</f>
        <v>223.06444444444423</v>
      </c>
      <c r="FF109" s="18">
        <f>FE109*VLOOKUP('Données projet'!$B$16,Paramètres!$A$1:$I$89,3,0)*VLOOKUP('Données projet'!$B$16,Paramètres!$A$1:$I$89,5,0)</f>
        <v>201.82870933333314</v>
      </c>
      <c r="FG109" s="14">
        <f t="shared" si="101"/>
        <v>50.145849541363276</v>
      </c>
      <c r="FH109" s="22">
        <f t="shared" si="76"/>
        <v>438.85569004009625</v>
      </c>
      <c r="FI109" s="62">
        <f t="shared" si="77"/>
        <v>732.18902337342956</v>
      </c>
      <c r="FJ109" s="62">
        <f ca="1">AVERAGE(OFFSET($FI$3,0,0,'Données projet'!$E$16+1,1))-AVERAGE(OFFSET($H$3,0,0,'Données projet'!$E$16+1,1))</f>
        <v>330.53726676433649</v>
      </c>
      <c r="FK109" s="62">
        <f t="shared" si="102"/>
        <v>228.01260676706528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23.93975557936368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23.93975557936368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6.1422222222222222</v>
      </c>
      <c r="FZ109" s="13">
        <f>IF('Données projet'!$A$244&gt;35,FZ108+FY109-GH108,IF(A109&lt;'Données projet'!$A$244,$FW$205^A109,IF(A109='Données projet'!$A$244,'Données projet'!$B$244,FZ108+FY109-GH108)))</f>
        <v>223.06444444444423</v>
      </c>
      <c r="GA109" s="18">
        <f>FZ109*VLOOKUP('Données projet'!$B$17,Paramètres!$A$1:$I$89,3,0)*VLOOKUP('Données projet'!$B$17,Paramètres!$A$1:$I$89,5,0)</f>
        <v>254.02578933333308</v>
      </c>
      <c r="GB109" s="14">
        <f t="shared" si="103"/>
        <v>61.447199920082504</v>
      </c>
      <c r="GC109" s="22">
        <f t="shared" si="79"/>
        <v>549.44878961636539</v>
      </c>
      <c r="GD109" s="62">
        <f t="shared" si="80"/>
        <v>842.78212294969876</v>
      </c>
      <c r="GE109" s="62">
        <f ca="1">AVERAGE(OFFSET($GD$3,0,0,'Données projet'!$E$17+1,1))-AVERAGE(OFFSET($H$3,0,0,'Données projet'!$E$17+1,1))</f>
        <v>405.71017054131318</v>
      </c>
      <c r="GF109" s="62">
        <f t="shared" si="104"/>
        <v>276.12900965322166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30.131071677474978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30.131071677474978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6.1422222222222222</v>
      </c>
      <c r="GU109" s="13">
        <f>IF('Données projet'!$A$270&gt;35,GU108+GT109-HC108,IF(A109&lt;'Données projet'!$A$270,$GR$205^A109,IF(A109='Données projet'!$A$270,'Données projet'!$B$270,GU108+GT109-HC108)))</f>
        <v>223.06444444444423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7.9349999999999969</v>
      </c>
      <c r="N110" s="14">
        <f>IF('Données projet'!$A$36&gt;35,N109+M110-V109,IF(A110&lt;'Données projet'!$A$36,$K$205^A110,IF(A110='Données projet'!$A$36,'Données projet'!$B$36,N109+M110-V109)))</f>
        <v>329.02500000000015</v>
      </c>
      <c r="O110" s="14">
        <f>N110*VLOOKUP('Données projet'!$B$9,Paramètres!$A$1:$I$89,3,0)*VLOOKUP('Données projet'!$B$9,Paramètres!$A$1:$I$89,5,0)</f>
        <v>297.70182000000011</v>
      </c>
      <c r="P110" s="14">
        <f t="shared" si="87"/>
        <v>70.69446125561177</v>
      </c>
      <c r="Q110" s="22">
        <f t="shared" si="107"/>
        <v>641.62352318685726</v>
      </c>
      <c r="R110" s="62">
        <f t="shared" si="55"/>
        <v>934.95685652019051</v>
      </c>
      <c r="S110" s="62">
        <f ca="1">AVERAGE(OFFSET($R$3,0,0,'Données projet'!$E$9+1,1))-AVERAGE(OFFSET($H$3,0,0,'Données projet'!$E$9+1,1))</f>
        <v>452.54136967045082</v>
      </c>
      <c r="T110" s="62">
        <f t="shared" si="88"/>
        <v>269.67340993773422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55.351978186769522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55.351978186769522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7.9349999999999969</v>
      </c>
      <c r="BD110" s="13">
        <f>IF('Données projet'!$A$88&gt;35,BD109+BC110-BL109,IF(A110&lt;'Données projet'!$A$88,$BA$205^A110,IF(A110='Données projet'!$A$88,'Données projet'!$B$88,BD109+BC110-BL109)))</f>
        <v>329.02500000000015</v>
      </c>
      <c r="BE110" s="14">
        <f>BD110*VLOOKUP('Données projet'!$B$11,Paramètres!$A$1:$I$89,3,0)*VLOOKUP('Données projet'!$B$11,Paramètres!$A$1:$I$89,5,0)</f>
        <v>333.63135000000017</v>
      </c>
      <c r="BF110" s="14">
        <f t="shared" si="91"/>
        <v>78.182698470317462</v>
      </c>
      <c r="BG110" s="22">
        <f t="shared" si="61"/>
        <v>717.24280108580308</v>
      </c>
      <c r="BH110" s="62">
        <f t="shared" si="62"/>
        <v>1010.5761344191365</v>
      </c>
      <c r="BI110" s="62">
        <f ca="1">AVERAGE(OFFSET($BH$3,0,0,'Données projet'!$E$11+1,1))-AVERAGE(OFFSET($H$3,0,0,'Données projet'!$E$11+1,1))</f>
        <v>502.06005292569733</v>
      </c>
      <c r="BJ110" s="62">
        <f t="shared" si="92"/>
        <v>297.06786598620607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62.032389347241704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62.032389347241704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-2.8421709430404007E-14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-5.1431925385259088E-14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204.787338911576</v>
      </c>
      <c r="CZ110" s="62">
        <f t="shared" si="96"/>
        <v>287.24932051638558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10.189446245415992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10.189446245415992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</v>
      </c>
      <c r="DO110" s="13">
        <f>IF('Données projet'!$A$166&gt;35,DO109+DN110-DW109,IF(A110&lt;'Données projet'!$A$166,$DL$205^A110,IF(A110='Données projet'!$A$166,'Données projet'!$B$166,DO109+DN110-DW109)))</f>
        <v>226.00000000000006</v>
      </c>
      <c r="DP110" s="18">
        <f>DO110*VLOOKUP('Données projet'!$B$14,Paramètres!$A$1:$I$89,3,0)*VLOOKUP('Données projet'!$B$14,Paramètres!$A$1:$I$89,5,0)</f>
        <v>215.06160000000008</v>
      </c>
      <c r="DQ110" s="14">
        <f t="shared" si="97"/>
        <v>53.040134784913185</v>
      </c>
      <c r="DR110" s="22">
        <f t="shared" si="70"/>
        <v>466.94385475039059</v>
      </c>
      <c r="DS110" s="62">
        <f t="shared" si="71"/>
        <v>760.2771880837239</v>
      </c>
      <c r="DT110" s="62">
        <f ca="1">AVERAGE(OFFSET($DS$3,0,0,'Données projet'!$E$14+1,1))-AVERAGE(OFFSET($H$3,0,0,'Données projet'!$E$14+1,1))</f>
        <v>309.55876703480277</v>
      </c>
      <c r="DU110" s="62">
        <f t="shared" si="98"/>
        <v>122.43799205838684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38.433709324461084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38.433709324461084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9.0800000000000125</v>
      </c>
      <c r="EJ110" s="13">
        <f>IF('Données projet'!$A$192&gt;35,EJ109+EI110-ER109,IF(A110&lt;'Données projet'!$A$192,$EG$205^A110,IF(A110='Données projet'!$A$192,'Données projet'!$B$192,EJ109+EI110-ER109)))</f>
        <v>446.99999999999966</v>
      </c>
      <c r="EK110" s="18">
        <f>EJ110*VLOOKUP('Données projet'!$B$15,Paramètres!$A$1:$I$89,3,0)*VLOOKUP('Données projet'!$B$15,Paramètres!$A$1:$I$89,5,0)</f>
        <v>209.19599999999986</v>
      </c>
      <c r="EL110" s="14">
        <f t="shared" si="99"/>
        <v>51.759852265375784</v>
      </c>
      <c r="EM110" s="22">
        <f t="shared" si="73"/>
        <v>454.49810936219592</v>
      </c>
      <c r="EN110" s="62">
        <f t="shared" si="74"/>
        <v>747.83144269552918</v>
      </c>
      <c r="EO110" s="62">
        <f ca="1">AVERAGE(OFFSET($EN$3,0,0,'Données projet'!$E$15+1,1))-AVERAGE(OFFSET($H$3,0,0,'Données projet'!$E$15+1,1))</f>
        <v>301.04834785168049</v>
      </c>
      <c r="EP110" s="62">
        <f t="shared" si="100"/>
        <v>164.1450425611464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40.613879756114898</v>
      </c>
      <c r="EW110" s="23">
        <f>EXP(-LN(2)/25)*EW109+(1-EXP(-LN(2)/25))/(LN(2)/25)*Calculateur!ER110*Calculateur!ET110*VLOOKUP('Données projet'!$B$15,Paramètres!$A$1:$I$89,3,0)*0.475*44/12</f>
        <v>23.842771106781775</v>
      </c>
      <c r="EX110" s="23">
        <f>EXP(-LN(2)/2)*EX109+(1-EXP(-LN(2)/2))/(LN(2)/2)*ER110*EU110*VLOOKUP('Données projet'!$B$15,Paramètres!$A$1:$I$89,3,0)*0.475*44/12</f>
        <v>0.2725611637742768</v>
      </c>
      <c r="EY110" s="24">
        <f t="shared" si="75"/>
        <v>64.72921202667095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6.1422222222222222</v>
      </c>
      <c r="FE110" s="13">
        <f>IF('Données projet'!$A$218&gt;35,FE109+FD110-FM109,IF(A110&lt;'Données projet'!$A$218,$FB$205^A110,IF(A110='Données projet'!$A$218,'Données projet'!$B$218,FE109+FD110-FM109)))</f>
        <v>229.20666666666645</v>
      </c>
      <c r="FF110" s="18">
        <f>FE110*VLOOKUP('Données projet'!$B$16,Paramètres!$A$1:$I$89,3,0)*VLOOKUP('Données projet'!$B$16,Paramètres!$A$1:$I$89,5,0)</f>
        <v>207.38619199999977</v>
      </c>
      <c r="FG110" s="14">
        <f t="shared" si="101"/>
        <v>51.363987194835182</v>
      </c>
      <c r="FH110" s="22">
        <f t="shared" si="76"/>
        <v>450.65656209767093</v>
      </c>
      <c r="FI110" s="62">
        <f t="shared" si="77"/>
        <v>743.98989543100424</v>
      </c>
      <c r="FJ110" s="62">
        <f ca="1">AVERAGE(OFFSET($FI$3,0,0,'Données projet'!$E$16+1,1))-AVERAGE(OFFSET($H$3,0,0,'Données projet'!$E$16+1,1))</f>
        <v>330.53726676433649</v>
      </c>
      <c r="FK110" s="62">
        <f t="shared" si="102"/>
        <v>228.01260676706528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23.470311574261455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23.470311574261455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6.1422222222222222</v>
      </c>
      <c r="FZ110" s="13">
        <f>IF('Données projet'!$A$244&gt;35,FZ109+FY110-GH109,IF(A110&lt;'Données projet'!$A$244,$FW$205^A110,IF(A110='Données projet'!$A$244,'Données projet'!$B$244,FZ109+FY110-GH109)))</f>
        <v>229.20666666666645</v>
      </c>
      <c r="GA110" s="18">
        <f>FZ110*VLOOKUP('Données projet'!$B$17,Paramètres!$A$1:$I$89,3,0)*VLOOKUP('Données projet'!$B$17,Paramètres!$A$1:$I$89,5,0)</f>
        <v>261.02055199999978</v>
      </c>
      <c r="GB110" s="14">
        <f t="shared" si="103"/>
        <v>62.939868777179683</v>
      </c>
      <c r="GC110" s="22">
        <f t="shared" si="79"/>
        <v>564.23106618692088</v>
      </c>
      <c r="GD110" s="62">
        <f t="shared" si="80"/>
        <v>857.56439952025426</v>
      </c>
      <c r="GE110" s="62">
        <f ca="1">AVERAGE(OFFSET($GD$3,0,0,'Données projet'!$E$17+1,1))-AVERAGE(OFFSET($H$3,0,0,'Données projet'!$E$17+1,1))</f>
        <v>405.71017054131318</v>
      </c>
      <c r="GF110" s="62">
        <f t="shared" si="104"/>
        <v>276.12900965322166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29.540219740018728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29.540219740018728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6.1422222222222222</v>
      </c>
      <c r="GU110" s="13">
        <f>IF('Données projet'!$A$270&gt;35,GU109+GT110-HC109,IF(A110&lt;'Données projet'!$A$270,$GR$205^A110,IF(A110='Données projet'!$A$270,'Données projet'!$B$270,GU109+GT110-HC109)))</f>
        <v>229.20666666666645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7.9349999999999969</v>
      </c>
      <c r="N111" s="14">
        <f>IF('Données projet'!$A$36&gt;35,N110+M111-V110,IF(A111&lt;'Données projet'!$A$36,$K$205^A111,IF(A111='Données projet'!$A$36,'Données projet'!$B$36,N110+M111-V110)))</f>
        <v>336.96000000000015</v>
      </c>
      <c r="O111" s="14">
        <f>N111*VLOOKUP('Données projet'!$B$9,Paramètres!$A$1:$I$89,3,0)*VLOOKUP('Données projet'!$B$9,Paramètres!$A$1:$I$89,5,0)</f>
        <v>304.88140800000014</v>
      </c>
      <c r="P111" s="14">
        <f t="shared" si="87"/>
        <v>72.198830820277323</v>
      </c>
      <c r="Q111" s="22">
        <f t="shared" si="107"/>
        <v>656.74808261198325</v>
      </c>
      <c r="R111" s="62">
        <f t="shared" si="55"/>
        <v>950.08141594531662</v>
      </c>
      <c r="S111" s="62">
        <f ca="1">AVERAGE(OFFSET($R$3,0,0,'Données projet'!$E$9+1,1))-AVERAGE(OFFSET($H$3,0,0,'Données projet'!$E$9+1,1))</f>
        <v>452.54136967045082</v>
      </c>
      <c r="T111" s="62">
        <f t="shared" si="88"/>
        <v>269.67340993773422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54.266559655900004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54.266559655900004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7.9349999999999969</v>
      </c>
      <c r="BD111" s="13">
        <f>IF('Données projet'!$A$88&gt;35,BD110+BC111-BL110,IF(A111&lt;'Données projet'!$A$88,$BA$205^A111,IF(A111='Données projet'!$A$88,'Données projet'!$B$88,BD110+BC111-BL110)))</f>
        <v>336.96000000000015</v>
      </c>
      <c r="BE111" s="14">
        <f>BD111*VLOOKUP('Données projet'!$B$11,Paramètres!$A$1:$I$89,3,0)*VLOOKUP('Données projet'!$B$11,Paramètres!$A$1:$I$89,5,0)</f>
        <v>341.67744000000022</v>
      </c>
      <c r="BF111" s="14">
        <f t="shared" si="91"/>
        <v>79.846416815053175</v>
      </c>
      <c r="BG111" s="22">
        <f t="shared" si="61"/>
        <v>734.15405061955119</v>
      </c>
      <c r="BH111" s="62">
        <f t="shared" si="62"/>
        <v>1027.4873839528846</v>
      </c>
      <c r="BI111" s="62">
        <f ca="1">AVERAGE(OFFSET($BH$3,0,0,'Données projet'!$E$11+1,1))-AVERAGE(OFFSET($H$3,0,0,'Données projet'!$E$11+1,1))</f>
        <v>502.06005292569733</v>
      </c>
      <c r="BJ111" s="62">
        <f t="shared" si="92"/>
        <v>297.06786598620607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60.815972028163799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60.815972028163799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-2.8421709430404007E-14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-5.1431925385259088E-14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204.787338911576</v>
      </c>
      <c r="CZ111" s="62">
        <f t="shared" si="96"/>
        <v>287.24932051638558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9.9896374194919186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9.9896374194919186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</v>
      </c>
      <c r="DO111" s="13">
        <f>IF('Données projet'!$A$166&gt;35,DO110+DN111-DW110,IF(A111&lt;'Données projet'!$A$166,$DL$205^A111,IF(A111='Données projet'!$A$166,'Données projet'!$B$166,DO110+DN111-DW110)))</f>
        <v>231.00000000000006</v>
      </c>
      <c r="DP111" s="18">
        <f>DO111*VLOOKUP('Données projet'!$B$14,Paramètres!$A$1:$I$89,3,0)*VLOOKUP('Données projet'!$B$14,Paramètres!$A$1:$I$89,5,0)</f>
        <v>219.81960000000004</v>
      </c>
      <c r="DQ111" s="14">
        <f t="shared" si="97"/>
        <v>54.075674800133456</v>
      </c>
      <c r="DR111" s="22">
        <f t="shared" si="70"/>
        <v>477.03427027689918</v>
      </c>
      <c r="DS111" s="62">
        <f t="shared" si="71"/>
        <v>770.36760361023244</v>
      </c>
      <c r="DT111" s="62">
        <f ca="1">AVERAGE(OFFSET($DS$3,0,0,'Données projet'!$E$14+1,1))-AVERAGE(OFFSET($H$3,0,0,'Données projet'!$E$14+1,1))</f>
        <v>309.55876703480277</v>
      </c>
      <c r="DU111" s="62">
        <f t="shared" si="98"/>
        <v>122.43799205838684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37.680047726856358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37.680047726856358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9.0800000000000125</v>
      </c>
      <c r="EJ111" s="13">
        <f>IF('Données projet'!$A$192&gt;35,EJ110+EI111-ER110,IF(A111&lt;'Données projet'!$A$192,$EG$205^A111,IF(A111='Données projet'!$A$192,'Données projet'!$B$192,EJ110+EI111-ER110)))</f>
        <v>456.0799999999997</v>
      </c>
      <c r="EK111" s="18">
        <f>EJ111*VLOOKUP('Données projet'!$B$15,Paramètres!$A$1:$I$89,3,0)*VLOOKUP('Données projet'!$B$15,Paramètres!$A$1:$I$89,5,0)</f>
        <v>213.44543999999985</v>
      </c>
      <c r="EL111" s="14">
        <f t="shared" si="99"/>
        <v>52.687786433025259</v>
      </c>
      <c r="EM111" s="22">
        <f t="shared" si="73"/>
        <v>463.51536937085211</v>
      </c>
      <c r="EN111" s="62">
        <f t="shared" si="74"/>
        <v>756.84870270418537</v>
      </c>
      <c r="EO111" s="62">
        <f ca="1">AVERAGE(OFFSET($EN$3,0,0,'Données projet'!$E$15+1,1))-AVERAGE(OFFSET($H$3,0,0,'Données projet'!$E$15+1,1))</f>
        <v>301.04834785168049</v>
      </c>
      <c r="EP111" s="62">
        <f t="shared" si="100"/>
        <v>164.1450425611464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39.817466346118103</v>
      </c>
      <c r="EW111" s="23">
        <f>EXP(-LN(2)/25)*EW110+(1-EXP(-LN(2)/25))/(LN(2)/25)*Calculateur!ER111*Calculateur!ET111*VLOOKUP('Données projet'!$B$15,Paramètres!$A$1:$I$89,3,0)*0.475*44/12</f>
        <v>23.190789277029989</v>
      </c>
      <c r="EX111" s="23">
        <f>EXP(-LN(2)/2)*EX110+(1-EXP(-LN(2)/2))/(LN(2)/2)*ER111*EU111*VLOOKUP('Données projet'!$B$15,Paramètres!$A$1:$I$89,3,0)*0.475*44/12</f>
        <v>0.1927298471928883</v>
      </c>
      <c r="EY111" s="24">
        <f t="shared" si="75"/>
        <v>63.200985470340974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6.1422222222222222</v>
      </c>
      <c r="FE111" s="13">
        <f>IF('Données projet'!$A$218&gt;35,FE110+FD111-FM110,IF(A111&lt;'Données projet'!$A$218,$FB$205^A111,IF(A111='Données projet'!$A$218,'Données projet'!$B$218,FE110+FD111-FM110)))</f>
        <v>235.34888888888867</v>
      </c>
      <c r="FF111" s="18">
        <f>FE111*VLOOKUP('Données projet'!$B$16,Paramètres!$A$1:$I$89,3,0)*VLOOKUP('Données projet'!$B$16,Paramètres!$A$1:$I$89,5,0)</f>
        <v>212.94367466666648</v>
      </c>
      <c r="FG111" s="14">
        <f t="shared" si="101"/>
        <v>52.578330603073525</v>
      </c>
      <c r="FH111" s="22">
        <f t="shared" si="76"/>
        <v>462.45082584479718</v>
      </c>
      <c r="FI111" s="62">
        <f t="shared" si="77"/>
        <v>755.78415917813049</v>
      </c>
      <c r="FJ111" s="62">
        <f ca="1">AVERAGE(OFFSET($FI$3,0,0,'Données projet'!$E$16+1,1))-AVERAGE(OFFSET($H$3,0,0,'Données projet'!$E$16+1,1))</f>
        <v>330.53726676433649</v>
      </c>
      <c r="FK111" s="62">
        <f t="shared" si="102"/>
        <v>228.01260676706528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23.010073079766713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23.010073079766713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6.1422222222222222</v>
      </c>
      <c r="FZ111" s="13">
        <f>IF('Données projet'!$A$244&gt;35,FZ110+FY111-GH110,IF(A111&lt;'Données projet'!$A$244,$FW$205^A111,IF(A111='Données projet'!$A$244,'Données projet'!$B$244,FZ110+FY111-GH110)))</f>
        <v>235.34888888888867</v>
      </c>
      <c r="GA111" s="18">
        <f>FZ111*VLOOKUP('Données projet'!$B$17,Paramètres!$A$1:$I$89,3,0)*VLOOKUP('Données projet'!$B$17,Paramètres!$A$1:$I$89,5,0)</f>
        <v>268.01531466666643</v>
      </c>
      <c r="GB111" s="14">
        <f t="shared" si="103"/>
        <v>64.427888281487881</v>
      </c>
      <c r="GC111" s="22">
        <f t="shared" si="79"/>
        <v>579.00524513470202</v>
      </c>
      <c r="GD111" s="62">
        <f t="shared" si="80"/>
        <v>872.33857846803539</v>
      </c>
      <c r="GE111" s="62">
        <f ca="1">AVERAGE(OFFSET($GD$3,0,0,'Données projet'!$E$17+1,1))-AVERAGE(OFFSET($H$3,0,0,'Données projet'!$E$17+1,1))</f>
        <v>405.71017054131318</v>
      </c>
      <c r="GF111" s="62">
        <f t="shared" si="104"/>
        <v>276.12900965322166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28.960954048671898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28.960954048671898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6.1422222222222222</v>
      </c>
      <c r="GU111" s="13">
        <f>IF('Données projet'!$A$270&gt;35,GU110+GT111-HC110,IF(A111&lt;'Données projet'!$A$270,$GR$205^A111,IF(A111='Données projet'!$A$270,'Données projet'!$B$270,GU110+GT111-HC110)))</f>
        <v>235.34888888888867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7.9349999999999969</v>
      </c>
      <c r="N112" s="14">
        <f>IF('Données projet'!$A$36&gt;35,N111+M112-V111,IF(A112&lt;'Données projet'!$A$36,$K$205^A112,IF(A112='Données projet'!$A$36,'Données projet'!$B$36,N111+M112-V111)))</f>
        <v>344.89500000000015</v>
      </c>
      <c r="O112" s="14">
        <f>N112*VLOOKUP('Données projet'!$B$9,Paramètres!$A$1:$I$89,3,0)*VLOOKUP('Données projet'!$B$9,Paramètres!$A$1:$I$89,5,0)</f>
        <v>312.0609960000001</v>
      </c>
      <c r="P112" s="14">
        <f t="shared" si="87"/>
        <v>73.699082033131035</v>
      </c>
      <c r="Q112" s="22">
        <f t="shared" si="107"/>
        <v>671.86546924103675</v>
      </c>
      <c r="R112" s="62">
        <f t="shared" si="55"/>
        <v>965.19880257437012</v>
      </c>
      <c r="S112" s="62">
        <f ca="1">AVERAGE(OFFSET($R$3,0,0,'Données projet'!$E$9+1,1))-AVERAGE(OFFSET($H$3,0,0,'Données projet'!$E$9+1,1))</f>
        <v>452.54136967045082</v>
      </c>
      <c r="T112" s="62">
        <f t="shared" si="88"/>
        <v>269.67340993773422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53.202425520380906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53.202425520380906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7.9349999999999969</v>
      </c>
      <c r="BD112" s="13">
        <f>IF('Données projet'!$A$88&gt;35,BD111+BC112-BL111,IF(A112&lt;'Données projet'!$A$88,$BA$205^A112,IF(A112='Données projet'!$A$88,'Données projet'!$B$88,BD111+BC112-BL111)))</f>
        <v>344.89500000000015</v>
      </c>
      <c r="BE112" s="14">
        <f>BD112*VLOOKUP('Données projet'!$B$11,Paramètres!$A$1:$I$89,3,0)*VLOOKUP('Données projet'!$B$11,Paramètres!$A$1:$I$89,5,0)</f>
        <v>349.72353000000015</v>
      </c>
      <c r="BF112" s="14">
        <f t="shared" si="91"/>
        <v>81.50558057584864</v>
      </c>
      <c r="BG112" s="22">
        <f t="shared" si="61"/>
        <v>751.05736758626983</v>
      </c>
      <c r="BH112" s="62">
        <f t="shared" si="62"/>
        <v>1044.3907009196032</v>
      </c>
      <c r="BI112" s="62">
        <f ca="1">AVERAGE(OFFSET($BH$3,0,0,'Données projet'!$E$11+1,1))-AVERAGE(OFFSET($H$3,0,0,'Données projet'!$E$11+1,1))</f>
        <v>502.06005292569733</v>
      </c>
      <c r="BJ112" s="62">
        <f t="shared" si="92"/>
        <v>297.06786598620607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59.623407910771711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59.623407910771711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-2.8421709430404007E-14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-5.1431925385259088E-14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204.787338911576</v>
      </c>
      <c r="CZ112" s="62">
        <f t="shared" si="96"/>
        <v>287.24932051638558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9.7937467227728661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9.7937467227728661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5</v>
      </c>
      <c r="DO112" s="13">
        <f>IF('Données projet'!$A$166&gt;35,DO111+DN112-DW111,IF(A112&lt;'Données projet'!$A$166,$DL$205^A112,IF(A112='Données projet'!$A$166,'Données projet'!$B$166,DO111+DN112-DW111)))</f>
        <v>236.00000000000006</v>
      </c>
      <c r="DP112" s="18">
        <f>DO112*VLOOKUP('Données projet'!$B$14,Paramètres!$A$1:$I$89,3,0)*VLOOKUP('Données projet'!$B$14,Paramètres!$A$1:$I$89,5,0)</f>
        <v>224.57760000000007</v>
      </c>
      <c r="DQ112" s="14">
        <f t="shared" si="97"/>
        <v>55.10860886131028</v>
      </c>
      <c r="DR112" s="22">
        <f t="shared" si="70"/>
        <v>487.12014710011562</v>
      </c>
      <c r="DS112" s="62">
        <f t="shared" si="71"/>
        <v>780.45348043344893</v>
      </c>
      <c r="DT112" s="62">
        <f ca="1">AVERAGE(OFFSET($DS$3,0,0,'Données projet'!$E$14+1,1))-AVERAGE(OFFSET($H$3,0,0,'Données projet'!$E$14+1,1))</f>
        <v>309.55876703480277</v>
      </c>
      <c r="DU112" s="62">
        <f t="shared" si="98"/>
        <v>122.43799205838684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36.941164973492477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36.941164973492477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>
        <f>VLOOKUP(A112,'Données projet'!$A$191:$I$211,2,0)</f>
        <v>465.16</v>
      </c>
      <c r="EH112" s="13">
        <f>VLOOKUP(A112,'Données projet'!$A$191:$I$211,9,0)</f>
        <v>9.0800000000000125</v>
      </c>
      <c r="EI112" s="13">
        <f t="array" ref="EI112">INDEX(EH:EH,MIN(IF(ISNUMBER(EH112:EH308),ROW(EH112:EH308),"")))</f>
        <v>9.0800000000000125</v>
      </c>
      <c r="EJ112" s="13">
        <f>IF('Données projet'!$A$192&gt;35,EJ111+EI112-ER111,IF(A112&lt;'Données projet'!$A$192,$EG$205^A112,IF(A112='Données projet'!$A$192,'Données projet'!$B$192,EJ111+EI112-ER111)))</f>
        <v>465.15999999999974</v>
      </c>
      <c r="EK112" s="18">
        <f>EJ112*VLOOKUP('Données projet'!$B$15,Paramètres!$A$1:$I$89,3,0)*VLOOKUP('Données projet'!$B$15,Paramètres!$A$1:$I$89,5,0)</f>
        <v>217.69487999999987</v>
      </c>
      <c r="EL112" s="14">
        <f t="shared" si="99"/>
        <v>53.613572561591639</v>
      </c>
      <c r="EM112" s="22">
        <f t="shared" si="73"/>
        <v>472.52888821143847</v>
      </c>
      <c r="EN112" s="62">
        <f t="shared" si="74"/>
        <v>765.86222154477173</v>
      </c>
      <c r="EO112" s="62">
        <f ca="1">AVERAGE(OFFSET($EN$3,0,0,'Données projet'!$E$15+1,1))-AVERAGE(OFFSET($H$3,0,0,'Données projet'!$E$15+1,1))</f>
        <v>301.04834785168049</v>
      </c>
      <c r="EP112" s="62">
        <f t="shared" si="100"/>
        <v>164.1450425611464</v>
      </c>
      <c r="EQ112" s="16">
        <f>IF(ISNA(VLOOKUP(A112,'Données projet'!$A$191:$I$211,3,0)),0,VLOOKUP(A112,'Données projet'!$A$191:$I$211,3,0))</f>
        <v>6</v>
      </c>
      <c r="ER112" s="16">
        <f>IF(ISNA(VLOOKUP(A112,'Données projet'!$A$191:$I$211,4,0)),0,VLOOKUP(A112,'Données projet'!$A$191:$I$211,4,0))</f>
        <v>91.09</v>
      </c>
      <c r="ES112" s="17">
        <f>IF(ISNA(VLOOKUP(A112,'Données projet'!$A$191:$I$211,5,0)),0%,VLOOKUP(A112,'Données projet'!$A$191:$I$211,5,0)*VLOOKUP('Données projet'!$B$15,Paramètres!$A$1:$I$89,7,0))</f>
        <v>0.38500000000000001</v>
      </c>
      <c r="ET112" s="17">
        <f>IF(ISNA(VLOOKUP(A112,'Données projet'!$A$191:$I$211,6,0)),0%,VLOOKUP(A112,'Données projet'!$A$191:$I$211,6,0)*VLOOKUP('Données projet'!$B$15,Paramètres!$A$1:$I$89,7,0))</f>
        <v>9.3500000000000014E-2</v>
      </c>
      <c r="EU112" s="17">
        <f>IF(ISNA(VLOOKUP(A112,'Données projet'!$A$191:$I$211,7,0)),0%,VLOOKUP(A112,'Données projet'!$A$191:$I$211,7,0))</f>
        <v>0.13</v>
      </c>
      <c r="EV112" s="23">
        <f>EXP(-LN(2)/35)*EV111+(1-EXP(-LN(2)/35))/(LN(2)/35)*ER112*ES112*VLOOKUP('Données projet'!$B$15,Paramètres!$A$1:$I$89,3,0)*0.475*44/12</f>
        <v>60.809036857729197</v>
      </c>
      <c r="EW112" s="23">
        <f>EXP(-LN(2)/25)*EW111+(1-EXP(-LN(2)/25))/(LN(2)/25)*Calculateur!ER112*Calculateur!ET112*VLOOKUP('Données projet'!$B$15,Paramètres!$A$1:$I$89,3,0)*0.475*44/12</f>
        <v>27.823391507878867</v>
      </c>
      <c r="EX112" s="23">
        <f>EXP(-LN(2)/2)*EX111+(1-EXP(-LN(2)/2))/(LN(2)/2)*ER112*EU112*VLOOKUP('Données projet'!$B$15,Paramètres!$A$1:$I$89,3,0)*0.475*44/12</f>
        <v>6.4110164143729014</v>
      </c>
      <c r="EY112" s="24">
        <f t="shared" si="75"/>
        <v>95.043444779980959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6.1422222222222222</v>
      </c>
      <c r="FE112" s="13">
        <f>IF('Données projet'!$A$218&gt;35,FE111+FD112-FM111,IF(A112&lt;'Données projet'!$A$218,$FB$205^A112,IF(A112='Données projet'!$A$218,'Données projet'!$B$218,FE111+FD112-FM111)))</f>
        <v>241.49111111111088</v>
      </c>
      <c r="FF112" s="18">
        <f>FE112*VLOOKUP('Données projet'!$B$16,Paramètres!$A$1:$I$89,3,0)*VLOOKUP('Données projet'!$B$16,Paramètres!$A$1:$I$89,5,0)</f>
        <v>218.50115733333311</v>
      </c>
      <c r="FG112" s="14">
        <f t="shared" si="101"/>
        <v>53.788990173661979</v>
      </c>
      <c r="FH112" s="22">
        <f t="shared" si="76"/>
        <v>474.23867357468311</v>
      </c>
      <c r="FI112" s="62">
        <f t="shared" si="77"/>
        <v>767.57200690801642</v>
      </c>
      <c r="FJ112" s="62">
        <f ca="1">AVERAGE(OFFSET($FI$3,0,0,'Données projet'!$E$16+1,1))-AVERAGE(OFFSET($H$3,0,0,'Données projet'!$E$16+1,1))</f>
        <v>330.53726676433649</v>
      </c>
      <c r="FK112" s="62">
        <f t="shared" si="102"/>
        <v>228.01260676706528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22.55885958143125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22.55885958143125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6.1422222222222222</v>
      </c>
      <c r="FZ112" s="13">
        <f>IF('Données projet'!$A$244&gt;35,FZ111+FY112-GH111,IF(A112&lt;'Données projet'!$A$244,$FW$205^A112,IF(A112='Données projet'!$A$244,'Données projet'!$B$244,FZ111+FY112-GH111)))</f>
        <v>241.49111111111088</v>
      </c>
      <c r="GA112" s="18">
        <f>FZ112*VLOOKUP('Données projet'!$B$17,Paramètres!$A$1:$I$89,3,0)*VLOOKUP('Données projet'!$B$17,Paramètres!$A$1:$I$89,5,0)</f>
        <v>275.01007733333307</v>
      </c>
      <c r="GB112" s="14">
        <f t="shared" si="103"/>
        <v>65.911393723104695</v>
      </c>
      <c r="GC112" s="22">
        <f t="shared" si="79"/>
        <v>593.77156208996246</v>
      </c>
      <c r="GD112" s="62">
        <f t="shared" si="80"/>
        <v>887.10489542329583</v>
      </c>
      <c r="GE112" s="62">
        <f ca="1">AVERAGE(OFFSET($GD$3,0,0,'Données projet'!$E$17+1,1))-AVERAGE(OFFSET($H$3,0,0,'Données projet'!$E$17+1,1))</f>
        <v>405.71017054131318</v>
      </c>
      <c r="GF112" s="62">
        <f t="shared" si="104"/>
        <v>276.12900965322166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28.393047404215192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28.393047404215192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6.1422222222222222</v>
      </c>
      <c r="GU112" s="13">
        <f>IF('Données projet'!$A$270&gt;35,GU111+GT112-HC111,IF(A112&lt;'Données projet'!$A$270,$GR$205^A112,IF(A112='Données projet'!$A$270,'Données projet'!$B$270,GU111+GT112-HC111)))</f>
        <v>241.49111111111088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7.9349999999999969</v>
      </c>
      <c r="N113" s="14">
        <f>IF('Données projet'!$A$36&gt;35,N112+M113-V112,IF(A113&lt;'Données projet'!$A$36,$K$205^A113,IF(A113='Données projet'!$A$36,'Données projet'!$B$36,N112+M113-V112)))</f>
        <v>352.83000000000015</v>
      </c>
      <c r="O113" s="14">
        <f>N113*VLOOKUP('Données projet'!$B$9,Paramètres!$A$1:$I$89,3,0)*VLOOKUP('Données projet'!$B$9,Paramètres!$A$1:$I$89,5,0)</f>
        <v>319.24058400000013</v>
      </c>
      <c r="P113" s="14">
        <f t="shared" si="87"/>
        <v>75.195320551435103</v>
      </c>
      <c r="Q113" s="22">
        <f t="shared" si="107"/>
        <v>686.97586709374957</v>
      </c>
      <c r="R113" s="62">
        <f t="shared" si="55"/>
        <v>980.30920042708294</v>
      </c>
      <c r="S113" s="62">
        <f ca="1">AVERAGE(OFFSET($R$3,0,0,'Données projet'!$E$9+1,1))-AVERAGE(OFFSET($H$3,0,0,'Données projet'!$E$9+1,1))</f>
        <v>452.54136967045082</v>
      </c>
      <c r="T113" s="62">
        <f t="shared" si="88"/>
        <v>269.67340993773422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52.159158406201605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52.159158406201605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7.9349999999999969</v>
      </c>
      <c r="BD113" s="13">
        <f>IF('Données projet'!$A$88&gt;35,BD112+BC113-BL112,IF(A113&lt;'Données projet'!$A$88,$BA$205^A113,IF(A113='Données projet'!$A$88,'Données projet'!$B$88,BD112+BC113-BL112)))</f>
        <v>352.83000000000015</v>
      </c>
      <c r="BE113" s="14">
        <f>BD113*VLOOKUP('Données projet'!$B$11,Paramètres!$A$1:$I$89,3,0)*VLOOKUP('Données projet'!$B$11,Paramètres!$A$1:$I$89,5,0)</f>
        <v>357.76962000000015</v>
      </c>
      <c r="BF113" s="14">
        <f t="shared" si="91"/>
        <v>83.160306601601548</v>
      </c>
      <c r="BG113" s="22">
        <f t="shared" si="61"/>
        <v>767.9529554977895</v>
      </c>
      <c r="BH113" s="62">
        <f t="shared" si="62"/>
        <v>1061.2862888311229</v>
      </c>
      <c r="BI113" s="62">
        <f ca="1">AVERAGE(OFFSET($BH$3,0,0,'Données projet'!$E$11+1,1))-AVERAGE(OFFSET($H$3,0,0,'Données projet'!$E$11+1,1))</f>
        <v>502.06005292569733</v>
      </c>
      <c r="BJ113" s="62">
        <f t="shared" si="92"/>
        <v>297.06786598620607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58.454229248329391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58.454229248329391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-2.8421709430404007E-14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-5.1431925385259088E-14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204.787338911576</v>
      </c>
      <c r="CZ113" s="62">
        <f t="shared" si="96"/>
        <v>287.24932051638558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9.6016973231349478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9.6016973231349478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241</v>
      </c>
      <c r="DM113" s="13">
        <f>VLOOKUP(A113,'Données projet'!$A$165:$I$185,9,0)</f>
        <v>5</v>
      </c>
      <c r="DN113" s="13">
        <f t="array" ref="DN113">INDEX(DM:DM,MIN(IF(ISNUMBER(DM113:DM309),ROW(DM113:DM309),"")))</f>
        <v>5</v>
      </c>
      <c r="DO113" s="13">
        <f>IF('Données projet'!$A$166&gt;35,DO112+DN113-DW112,IF(A113&lt;'Données projet'!$A$166,$DL$205^A113,IF(A113='Données projet'!$A$166,'Données projet'!$B$166,DO112+DN113-DW112)))</f>
        <v>241.00000000000006</v>
      </c>
      <c r="DP113" s="18">
        <f>DO113*VLOOKUP('Données projet'!$B$14,Paramètres!$A$1:$I$89,3,0)*VLOOKUP('Données projet'!$B$14,Paramètres!$A$1:$I$89,5,0)</f>
        <v>229.33560000000003</v>
      </c>
      <c r="DQ113" s="14">
        <f t="shared" si="97"/>
        <v>56.138998539243907</v>
      </c>
      <c r="DR113" s="22">
        <f t="shared" si="70"/>
        <v>497.20159245584978</v>
      </c>
      <c r="DS113" s="62">
        <f t="shared" si="71"/>
        <v>790.53492578918303</v>
      </c>
      <c r="DT113" s="62">
        <f ca="1">AVERAGE(OFFSET($DS$3,0,0,'Données projet'!$E$14+1,1))-AVERAGE(OFFSET($H$3,0,0,'Données projet'!$E$14+1,1))</f>
        <v>309.55876703480277</v>
      </c>
      <c r="DU113" s="62">
        <f t="shared" si="98"/>
        <v>122.43799205838684</v>
      </c>
      <c r="DV113" s="16">
        <f>IF(ISNA(VLOOKUP(A113,'Données projet'!$A$165:$I$185,3,0)),0,VLOOKUP(A113,'Données projet'!$A$165:$I$185,3,0))</f>
        <v>15</v>
      </c>
      <c r="DW113" s="16">
        <f>IF(ISNA(VLOOKUP(A113,'Données projet'!$A$165:$I$185,4,0)),0,VLOOKUP(A113,'Données projet'!$A$165:$I$185,4,0))</f>
        <v>21</v>
      </c>
      <c r="DX113" s="17">
        <f>IF(ISNA(VLOOKUP(A113,'Données projet'!$A$165:$I$185,5,0)),0%,VLOOKUP(A113,'Données projet'!$A$165:$I$185,5,0)*VLOOKUP('Données projet'!$B$14,Paramètres!$A$1:$I$89,7,0))</f>
        <v>0.30099999999999999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42.86624590105491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42.86624590105491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8.1166666666666547</v>
      </c>
      <c r="EJ113" s="13">
        <f>IF('Données projet'!$A$192&gt;35,EJ112+EI113-ER112,IF(A113&lt;'Données projet'!$A$192,$EG$205^A113,IF(A113='Données projet'!$A$192,'Données projet'!$B$192,EJ112+EI113-ER112)))</f>
        <v>382.18666666666638</v>
      </c>
      <c r="EK113" s="18">
        <f>EJ113*VLOOKUP('Données projet'!$B$15,Paramètres!$A$1:$I$89,3,0)*VLOOKUP('Données projet'!$B$15,Paramètres!$A$1:$I$89,5,0)</f>
        <v>178.86335999999986</v>
      </c>
      <c r="EL113" s="14">
        <f t="shared" si="99"/>
        <v>45.069211551412238</v>
      </c>
      <c r="EM113" s="22">
        <f t="shared" si="73"/>
        <v>390.01589545204268</v>
      </c>
      <c r="EN113" s="62">
        <f t="shared" si="74"/>
        <v>683.349228785376</v>
      </c>
      <c r="EO113" s="62">
        <f ca="1">AVERAGE(OFFSET($EN$3,0,0,'Données projet'!$E$15+1,1))-AVERAGE(OFFSET($H$3,0,0,'Données projet'!$E$15+1,1))</f>
        <v>301.04834785168049</v>
      </c>
      <c r="EP113" s="62">
        <f t="shared" si="100"/>
        <v>164.1450425611464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59.616608734799293</v>
      </c>
      <c r="EW113" s="23">
        <f>EXP(-LN(2)/25)*EW112+(1-EXP(-LN(2)/25))/(LN(2)/25)*Calculateur!ER113*Calculateur!ET113*VLOOKUP('Données projet'!$B$15,Paramètres!$A$1:$I$89,3,0)*0.475*44/12</f>
        <v>27.062559403927352</v>
      </c>
      <c r="EX113" s="23">
        <f>EXP(-LN(2)/2)*EX112+(1-EXP(-LN(2)/2))/(LN(2)/2)*ER113*EU113*VLOOKUP('Données projet'!$B$15,Paramètres!$A$1:$I$89,3,0)*0.475*44/12</f>
        <v>4.533273180901344</v>
      </c>
      <c r="EY113" s="24">
        <f t="shared" si="75"/>
        <v>91.212441319627999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6.1422222222222222</v>
      </c>
      <c r="FE113" s="13">
        <f>IF('Données projet'!$A$218&gt;35,FE112+FD113-FM112,IF(A113&lt;'Données projet'!$A$218,$FB$205^A113,IF(A113='Données projet'!$A$218,'Données projet'!$B$218,FE112+FD113-FM112)))</f>
        <v>247.6333333333331</v>
      </c>
      <c r="FF113" s="18">
        <f>FE113*VLOOKUP('Données projet'!$B$16,Paramètres!$A$1:$I$89,3,0)*VLOOKUP('Données projet'!$B$16,Paramètres!$A$1:$I$89,5,0)</f>
        <v>224.05863999999977</v>
      </c>
      <c r="FG113" s="14">
        <f t="shared" si="101"/>
        <v>54.996070377833334</v>
      </c>
      <c r="FH113" s="22">
        <f t="shared" si="76"/>
        <v>486.02028724139268</v>
      </c>
      <c r="FI113" s="62">
        <f t="shared" si="77"/>
        <v>779.35362057472594</v>
      </c>
      <c r="FJ113" s="62">
        <f ca="1">AVERAGE(OFFSET($FI$3,0,0,'Données projet'!$E$16+1,1))-AVERAGE(OFFSET($H$3,0,0,'Données projet'!$E$16+1,1))</f>
        <v>330.53726676433649</v>
      </c>
      <c r="FK113" s="62">
        <f t="shared" si="102"/>
        <v>228.01260676706528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22.116494104585087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22.116494104585087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6.1422222222222222</v>
      </c>
      <c r="FZ113" s="13">
        <f>IF('Données projet'!$A$244&gt;35,FZ112+FY113-GH112,IF(A113&lt;'Données projet'!$A$244,$FW$205^A113,IF(A113='Données projet'!$A$244,'Données projet'!$B$244,FZ112+FY113-GH112)))</f>
        <v>247.6333333333331</v>
      </c>
      <c r="GA113" s="18">
        <f>FZ113*VLOOKUP('Données projet'!$B$17,Paramètres!$A$1:$I$89,3,0)*VLOOKUP('Données projet'!$B$17,Paramètres!$A$1:$I$89,5,0)</f>
        <v>282.00483999999977</v>
      </c>
      <c r="GB113" s="14">
        <f t="shared" si="103"/>
        <v>67.390513117903524</v>
      </c>
      <c r="GC113" s="22">
        <f t="shared" si="79"/>
        <v>608.53024001368158</v>
      </c>
      <c r="GD113" s="62">
        <f t="shared" si="80"/>
        <v>901.86357334701484</v>
      </c>
      <c r="GE113" s="62">
        <f ca="1">AVERAGE(OFFSET($GD$3,0,0,'Données projet'!$E$17+1,1))-AVERAGE(OFFSET($H$3,0,0,'Données projet'!$E$17+1,1))</f>
        <v>405.71017054131318</v>
      </c>
      <c r="GF113" s="62">
        <f t="shared" si="104"/>
        <v>276.12900965322166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27.836277062667435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27.836277062667435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6.1422222222222222</v>
      </c>
      <c r="GU113" s="13">
        <f>IF('Données projet'!$A$270&gt;35,GU112+GT113-HC112,IF(A113&lt;'Données projet'!$A$270,$GR$205^A113,IF(A113='Données projet'!$A$270,'Données projet'!$B$270,GU112+GT113-HC112)))</f>
        <v>247.6333333333331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7.9349999999999969</v>
      </c>
      <c r="N114" s="14">
        <f>IF('Données projet'!$A$36&gt;35,N113+M114-V113,IF(A114&lt;'Données projet'!$A$36,$K$205^A114,IF(A114='Données projet'!$A$36,'Données projet'!$B$36,N113+M114-V113)))</f>
        <v>360.76500000000016</v>
      </c>
      <c r="O114" s="14">
        <f>N114*VLOOKUP('Données projet'!$B$9,Paramètres!$A$1:$I$89,3,0)*VLOOKUP('Données projet'!$B$9,Paramètres!$A$1:$I$89,5,0)</f>
        <v>326.42017200000015</v>
      </c>
      <c r="P114" s="14">
        <f t="shared" si="87"/>
        <v>76.687647008791018</v>
      </c>
      <c r="Q114" s="22">
        <f t="shared" si="107"/>
        <v>702.07945144031135</v>
      </c>
      <c r="R114" s="62">
        <f t="shared" si="55"/>
        <v>995.41278477364472</v>
      </c>
      <c r="S114" s="62">
        <f ca="1">AVERAGE(OFFSET($R$3,0,0,'Données projet'!$E$9+1,1))-AVERAGE(OFFSET($H$3,0,0,'Données projet'!$E$9+1,1))</f>
        <v>452.54136967045082</v>
      </c>
      <c r="T114" s="62">
        <f t="shared" si="88"/>
        <v>269.67340993773422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51.136349123801253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51.136349123801253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7.9349999999999969</v>
      </c>
      <c r="BD114" s="13">
        <f>IF('Données projet'!$A$88&gt;35,BD113+BC114-BL113,IF(A114&lt;'Données projet'!$A$88,$BA$205^A114,IF(A114='Données projet'!$A$88,'Données projet'!$B$88,BD113+BC114-BL113)))</f>
        <v>360.76500000000016</v>
      </c>
      <c r="BE114" s="14">
        <f>BD114*VLOOKUP('Données projet'!$B$11,Paramètres!$A$1:$I$89,3,0)*VLOOKUP('Données projet'!$B$11,Paramètres!$A$1:$I$89,5,0)</f>
        <v>365.81571000000019</v>
      </c>
      <c r="BF114" s="14">
        <f t="shared" si="91"/>
        <v>84.810706185422873</v>
      </c>
      <c r="BG114" s="22">
        <f t="shared" si="61"/>
        <v>784.84100818961178</v>
      </c>
      <c r="BH114" s="62">
        <f t="shared" si="62"/>
        <v>1078.174341522945</v>
      </c>
      <c r="BI114" s="62">
        <f ca="1">AVERAGE(OFFSET($BH$3,0,0,'Données projet'!$E$11+1,1))-AVERAGE(OFFSET($H$3,0,0,'Données projet'!$E$11+1,1))</f>
        <v>502.06005292569733</v>
      </c>
      <c r="BJ114" s="62">
        <f t="shared" si="92"/>
        <v>297.06786598620607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57.307977466329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57.307977466329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-2.8421709430404007E-14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-5.1431925385259088E-14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204.787338911576</v>
      </c>
      <c r="CZ114" s="62">
        <f t="shared" si="96"/>
        <v>287.24932051638558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9.4134138950853607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9.4134138950853607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4.8</v>
      </c>
      <c r="DO114" s="13">
        <f>IF('Données projet'!$A$166&gt;35,DO113+DN114-DW113,IF(A114&lt;'Données projet'!$A$166,$DL$205^A114,IF(A114='Données projet'!$A$166,'Données projet'!$B$166,DO113+DN114-DW113)))</f>
        <v>224.80000000000007</v>
      </c>
      <c r="DP114" s="18">
        <f>DO114*VLOOKUP('Données projet'!$B$14,Paramètres!$A$1:$I$89,3,0)*VLOOKUP('Données projet'!$B$14,Paramètres!$A$1:$I$89,5,0)</f>
        <v>213.91968000000008</v>
      </c>
      <c r="DQ114" s="14">
        <f t="shared" si="97"/>
        <v>52.791210317408577</v>
      </c>
      <c r="DR114" s="22">
        <f t="shared" si="70"/>
        <v>464.52146730281999</v>
      </c>
      <c r="DS114" s="62">
        <f t="shared" si="71"/>
        <v>757.8548006361533</v>
      </c>
      <c r="DT114" s="62">
        <f ca="1">AVERAGE(OFFSET($DS$3,0,0,'Données projet'!$E$14+1,1))-AVERAGE(OFFSET($H$3,0,0,'Données projet'!$E$14+1,1))</f>
        <v>309.55876703480277</v>
      </c>
      <c r="DU114" s="62">
        <f t="shared" si="98"/>
        <v>122.43799205838684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42.025664964763536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42.025664964763536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8.1166666666666547</v>
      </c>
      <c r="EJ114" s="13">
        <f>IF('Données projet'!$A$192&gt;35,EJ113+EI114-ER113,IF(A114&lt;'Données projet'!$A$192,$EG$205^A114,IF(A114='Données projet'!$A$192,'Données projet'!$B$192,EJ113+EI114-ER113)))</f>
        <v>390.30333333333306</v>
      </c>
      <c r="EK114" s="18">
        <f>EJ114*VLOOKUP('Données projet'!$B$15,Paramètres!$A$1:$I$89,3,0)*VLOOKUP('Données projet'!$B$15,Paramètres!$A$1:$I$89,5,0)</f>
        <v>182.66195999999988</v>
      </c>
      <c r="EL114" s="14">
        <f t="shared" si="99"/>
        <v>45.913916267712978</v>
      </c>
      <c r="EM114" s="22">
        <f t="shared" si="73"/>
        <v>398.10298449959987</v>
      </c>
      <c r="EN114" s="62">
        <f t="shared" si="74"/>
        <v>691.43631783293313</v>
      </c>
      <c r="EO114" s="62">
        <f ca="1">AVERAGE(OFFSET($EN$3,0,0,'Données projet'!$E$15+1,1))-AVERAGE(OFFSET($H$3,0,0,'Données projet'!$E$15+1,1))</f>
        <v>301.04834785168049</v>
      </c>
      <c r="EP114" s="62">
        <f t="shared" si="100"/>
        <v>164.1450425611464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58.447563400050704</v>
      </c>
      <c r="EW114" s="23">
        <f>EXP(-LN(2)/25)*EW113+(1-EXP(-LN(2)/25))/(LN(2)/25)*Calculateur!ER114*Calculateur!ET114*VLOOKUP('Données projet'!$B$15,Paramètres!$A$1:$I$89,3,0)*0.475*44/12</f>
        <v>26.322532293868811</v>
      </c>
      <c r="EX114" s="23">
        <f>EXP(-LN(2)/2)*EX113+(1-EXP(-LN(2)/2))/(LN(2)/2)*ER114*EU114*VLOOKUP('Données projet'!$B$15,Paramètres!$A$1:$I$89,3,0)*0.475*44/12</f>
        <v>3.2055082071864511</v>
      </c>
      <c r="EY114" s="24">
        <f t="shared" si="75"/>
        <v>87.97560390110597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6.1422222222222222</v>
      </c>
      <c r="FE114" s="13">
        <f>IF('Données projet'!$A$218&gt;35,FE113+FD114-FM113,IF(A114&lt;'Données projet'!$A$218,$FB$205^A114,IF(A114='Données projet'!$A$218,'Données projet'!$B$218,FE113+FD114-FM113)))</f>
        <v>253.77555555555531</v>
      </c>
      <c r="FF114" s="18">
        <f>FE114*VLOOKUP('Données projet'!$B$16,Paramètres!$A$1:$I$89,3,0)*VLOOKUP('Données projet'!$B$16,Paramètres!$A$1:$I$89,5,0)</f>
        <v>229.61612266666643</v>
      </c>
      <c r="FG114" s="14">
        <f t="shared" si="101"/>
        <v>56.199670208866927</v>
      </c>
      <c r="FH114" s="22">
        <f t="shared" si="76"/>
        <v>497.79583925822061</v>
      </c>
      <c r="FI114" s="62">
        <f t="shared" si="77"/>
        <v>791.12917259155392</v>
      </c>
      <c r="FJ114" s="62">
        <f ca="1">AVERAGE(OFFSET($FI$3,0,0,'Données projet'!$E$16+1,1))-AVERAGE(OFFSET($H$3,0,0,'Données projet'!$E$16+1,1))</f>
        <v>330.53726676433649</v>
      </c>
      <c r="FK114" s="62">
        <f t="shared" si="102"/>
        <v>228.01260676706528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21.682803144923575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21.682803144923575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6.1422222222222222</v>
      </c>
      <c r="FZ114" s="13">
        <f>IF('Données projet'!$A$244&gt;35,FZ113+FY114-GH113,IF(A114&lt;'Données projet'!$A$244,$FW$205^A114,IF(A114='Données projet'!$A$244,'Données projet'!$B$244,FZ113+FY114-GH113)))</f>
        <v>253.77555555555531</v>
      </c>
      <c r="GA114" s="18">
        <f>FZ114*VLOOKUP('Données projet'!$B$17,Paramètres!$A$1:$I$89,3,0)*VLOOKUP('Données projet'!$B$17,Paramètres!$A$1:$I$89,5,0)</f>
        <v>288.99960266666642</v>
      </c>
      <c r="GB114" s="14">
        <f t="shared" si="103"/>
        <v>68.865367769239995</v>
      </c>
      <c r="GC114" s="22">
        <f t="shared" si="79"/>
        <v>623.28149017587032</v>
      </c>
      <c r="GD114" s="62">
        <f t="shared" si="80"/>
        <v>916.61482350920369</v>
      </c>
      <c r="GE114" s="62">
        <f ca="1">AVERAGE(OFFSET($GD$3,0,0,'Données projet'!$E$17+1,1))-AVERAGE(OFFSET($H$3,0,0,'Données projet'!$E$17+1,1))</f>
        <v>405.71017054131318</v>
      </c>
      <c r="GF114" s="62">
        <f t="shared" si="104"/>
        <v>276.12900965322166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27.29042464792105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27.29042464792105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6.1422222222222222</v>
      </c>
      <c r="GU114" s="13">
        <f>IF('Données projet'!$A$270&gt;35,GU113+GT114-HC113,IF(A114&lt;'Données projet'!$A$270,$GR$205^A114,IF(A114='Données projet'!$A$270,'Données projet'!$B$270,GU113+GT114-HC113)))</f>
        <v>253.77555555555531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7.9349999999999969</v>
      </c>
      <c r="N115" s="14">
        <f>IF('Données projet'!$A$36&gt;35,N114+M115-V114,IF(A115&lt;'Données projet'!$A$36,$K$205^A115,IF(A115='Données projet'!$A$36,'Données projet'!$B$36,N114+M115-V114)))</f>
        <v>368.70000000000016</v>
      </c>
      <c r="O115" s="14">
        <f>N115*VLOOKUP('Données projet'!$B$9,Paramètres!$A$1:$I$89,3,0)*VLOOKUP('Données projet'!$B$9,Paramètres!$A$1:$I$89,5,0)</f>
        <v>333.59976000000017</v>
      </c>
      <c r="P115" s="14">
        <f t="shared" si="87"/>
        <v>78.176157359156988</v>
      </c>
      <c r="Q115" s="22">
        <f t="shared" si="107"/>
        <v>717.17638940053212</v>
      </c>
      <c r="R115" s="62">
        <f t="shared" si="55"/>
        <v>1010.5097227338654</v>
      </c>
      <c r="S115" s="62">
        <f ca="1">AVERAGE(OFFSET($R$3,0,0,'Données projet'!$E$9+1,1))-AVERAGE(OFFSET($H$3,0,0,'Données projet'!$E$9+1,1))</f>
        <v>452.54136967045082</v>
      </c>
      <c r="T115" s="62">
        <f t="shared" si="88"/>
        <v>269.67340993773422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50.133596507576712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50.133596507576712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7.9349999999999969</v>
      </c>
      <c r="BD115" s="13">
        <f>IF('Données projet'!$A$88&gt;35,BD114+BC115-BL114,IF(A115&lt;'Données projet'!$A$88,$BA$205^A115,IF(A115='Données projet'!$A$88,'Données projet'!$B$88,BD114+BC115-BL114)))</f>
        <v>368.70000000000016</v>
      </c>
      <c r="BE115" s="14">
        <f>BD115*VLOOKUP('Données projet'!$B$11,Paramètres!$A$1:$I$89,3,0)*VLOOKUP('Données projet'!$B$11,Paramètres!$A$1:$I$89,5,0)</f>
        <v>373.86180000000019</v>
      </c>
      <c r="BF115" s="14">
        <f t="shared" si="91"/>
        <v>86.456885445094045</v>
      </c>
      <c r="BG115" s="22">
        <f t="shared" si="61"/>
        <v>801.72171048353903</v>
      </c>
      <c r="BH115" s="62">
        <f t="shared" si="62"/>
        <v>1095.0550438168723</v>
      </c>
      <c r="BI115" s="62">
        <f ca="1">AVERAGE(OFFSET($BH$3,0,0,'Données projet'!$E$11+1,1))-AVERAGE(OFFSET($H$3,0,0,'Données projet'!$E$11+1,1))</f>
        <v>502.06005292569733</v>
      </c>
      <c r="BJ115" s="62">
        <f t="shared" si="92"/>
        <v>297.06786598620607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56.184202982629081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56.184202982629081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-2.8421709430404007E-14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-5.1431925385259088E-14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204.787338911576</v>
      </c>
      <c r="CZ115" s="62">
        <f t="shared" si="96"/>
        <v>287.24932051638558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9.2288225902182752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9.2288225902182752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4.8</v>
      </c>
      <c r="DO115" s="13">
        <f>IF('Données projet'!$A$166&gt;35,DO114+DN115-DW114,IF(A115&lt;'Données projet'!$A$166,$DL$205^A115,IF(A115='Données projet'!$A$166,'Données projet'!$B$166,DO114+DN115-DW114)))</f>
        <v>229.60000000000008</v>
      </c>
      <c r="DP115" s="18">
        <f>DO115*VLOOKUP('Données projet'!$B$14,Paramètres!$A$1:$I$89,3,0)*VLOOKUP('Données projet'!$B$14,Paramètres!$A$1:$I$89,5,0)</f>
        <v>218.48736000000008</v>
      </c>
      <c r="DQ115" s="14">
        <f t="shared" si="97"/>
        <v>53.785988993208278</v>
      </c>
      <c r="DR115" s="22">
        <f t="shared" si="70"/>
        <v>474.20941616317117</v>
      </c>
      <c r="DS115" s="62">
        <f t="shared" si="71"/>
        <v>767.54274949650448</v>
      </c>
      <c r="DT115" s="62">
        <f ca="1">AVERAGE(OFFSET($DS$3,0,0,'Données projet'!$E$14+1,1))-AVERAGE(OFFSET($H$3,0,0,'Données projet'!$E$14+1,1))</f>
        <v>309.55876703480277</v>
      </c>
      <c r="DU115" s="62">
        <f t="shared" si="98"/>
        <v>122.43799205838684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41.201567307929089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41.201567307929089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8.1166666666666547</v>
      </c>
      <c r="EJ115" s="13">
        <f>IF('Données projet'!$A$192&gt;35,EJ114+EI115-ER114,IF(A115&lt;'Données projet'!$A$192,$EG$205^A115,IF(A115='Données projet'!$A$192,'Données projet'!$B$192,EJ114+EI115-ER114)))</f>
        <v>398.41999999999973</v>
      </c>
      <c r="EK115" s="18">
        <f>EJ115*VLOOKUP('Données projet'!$B$15,Paramètres!$A$1:$I$89,3,0)*VLOOKUP('Données projet'!$B$15,Paramètres!$A$1:$I$89,5,0)</f>
        <v>186.46055999999987</v>
      </c>
      <c r="EL115" s="14">
        <f t="shared" si="99"/>
        <v>46.756578583495248</v>
      </c>
      <c r="EM115" s="22">
        <f t="shared" si="73"/>
        <v>406.18651636625395</v>
      </c>
      <c r="EN115" s="62">
        <f t="shared" si="74"/>
        <v>699.51984969958721</v>
      </c>
      <c r="EO115" s="62">
        <f ca="1">AVERAGE(OFFSET($EN$3,0,0,'Données projet'!$E$15+1,1))-AVERAGE(OFFSET($H$3,0,0,'Données projet'!$E$15+1,1))</f>
        <v>301.04834785168049</v>
      </c>
      <c r="EP115" s="62">
        <f t="shared" si="100"/>
        <v>164.1450425611464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57.301442331269286</v>
      </c>
      <c r="EW115" s="23">
        <f>EXP(-LN(2)/25)*EW114+(1-EXP(-LN(2)/25))/(LN(2)/25)*Calculateur!ER115*Calculateur!ET115*VLOOKUP('Données projet'!$B$15,Paramètres!$A$1:$I$89,3,0)*0.475*44/12</f>
        <v>25.602741264051154</v>
      </c>
      <c r="EX115" s="23">
        <f>EXP(-LN(2)/2)*EX114+(1-EXP(-LN(2)/2))/(LN(2)/2)*ER115*EU115*VLOOKUP('Données projet'!$B$15,Paramètres!$A$1:$I$89,3,0)*0.475*44/12</f>
        <v>2.2666365904506725</v>
      </c>
      <c r="EY115" s="24">
        <f t="shared" si="75"/>
        <v>85.170820185771106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6.1422222222222222</v>
      </c>
      <c r="FE115" s="13">
        <f>IF('Données projet'!$A$218&gt;35,FE114+FD115-FM114,IF(A115&lt;'Données projet'!$A$218,$FB$205^A115,IF(A115='Données projet'!$A$218,'Données projet'!$B$218,FE114+FD115-FM114)))</f>
        <v>259.91777777777753</v>
      </c>
      <c r="FF115" s="18">
        <f>FE115*VLOOKUP('Données projet'!$B$16,Paramètres!$A$1:$I$89,3,0)*VLOOKUP('Données projet'!$B$16,Paramètres!$A$1:$I$89,5,0)</f>
        <v>235.17360533333311</v>
      </c>
      <c r="FG115" s="14">
        <f t="shared" si="101"/>
        <v>57.399883594856874</v>
      </c>
      <c r="FH115" s="22">
        <f t="shared" si="76"/>
        <v>509.56549321659759</v>
      </c>
      <c r="FI115" s="62">
        <f t="shared" si="77"/>
        <v>802.89882654993085</v>
      </c>
      <c r="FJ115" s="62">
        <f ca="1">AVERAGE(OFFSET($FI$3,0,0,'Données projet'!$E$16+1,1))-AVERAGE(OFFSET($H$3,0,0,'Données projet'!$E$16+1,1))</f>
        <v>330.53726676433649</v>
      </c>
      <c r="FK115" s="62">
        <f t="shared" si="102"/>
        <v>228.01260676706528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21.257616600455663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21.257616600455663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6.1422222222222222</v>
      </c>
      <c r="FZ115" s="13">
        <f>IF('Données projet'!$A$244&gt;35,FZ114+FY115-GH114,IF(A115&lt;'Données projet'!$A$244,$FW$205^A115,IF(A115='Données projet'!$A$244,'Données projet'!$B$244,FZ114+FY115-GH114)))</f>
        <v>259.91777777777753</v>
      </c>
      <c r="GA115" s="18">
        <f>FZ115*VLOOKUP('Données projet'!$B$17,Paramètres!$A$1:$I$89,3,0)*VLOOKUP('Données projet'!$B$17,Paramètres!$A$1:$I$89,5,0)</f>
        <v>295.99436533333306</v>
      </c>
      <c r="GB115" s="14">
        <f t="shared" si="103"/>
        <v>70.336072773745855</v>
      </c>
      <c r="GC115" s="22">
        <f t="shared" si="79"/>
        <v>638.02551303649568</v>
      </c>
      <c r="GD115" s="62">
        <f t="shared" si="80"/>
        <v>931.35884636982905</v>
      </c>
      <c r="GE115" s="62">
        <f ca="1">AVERAGE(OFFSET($GD$3,0,0,'Données projet'!$E$17+1,1))-AVERAGE(OFFSET($H$3,0,0,'Données projet'!$E$17+1,1))</f>
        <v>405.71017054131318</v>
      </c>
      <c r="GF115" s="62">
        <f t="shared" si="104"/>
        <v>276.12900965322166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26.755276066090744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26.755276066090744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6.1422222222222222</v>
      </c>
      <c r="GU115" s="13">
        <f>IF('Données projet'!$A$270&gt;35,GU114+GT115-HC114,IF(A115&lt;'Données projet'!$A$270,$GR$205^A115,IF(A115='Données projet'!$A$270,'Données projet'!$B$270,GU114+GT115-HC114)))</f>
        <v>259.91777777777753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7.9349999999999969</v>
      </c>
      <c r="N116" s="14">
        <f>IF('Données projet'!$A$36&gt;35,N115+M116-V115,IF(A116&lt;'Données projet'!$A$36,$K$205^A116,IF(A116='Données projet'!$A$36,'Données projet'!$B$36,N115+M116-V115)))</f>
        <v>376.63500000000016</v>
      </c>
      <c r="O116" s="14">
        <f>N116*VLOOKUP('Données projet'!$B$9,Paramètres!$A$1:$I$89,3,0)*VLOOKUP('Données projet'!$B$9,Paramètres!$A$1:$I$89,5,0)</f>
        <v>340.77934800000014</v>
      </c>
      <c r="P116" s="14">
        <f t="shared" si="87"/>
        <v>79.660943190415225</v>
      </c>
      <c r="Q116" s="22">
        <f t="shared" si="107"/>
        <v>732.26684048997322</v>
      </c>
      <c r="R116" s="62">
        <f t="shared" si="55"/>
        <v>1025.6001738233065</v>
      </c>
      <c r="S116" s="62">
        <f ca="1">AVERAGE(OFFSET($R$3,0,0,'Données projet'!$E$9+1,1))-AVERAGE(OFFSET($H$3,0,0,'Données projet'!$E$9+1,1))</f>
        <v>452.54136967045082</v>
      </c>
      <c r="T116" s="62">
        <f t="shared" si="88"/>
        <v>269.67340993773422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49.15050725853763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49.15050725853763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7.9349999999999969</v>
      </c>
      <c r="BD116" s="13">
        <f>IF('Données projet'!$A$88&gt;35,BD115+BC116-BL115,IF(A116&lt;'Données projet'!$A$88,$BA$205^A116,IF(A116='Données projet'!$A$88,'Données projet'!$B$88,BD115+BC116-BL115)))</f>
        <v>376.63500000000016</v>
      </c>
      <c r="BE116" s="14">
        <f>BD116*VLOOKUP('Données projet'!$B$11,Paramètres!$A$1:$I$89,3,0)*VLOOKUP('Données projet'!$B$11,Paramètres!$A$1:$I$89,5,0)</f>
        <v>381.90789000000018</v>
      </c>
      <c r="BF116" s="14">
        <f t="shared" si="91"/>
        <v>88.098945669848163</v>
      </c>
      <c r="BG116" s="22">
        <f t="shared" si="61"/>
        <v>818.59523879165238</v>
      </c>
      <c r="BH116" s="62">
        <f t="shared" si="62"/>
        <v>1111.9285721249857</v>
      </c>
      <c r="BI116" s="62">
        <f ca="1">AVERAGE(OFFSET($BH$3,0,0,'Données projet'!$E$11+1,1))-AVERAGE(OFFSET($H$3,0,0,'Données projet'!$E$11+1,1))</f>
        <v>502.06005292569733</v>
      </c>
      <c r="BJ116" s="62">
        <f t="shared" si="92"/>
        <v>297.06786598620607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55.08246503111976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55.08246503111976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-2.8421709430404007E-14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-5.1431925385259088E-14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204.787338911576</v>
      </c>
      <c r="CZ116" s="62">
        <f t="shared" si="96"/>
        <v>287.24932051638558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9.0478510082500545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9.0478510082500545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4.8</v>
      </c>
      <c r="DO116" s="13">
        <f>IF('Données projet'!$A$166&gt;35,DO115+DN116-DW115,IF(A116&lt;'Données projet'!$A$166,$DL$205^A116,IF(A116='Données projet'!$A$166,'Données projet'!$B$166,DO115+DN116-DW115)))</f>
        <v>234.40000000000009</v>
      </c>
      <c r="DP116" s="18">
        <f>DO116*VLOOKUP('Données projet'!$B$14,Paramètres!$A$1:$I$89,3,0)*VLOOKUP('Données projet'!$B$14,Paramètres!$A$1:$I$89,5,0)</f>
        <v>223.0550400000001</v>
      </c>
      <c r="DQ116" s="14">
        <f t="shared" si="97"/>
        <v>54.778349682173051</v>
      </c>
      <c r="DR116" s="22">
        <f t="shared" si="70"/>
        <v>483.89315369645163</v>
      </c>
      <c r="DS116" s="62">
        <f t="shared" si="71"/>
        <v>777.22648702978495</v>
      </c>
      <c r="DT116" s="62">
        <f ca="1">AVERAGE(OFFSET($DS$3,0,0,'Données projet'!$E$14+1,1))-AVERAGE(OFFSET($H$3,0,0,'Données projet'!$E$14+1,1))</f>
        <v>309.55876703480277</v>
      </c>
      <c r="DU116" s="62">
        <f t="shared" si="98"/>
        <v>122.43799205838684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40.393629703495229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40.393629703495229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8.1166666666666547</v>
      </c>
      <c r="EJ116" s="13">
        <f>IF('Données projet'!$A$192&gt;35,EJ115+EI116-ER115,IF(A116&lt;'Données projet'!$A$192,$EG$205^A116,IF(A116='Données projet'!$A$192,'Données projet'!$B$192,EJ115+EI116-ER115)))</f>
        <v>406.53666666666641</v>
      </c>
      <c r="EK116" s="18">
        <f>EJ116*VLOOKUP('Données projet'!$B$15,Paramètres!$A$1:$I$89,3,0)*VLOOKUP('Données projet'!$B$15,Paramètres!$A$1:$I$89,5,0)</f>
        <v>190.25915999999987</v>
      </c>
      <c r="EL116" s="14">
        <f t="shared" si="99"/>
        <v>47.59724490144712</v>
      </c>
      <c r="EM116" s="22">
        <f t="shared" si="73"/>
        <v>414.26657187002019</v>
      </c>
      <c r="EN116" s="62">
        <f t="shared" si="74"/>
        <v>707.5999052033535</v>
      </c>
      <c r="EO116" s="62">
        <f ca="1">AVERAGE(OFFSET($EN$3,0,0,'Données projet'!$E$15+1,1))-AVERAGE(OFFSET($H$3,0,0,'Données projet'!$E$15+1,1))</f>
        <v>301.04834785168049</v>
      </c>
      <c r="EP116" s="62">
        <f t="shared" si="100"/>
        <v>164.1450425611464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56.177795997581846</v>
      </c>
      <c r="EW116" s="23">
        <f>EXP(-LN(2)/25)*EW115+(1-EXP(-LN(2)/25))/(LN(2)/25)*Calculateur!ER116*Calculateur!ET116*VLOOKUP('Données projet'!$B$15,Paramètres!$A$1:$I$89,3,0)*0.475*44/12</f>
        <v>24.90263295779603</v>
      </c>
      <c r="EX116" s="23">
        <f>EXP(-LN(2)/2)*EX115+(1-EXP(-LN(2)/2))/(LN(2)/2)*ER116*EU116*VLOOKUP('Données projet'!$B$15,Paramètres!$A$1:$I$89,3,0)*0.475*44/12</f>
        <v>1.6027541035932258</v>
      </c>
      <c r="EY116" s="24">
        <f t="shared" si="75"/>
        <v>82.683183058971096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>
        <f>VLOOKUP(A116,'Données projet'!$A$217:$I$237,2,0)</f>
        <v>266.06</v>
      </c>
      <c r="FC116" s="13">
        <f>VLOOKUP(A116,'Données projet'!$A$217:$I$237,9,0)</f>
        <v>6.1422222222222222</v>
      </c>
      <c r="FD116" s="13">
        <f t="array" ref="FD116">INDEX(FC:FC,MIN(IF(ISNUMBER(FC116:FC312),ROW(FC116:FC312),"")))</f>
        <v>6.1422222222222222</v>
      </c>
      <c r="FE116" s="13">
        <f>IF('Données projet'!$A$218&gt;35,FE115+FD116-FM115,IF(A116&lt;'Données projet'!$A$218,$FB$205^A116,IF(A116='Données projet'!$A$218,'Données projet'!$B$218,FE115+FD116-FM115)))</f>
        <v>266.05999999999977</v>
      </c>
      <c r="FF116" s="18">
        <f>FE116*VLOOKUP('Données projet'!$B$16,Paramètres!$A$1:$I$89,3,0)*VLOOKUP('Données projet'!$B$16,Paramètres!$A$1:$I$89,5,0)</f>
        <v>240.73108799999977</v>
      </c>
      <c r="FG116" s="14">
        <f t="shared" si="101"/>
        <v>58.596799771364076</v>
      </c>
      <c r="FH116" s="22">
        <f t="shared" si="76"/>
        <v>521.32940453512526</v>
      </c>
      <c r="FI116" s="62">
        <f t="shared" si="77"/>
        <v>814.66273786845863</v>
      </c>
      <c r="FJ116" s="62">
        <f ca="1">AVERAGE(OFFSET($FI$3,0,0,'Données projet'!$E$16+1,1))-AVERAGE(OFFSET($H$3,0,0,'Données projet'!$E$16+1,1))</f>
        <v>330.53726676433649</v>
      </c>
      <c r="FK116" s="62">
        <f t="shared" si="102"/>
        <v>228.01260676706528</v>
      </c>
      <c r="FL116" s="16">
        <f>IF(ISNA(VLOOKUP(A116,'Données projet'!$A$217:$I$237,3,0)),0,VLOOKUP(A116,'Données projet'!$A$217:$I$237,3,0))</f>
        <v>7</v>
      </c>
      <c r="FM116" s="16">
        <f>IF(ISNA(VLOOKUP(A116,'Données projet'!$A$217:$I$237,4,0)),0,VLOOKUP(A116,'Données projet'!$A$217:$I$237,4,0))</f>
        <v>37.82</v>
      </c>
      <c r="FN116" s="17">
        <f>IF(ISNA(VLOOKUP(A116,'Données projet'!$A$217:$I$237,5,0)),0%,VLOOKUP(A116,'Données projet'!$A$217:$I$237,5,0)*VLOOKUP('Données projet'!$B$16,Paramètres!$A$1:$I$89,7,0))</f>
        <v>0.30099999999999999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32.227201423044377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32.227201423044377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>
        <f>VLOOKUP(A116,'Données projet'!$A$243:$I$263,2,0)</f>
        <v>266.06</v>
      </c>
      <c r="FX116" s="13">
        <f>VLOOKUP(A116,'Données projet'!$A$243:$I$263,9,0)</f>
        <v>6.1422222222222222</v>
      </c>
      <c r="FY116" s="13">
        <f t="array" ref="FY116">INDEX(FX:FX,MIN(IF(ISNUMBER(FX116:FX312),ROW(FX116:FX312),"")))</f>
        <v>6.1422222222222222</v>
      </c>
      <c r="FZ116" s="13">
        <f>IF('Données projet'!$A$244&gt;35,FZ115+FY116-GH115,IF(A116&lt;'Données projet'!$A$244,$FW$205^A116,IF(A116='Données projet'!$A$244,'Données projet'!$B$244,FZ115+FY116-GH115)))</f>
        <v>266.05999999999977</v>
      </c>
      <c r="GA116" s="18">
        <f>FZ116*VLOOKUP('Données projet'!$B$17,Paramètres!$A$1:$I$89,3,0)*VLOOKUP('Données projet'!$B$17,Paramètres!$A$1:$I$89,5,0)</f>
        <v>302.98912799999977</v>
      </c>
      <c r="GB116" s="14">
        <f t="shared" si="103"/>
        <v>71.802737477965351</v>
      </c>
      <c r="GC116" s="22">
        <f t="shared" si="79"/>
        <v>652.76249904078929</v>
      </c>
      <c r="GD116" s="62">
        <f t="shared" si="80"/>
        <v>946.09583237412266</v>
      </c>
      <c r="GE116" s="62">
        <f ca="1">AVERAGE(OFFSET($GD$3,0,0,'Données projet'!$E$17+1,1))-AVERAGE(OFFSET($H$3,0,0,'Données projet'!$E$17+1,1))</f>
        <v>405.71017054131318</v>
      </c>
      <c r="GF116" s="62">
        <f t="shared" si="104"/>
        <v>276.12900965322166</v>
      </c>
      <c r="GG116" s="16">
        <f>IF(ISNA(VLOOKUP(A116,'Données projet'!$A$243:$I$263,3,0)),0,VLOOKUP(A116,'Données projet'!$A$243:$I$263,3,0))</f>
        <v>7</v>
      </c>
      <c r="GH116" s="16">
        <f>IF(ISNA(VLOOKUP(A116,'Données projet'!$A$243:$I$263,4,0)),0,VLOOKUP(A116,'Données projet'!$A$243:$I$263,4,0))</f>
        <v>37.82</v>
      </c>
      <c r="GI116" s="17">
        <f>IF(ISNA(VLOOKUP(A116,'Données projet'!$A$243:$I$263,5,0)),0%,VLOOKUP(A116,'Données projet'!$A$243:$I$263,5,0)*VLOOKUP('Données projet'!$B$17,Paramètres!$A$1:$I$89,7,0))</f>
        <v>0.30099999999999999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40.56182248072826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40.56182248072826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>
        <f>VLOOKUP(A116,'Données projet'!$A$269:$I$289,2,0)</f>
        <v>266.06</v>
      </c>
      <c r="GS116" s="13">
        <f>VLOOKUP(A116,'Données projet'!$A$269:$I$289,9,0)</f>
        <v>6.1422222222222222</v>
      </c>
      <c r="GT116" s="13">
        <f t="array" ref="GT116">INDEX(GS:GS,MIN(IF(ISNUMBER(GS116:GS312),ROW(GS116:GS312),"")))</f>
        <v>6.1422222222222222</v>
      </c>
      <c r="GU116" s="13">
        <f>IF('Données projet'!$A$270&gt;35,GU115+GT116-HC115,IF(A116&lt;'Données projet'!$A$270,$GR$205^A116,IF(A116='Données projet'!$A$270,'Données projet'!$B$270,GU115+GT116-HC115)))</f>
        <v>266.05999999999977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7</v>
      </c>
      <c r="HC116" s="16">
        <f>IF(ISNA(VLOOKUP(A116,'Données projet'!$A$269:$I$289,4,0)),0,VLOOKUP(A116,'Données projet'!$A$269:$I$289,4,0))</f>
        <v>37.82</v>
      </c>
      <c r="HD116" s="17" t="e">
        <f>IF(ISNA(VLOOKUP(A116,'Données projet'!$A$269:$I$289,5,0)),0%,VLOOKUP(A116,'Données projet'!$A$269:$I$289,5,0)*VLOOKUP('Données projet'!$B$18,Paramètres!$A$1:$I$89,7,0))</f>
        <v>#N/A</v>
      </c>
      <c r="HE116" s="17" t="e">
        <f>IF(ISNA(VLOOKUP(A116,'Données projet'!$A$269:$I$289,6,0)),0%,VLOOKUP(A116,'Données projet'!$A$269:$I$289,6,0)*VLOOKUP('Données projet'!$B$18,Paramètres!$A$1:$I$89,7,0))</f>
        <v>#N/A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>
        <f>VLOOKUP(A117,'Données projet'!$A$35:$I$55,2,0)</f>
        <v>384.57</v>
      </c>
      <c r="L117" s="13">
        <f>VLOOKUP(A117,'Données projet'!$A$35:$I$55,9,0)</f>
        <v>7.9349999999999969</v>
      </c>
      <c r="M117" s="13">
        <f t="array" ref="M117">INDEX(L:L,MIN(IF(ISNUMBER(L117:L313),ROW(L117:L313),"")))</f>
        <v>7.9349999999999969</v>
      </c>
      <c r="N117" s="14">
        <f>IF('Données projet'!$A$36&gt;35,N116+M117-V116,IF(A117&lt;'Données projet'!$A$36,$K$205^A117,IF(A117='Données projet'!$A$36,'Données projet'!$B$36,N116+M117-V116)))</f>
        <v>384.57000000000016</v>
      </c>
      <c r="O117" s="14">
        <f>N117*VLOOKUP('Données projet'!$B$9,Paramètres!$A$1:$I$89,3,0)*VLOOKUP('Données projet'!$B$9,Paramètres!$A$1:$I$89,5,0)</f>
        <v>347.95893600000016</v>
      </c>
      <c r="P117" s="14">
        <f t="shared" si="87"/>
        <v>81.142092010767882</v>
      </c>
      <c r="Q117" s="22">
        <f t="shared" si="107"/>
        <v>747.35095711875431</v>
      </c>
      <c r="R117" s="62">
        <f t="shared" si="55"/>
        <v>1040.6842904520877</v>
      </c>
      <c r="S117" s="62">
        <f ca="1">AVERAGE(OFFSET($R$3,0,0,'Données projet'!$E$9+1,1))-AVERAGE(OFFSET($H$3,0,0,'Données projet'!$E$9+1,1))</f>
        <v>452.54136967045082</v>
      </c>
      <c r="T117" s="62">
        <f t="shared" si="88"/>
        <v>269.67340993773422</v>
      </c>
      <c r="U117" s="16">
        <f>IF(ISNA(VLOOKUP(A117,'Données projet'!$A$35:$I$55,3,0)),0,VLOOKUP(A117,'Données projet'!$A$35:$I$55,3,0))</f>
        <v>9</v>
      </c>
      <c r="V117" s="16">
        <f>IF(ISNA(VLOOKUP(A117,'Données projet'!$A$35:$I$55,4,0)),0,VLOOKUP(A117,'Données projet'!$A$35:$I$55,4,0))</f>
        <v>56.07</v>
      </c>
      <c r="W117" s="17">
        <f>IF(ISNA(VLOOKUP(A117,'Données projet'!$A$35:$I$55,5,0)),0%,VLOOKUP(A117,'Données projet'!$A$35:$I$55,5,0)*VLOOKUP('Données projet'!$B$9,Paramètres!$A$1:$I$89,7,0))</f>
        <v>0.34400000000000003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67.479204321669386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67.479204321669386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384.57</v>
      </c>
      <c r="BB117" s="13">
        <f>VLOOKUP(A117,'Données projet'!$A$87:$I$107,9,0)</f>
        <v>7.9349999999999969</v>
      </c>
      <c r="BC117" s="13">
        <f t="array" ref="BC117">INDEX(BB:BB,MIN(IF(ISNUMBER(BB117:BB313),ROW(BB117:BB313),"")))</f>
        <v>7.9349999999999969</v>
      </c>
      <c r="BD117" s="13">
        <f>IF('Données projet'!$A$88&gt;35,BD116+BC117-BL116,IF(A117&lt;'Données projet'!$A$88,$BA$205^A117,IF(A117='Données projet'!$A$88,'Données projet'!$B$88,BD116+BC117-BL116)))</f>
        <v>384.57000000000016</v>
      </c>
      <c r="BE117" s="14">
        <f>BD117*VLOOKUP('Données projet'!$B$11,Paramètres!$A$1:$I$89,3,0)*VLOOKUP('Données projet'!$B$11,Paramètres!$A$1:$I$89,5,0)</f>
        <v>389.95398000000023</v>
      </c>
      <c r="BF117" s="14">
        <f t="shared" si="91"/>
        <v>89.736983637102725</v>
      </c>
      <c r="BG117" s="22">
        <f t="shared" si="61"/>
        <v>835.46176166795431</v>
      </c>
      <c r="BH117" s="62">
        <f t="shared" si="62"/>
        <v>1128.7950950012876</v>
      </c>
      <c r="BI117" s="62">
        <f ca="1">AVERAGE(OFFSET($BH$3,0,0,'Données projet'!$E$11+1,1))-AVERAGE(OFFSET($H$3,0,0,'Données projet'!$E$11+1,1))</f>
        <v>502.06005292569733</v>
      </c>
      <c r="BJ117" s="62">
        <f t="shared" si="92"/>
        <v>297.06786598620607</v>
      </c>
      <c r="BK117" s="16">
        <f>IF(ISNA(VLOOKUP(A117,'Données projet'!$A$87:$I$107,3,0)),0,VLOOKUP(A117,'Données projet'!$A$87:$I$107,3,0))</f>
        <v>9</v>
      </c>
      <c r="BL117" s="16">
        <f>IF(ISNA(VLOOKUP(A117,'Données projet'!$A$87:$I$107,4,0)),0,VLOOKUP(A117,'Données projet'!$A$87:$I$107,4,0))</f>
        <v>56.07</v>
      </c>
      <c r="BM117" s="17">
        <f>IF(ISNA(VLOOKUP(A117,'Données projet'!$A$87:$I$107,5,0)),0%,VLOOKUP(A117,'Données projet'!$A$87:$I$107,5,0)*VLOOKUP('Données projet'!$B$11,Paramètres!$A$1:$I$89,7,0))</f>
        <v>0.34400000000000003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75.62324622256051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75.62324622256051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-2.8421709430404007E-14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-5.1431925385259088E-14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204.787338911576</v>
      </c>
      <c r="CZ117" s="62">
        <f t="shared" si="96"/>
        <v>287.24932051638558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8.8704281686224657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8.8704281686224657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4.8</v>
      </c>
      <c r="DO117" s="13">
        <f>IF('Données projet'!$A$166&gt;35,DO116+DN117-DW116,IF(A117&lt;'Données projet'!$A$166,$DL$205^A117,IF(A117='Données projet'!$A$166,'Données projet'!$B$166,DO116+DN117-DW116)))</f>
        <v>239.2000000000001</v>
      </c>
      <c r="DP117" s="18">
        <f>DO117*VLOOKUP('Données projet'!$B$14,Paramètres!$A$1:$I$89,3,0)*VLOOKUP('Données projet'!$B$14,Paramètres!$A$1:$I$89,5,0)</f>
        <v>227.6227200000001</v>
      </c>
      <c r="DQ117" s="14">
        <f t="shared" si="97"/>
        <v>55.768347604909572</v>
      </c>
      <c r="DR117" s="22">
        <f t="shared" si="70"/>
        <v>493.57277607855099</v>
      </c>
      <c r="DS117" s="62">
        <f t="shared" si="71"/>
        <v>786.90610941188424</v>
      </c>
      <c r="DT117" s="62">
        <f ca="1">AVERAGE(OFFSET($DS$3,0,0,'Données projet'!$E$14+1,1))-AVERAGE(OFFSET($H$3,0,0,'Données projet'!$E$14+1,1))</f>
        <v>309.55876703480277</v>
      </c>
      <c r="DU117" s="62">
        <f t="shared" si="98"/>
        <v>122.43799205838684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39.601535262691037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39.601535262691037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8.1166666666666547</v>
      </c>
      <c r="EJ117" s="13">
        <f>IF('Données projet'!$A$192&gt;35,EJ116+EI117-ER116,IF(A117&lt;'Données projet'!$A$192,$EG$205^A117,IF(A117='Données projet'!$A$192,'Données projet'!$B$192,EJ116+EI117-ER116)))</f>
        <v>414.65333333333308</v>
      </c>
      <c r="EK117" s="18">
        <f>EJ117*VLOOKUP('Données projet'!$B$15,Paramètres!$A$1:$I$89,3,0)*VLOOKUP('Données projet'!$B$15,Paramètres!$A$1:$I$89,5,0)</f>
        <v>194.05775999999989</v>
      </c>
      <c r="EL117" s="14">
        <f t="shared" si="99"/>
        <v>48.435959665408149</v>
      </c>
      <c r="EM117" s="22">
        <f t="shared" si="73"/>
        <v>422.34322841725231</v>
      </c>
      <c r="EN117" s="62">
        <f t="shared" si="74"/>
        <v>715.67656175058562</v>
      </c>
      <c r="EO117" s="62">
        <f ca="1">AVERAGE(OFFSET($EN$3,0,0,'Données projet'!$E$15+1,1))-AVERAGE(OFFSET($H$3,0,0,'Données projet'!$E$15+1,1))</f>
        <v>301.04834785168049</v>
      </c>
      <c r="EP117" s="62">
        <f t="shared" si="100"/>
        <v>164.1450425611464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55.07618368314143</v>
      </c>
      <c r="EW117" s="23">
        <f>EXP(-LN(2)/25)*EW116+(1-EXP(-LN(2)/25))/(LN(2)/25)*Calculateur!ER117*Calculateur!ET117*VLOOKUP('Données projet'!$B$15,Paramètres!$A$1:$I$89,3,0)*0.475*44/12</f>
        <v>24.221669149992547</v>
      </c>
      <c r="EX117" s="23">
        <f>EXP(-LN(2)/2)*EX116+(1-EXP(-LN(2)/2))/(LN(2)/2)*ER117*EU117*VLOOKUP('Données projet'!$B$15,Paramètres!$A$1:$I$89,3,0)*0.475*44/12</f>
        <v>1.1333182952253362</v>
      </c>
      <c r="EY117" s="24">
        <f t="shared" si="75"/>
        <v>80.43117112835931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6.231111111111109</v>
      </c>
      <c r="FE117" s="13">
        <f>IF('Données projet'!$A$218&gt;35,FE116+FD117-FM116,IF(A117&lt;'Données projet'!$A$218,$FB$205^A117,IF(A117='Données projet'!$A$218,'Données projet'!$B$218,FE116+FD117-FM116)))</f>
        <v>234.47111111111087</v>
      </c>
      <c r="FF117" s="18">
        <f>FE117*VLOOKUP('Données projet'!$B$16,Paramètres!$A$1:$I$89,3,0)*VLOOKUP('Données projet'!$B$16,Paramètres!$A$1:$I$89,5,0)</f>
        <v>212.14946133333311</v>
      </c>
      <c r="FG117" s="14">
        <f t="shared" si="101"/>
        <v>52.405018328592838</v>
      </c>
      <c r="FH117" s="22">
        <f t="shared" si="76"/>
        <v>460.76571874452105</v>
      </c>
      <c r="FI117" s="62">
        <f t="shared" si="77"/>
        <v>754.09905207785437</v>
      </c>
      <c r="FJ117" s="62">
        <f ca="1">AVERAGE(OFFSET($FI$3,0,0,'Données projet'!$E$16+1,1))-AVERAGE(OFFSET($H$3,0,0,'Données projet'!$E$16+1,1))</f>
        <v>330.53726676433649</v>
      </c>
      <c r="FK117" s="62">
        <f t="shared" si="102"/>
        <v>228.01260676706528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31.595245659790411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31.595245659790411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6.231111111111109</v>
      </c>
      <c r="FZ117" s="13">
        <f>IF('Données projet'!$A$244&gt;35,FZ116+FY117-GH116,IF(A117&lt;'Données projet'!$A$244,$FW$205^A117,IF(A117='Données projet'!$A$244,'Données projet'!$B$244,FZ116+FY117-GH116)))</f>
        <v>234.47111111111087</v>
      </c>
      <c r="GA117" s="18">
        <f>FZ117*VLOOKUP('Données projet'!$B$17,Paramètres!$A$1:$I$89,3,0)*VLOOKUP('Données projet'!$B$17,Paramètres!$A$1:$I$89,5,0)</f>
        <v>267.01570133333308</v>
      </c>
      <c r="GB117" s="14">
        <f t="shared" si="103"/>
        <v>64.215516687906018</v>
      </c>
      <c r="GC117" s="22">
        <f t="shared" si="79"/>
        <v>576.89437138699134</v>
      </c>
      <c r="GD117" s="62">
        <f t="shared" si="80"/>
        <v>870.22770472032471</v>
      </c>
      <c r="GE117" s="62">
        <f ca="1">AVERAGE(OFFSET($GD$3,0,0,'Données projet'!$E$17+1,1))-AVERAGE(OFFSET($H$3,0,0,'Données projet'!$E$17+1,1))</f>
        <v>405.71017054131318</v>
      </c>
      <c r="GF117" s="62">
        <f t="shared" si="104"/>
        <v>276.12900965322166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39.766429882149993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39.766429882149993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6.231111111111109</v>
      </c>
      <c r="GU117" s="13">
        <f>IF('Données projet'!$A$270&gt;35,GU116+GT117-HC116,IF(A117&lt;'Données projet'!$A$270,$GR$205^A117,IF(A117='Données projet'!$A$270,'Données projet'!$B$270,GU116+GT117-HC116)))</f>
        <v>234.47111111111087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7.9920000000000018</v>
      </c>
      <c r="N118" s="14">
        <f>IF('Données projet'!$A$36&gt;35,N117+M118-V117,IF(A118&lt;'Données projet'!$A$36,$K$205^A118,IF(A118='Données projet'!$A$36,'Données projet'!$B$36,N117+M118-V117)))</f>
        <v>336.49200000000019</v>
      </c>
      <c r="O118" s="14">
        <f>N118*VLOOKUP('Données projet'!$B$9,Paramètres!$A$1:$I$89,3,0)*VLOOKUP('Données projet'!$B$9,Paramètres!$A$1:$I$89,5,0)</f>
        <v>304.4579616000002</v>
      </c>
      <c r="P118" s="14">
        <f t="shared" si="87"/>
        <v>72.110219644814279</v>
      </c>
      <c r="Q118" s="22">
        <f t="shared" si="107"/>
        <v>655.85624900138521</v>
      </c>
      <c r="R118" s="62">
        <f t="shared" si="55"/>
        <v>949.18958233471858</v>
      </c>
      <c r="S118" s="62">
        <f ca="1">AVERAGE(OFFSET($R$3,0,0,'Données projet'!$E$9+1,1))-AVERAGE(OFFSET($H$3,0,0,'Données projet'!$E$9+1,1))</f>
        <v>452.54136967045082</v>
      </c>
      <c r="T118" s="62">
        <f t="shared" si="88"/>
        <v>269.67340993773422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66.155978283172047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66.155978283172047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7.9920000000000018</v>
      </c>
      <c r="BD118" s="13">
        <f>IF('Données projet'!$A$88&gt;35,BD117+BC118-BL117,IF(A118&lt;'Données projet'!$A$88,$BA$205^A118,IF(A118='Données projet'!$A$88,'Données projet'!$B$88,BD117+BC118-BL117)))</f>
        <v>336.49200000000019</v>
      </c>
      <c r="BE118" s="14">
        <f>BD118*VLOOKUP('Données projet'!$B$11,Paramètres!$A$1:$I$89,3,0)*VLOOKUP('Données projet'!$B$11,Paramètres!$A$1:$I$89,5,0)</f>
        <v>341.2028880000002</v>
      </c>
      <c r="BF118" s="14">
        <f t="shared" si="91"/>
        <v>79.748419593074516</v>
      </c>
      <c r="BG118" s="22">
        <f t="shared" si="61"/>
        <v>733.15686072460505</v>
      </c>
      <c r="BH118" s="62">
        <f t="shared" si="62"/>
        <v>1026.4901940579384</v>
      </c>
      <c r="BI118" s="62">
        <f ca="1">AVERAGE(OFFSET($BH$3,0,0,'Données projet'!$E$11+1,1))-AVERAGE(OFFSET($H$3,0,0,'Données projet'!$E$11+1,1))</f>
        <v>502.06005292569733</v>
      </c>
      <c r="BJ118" s="62">
        <f t="shared" si="92"/>
        <v>297.06786598620607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74.140320489761763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74.140320489761763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-2.8421709430404007E-14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-5.1431925385259088E-14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204.787338911576</v>
      </c>
      <c r="CZ118" s="62">
        <f t="shared" si="96"/>
        <v>287.24932051638558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8.6964844826627274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8.6964844826627274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244</v>
      </c>
      <c r="DM118" s="13">
        <f>VLOOKUP(A118,'Données projet'!$A$165:$I$185,9,0)</f>
        <v>4.8</v>
      </c>
      <c r="DN118" s="13">
        <f t="array" ref="DN118">INDEX(DM:DM,MIN(IF(ISNUMBER(DM118:DM314),ROW(DM118:DM314),"")))</f>
        <v>4.8</v>
      </c>
      <c r="DO118" s="13">
        <f>IF('Données projet'!$A$166&gt;35,DO117+DN118-DW117,IF(A118&lt;'Données projet'!$A$166,$DL$205^A118,IF(A118='Données projet'!$A$166,'Données projet'!$B$166,DO117+DN118-DW117)))</f>
        <v>244.00000000000011</v>
      </c>
      <c r="DP118" s="18">
        <f>DO118*VLOOKUP('Données projet'!$B$14,Paramètres!$A$1:$I$89,3,0)*VLOOKUP('Données projet'!$B$14,Paramètres!$A$1:$I$89,5,0)</f>
        <v>232.1904000000001</v>
      </c>
      <c r="DQ118" s="14">
        <f t="shared" si="97"/>
        <v>56.756035639094605</v>
      </c>
      <c r="DR118" s="22">
        <f t="shared" si="70"/>
        <v>503.24837540475659</v>
      </c>
      <c r="DS118" s="62">
        <f t="shared" si="71"/>
        <v>796.5817087380899</v>
      </c>
      <c r="DT118" s="62">
        <f ca="1">AVERAGE(OFFSET($DS$3,0,0,'Données projet'!$E$14+1,1))-AVERAGE(OFFSET($H$3,0,0,'Données projet'!$E$14+1,1))</f>
        <v>309.55876703480277</v>
      </c>
      <c r="DU118" s="62">
        <f t="shared" si="98"/>
        <v>122.43799205838684</v>
      </c>
      <c r="DV118" s="16">
        <f>IF(ISNA(VLOOKUP(A118,'Données projet'!$A$165:$I$185,3,0)),0,VLOOKUP(A118,'Données projet'!$A$165:$I$185,3,0))</f>
        <v>16</v>
      </c>
      <c r="DW118" s="16">
        <f>IF(ISNA(VLOOKUP(A118,'Données projet'!$A$165:$I$185,4,0)),0,VLOOKUP(A118,'Données projet'!$A$165:$I$185,4,0))</f>
        <v>21</v>
      </c>
      <c r="DX118" s="17">
        <f>IF(ISNA(VLOOKUP(A118,'Données projet'!$A$165:$I$185,5,0)),0%,VLOOKUP(A118,'Données projet'!$A$165:$I$185,5,0)*VLOOKUP('Données projet'!$B$14,Paramètres!$A$1:$I$89,7,0))</f>
        <v>0.34400000000000003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46.424372900234637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46.424372900234637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>
        <f>VLOOKUP(A118,'Données projet'!$A$191:$I$211,2,0)</f>
        <v>422.77</v>
      </c>
      <c r="EH118" s="13">
        <f>VLOOKUP(A118,'Données projet'!$A$191:$I$211,9,0)</f>
        <v>8.1166666666666547</v>
      </c>
      <c r="EI118" s="13">
        <f t="array" ref="EI118">INDEX(EH:EH,MIN(IF(ISNUMBER(EH118:EH314),ROW(EH118:EH314),"")))</f>
        <v>8.1166666666666547</v>
      </c>
      <c r="EJ118" s="13">
        <f>IF('Données projet'!$A$192&gt;35,EJ117+EI118-ER117,IF(A118&lt;'Données projet'!$A$192,$EG$205^A118,IF(A118='Données projet'!$A$192,'Données projet'!$B$192,EJ117+EI118-ER117)))</f>
        <v>422.76999999999975</v>
      </c>
      <c r="EK118" s="18">
        <f>EJ118*VLOOKUP('Données projet'!$B$15,Paramètres!$A$1:$I$89,3,0)*VLOOKUP('Données projet'!$B$15,Paramètres!$A$1:$I$89,5,0)</f>
        <v>197.85635999999988</v>
      </c>
      <c r="EL118" s="14">
        <f t="shared" si="99"/>
        <v>49.272765479757702</v>
      </c>
      <c r="EM118" s="22">
        <f t="shared" si="73"/>
        <v>430.41656021057776</v>
      </c>
      <c r="EN118" s="62">
        <f t="shared" si="74"/>
        <v>723.74989354391107</v>
      </c>
      <c r="EO118" s="62">
        <f ca="1">AVERAGE(OFFSET($EN$3,0,0,'Données projet'!$E$15+1,1))-AVERAGE(OFFSET($H$3,0,0,'Données projet'!$E$15+1,1))</f>
        <v>301.04834785168049</v>
      </c>
      <c r="EP118" s="62">
        <f t="shared" si="100"/>
        <v>164.1450425611464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53.996173314270024</v>
      </c>
      <c r="EW118" s="23">
        <f>EXP(-LN(2)/25)*EW117+(1-EXP(-LN(2)/25))/(LN(2)/25)*Calculateur!ER118*Calculateur!ET118*VLOOKUP('Données projet'!$B$15,Paramètres!$A$1:$I$89,3,0)*0.475*44/12</f>
        <v>23.559326333323778</v>
      </c>
      <c r="EX118" s="23">
        <f>EXP(-LN(2)/2)*EX117+(1-EXP(-LN(2)/2))/(LN(2)/2)*ER118*EU118*VLOOKUP('Données projet'!$B$15,Paramètres!$A$1:$I$89,3,0)*0.475*44/12</f>
        <v>0.80137705179661289</v>
      </c>
      <c r="EY118" s="24">
        <f t="shared" si="75"/>
        <v>78.356876699390412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6.231111111111109</v>
      </c>
      <c r="FE118" s="13">
        <f>IF('Données projet'!$A$218&gt;35,FE117+FD118-FM117,IF(A118&lt;'Données projet'!$A$218,$FB$205^A118,IF(A118='Données projet'!$A$218,'Données projet'!$B$218,FE117+FD118-FM117)))</f>
        <v>240.70222222222199</v>
      </c>
      <c r="FF118" s="18">
        <f>FE118*VLOOKUP('Données projet'!$B$16,Paramètres!$A$1:$I$89,3,0)*VLOOKUP('Données projet'!$B$16,Paramètres!$A$1:$I$89,5,0)</f>
        <v>217.78737066666645</v>
      </c>
      <c r="FG118" s="14">
        <f t="shared" si="101"/>
        <v>53.633699115108605</v>
      </c>
      <c r="FH118" s="22">
        <f t="shared" si="76"/>
        <v>472.72502986992487</v>
      </c>
      <c r="FI118" s="62">
        <f t="shared" si="77"/>
        <v>766.05836320325818</v>
      </c>
      <c r="FJ118" s="62">
        <f ca="1">AVERAGE(OFFSET($FI$3,0,0,'Données projet'!$E$16+1,1))-AVERAGE(OFFSET($H$3,0,0,'Données projet'!$E$16+1,1))</f>
        <v>330.53726676433649</v>
      </c>
      <c r="FK118" s="62">
        <f t="shared" si="102"/>
        <v>228.01260676706528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30.975682163598901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30.975682163598901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6.231111111111109</v>
      </c>
      <c r="FZ118" s="13">
        <f>IF('Données projet'!$A$244&gt;35,FZ117+FY118-GH117,IF(A118&lt;'Données projet'!$A$244,$FW$205^A118,IF(A118='Données projet'!$A$244,'Données projet'!$B$244,FZ117+FY118-GH117)))</f>
        <v>240.70222222222199</v>
      </c>
      <c r="GA118" s="18">
        <f>FZ118*VLOOKUP('Données projet'!$B$17,Paramètres!$A$1:$I$89,3,0)*VLOOKUP('Données projet'!$B$17,Paramètres!$A$1:$I$89,5,0)</f>
        <v>274.11169066666639</v>
      </c>
      <c r="GB118" s="14">
        <f t="shared" si="103"/>
        <v>65.721104779792313</v>
      </c>
      <c r="GC118" s="22">
        <f t="shared" si="79"/>
        <v>591.87545206924881</v>
      </c>
      <c r="GD118" s="62">
        <f t="shared" si="80"/>
        <v>885.20878540258218</v>
      </c>
      <c r="GE118" s="62">
        <f ca="1">AVERAGE(OFFSET($GD$3,0,0,'Données projet'!$E$17+1,1))-AVERAGE(OFFSET($H$3,0,0,'Données projet'!$E$17+1,1))</f>
        <v>405.71017054131318</v>
      </c>
      <c r="GF118" s="62">
        <f t="shared" si="104"/>
        <v>276.12900965322166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38.986634447288267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38.986634447288267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6.231111111111109</v>
      </c>
      <c r="GU118" s="13">
        <f>IF('Données projet'!$A$270&gt;35,GU117+GT118-HC117,IF(A118&lt;'Données projet'!$A$270,$GR$205^A118,IF(A118='Données projet'!$A$270,'Données projet'!$B$270,GU117+GT118-HC117)))</f>
        <v>240.70222222222199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7.9920000000000018</v>
      </c>
      <c r="N119" s="14">
        <f>IF('Données projet'!$A$36&gt;35,N118+M119-V118,IF(A119&lt;'Données projet'!$A$36,$K$205^A119,IF(A119='Données projet'!$A$36,'Données projet'!$B$36,N118+M119-V118)))</f>
        <v>344.48400000000021</v>
      </c>
      <c r="O119" s="14">
        <f>N119*VLOOKUP('Données projet'!$B$9,Paramètres!$A$1:$I$89,3,0)*VLOOKUP('Données projet'!$B$9,Paramètres!$A$1:$I$89,5,0)</f>
        <v>311.68912320000015</v>
      </c>
      <c r="P119" s="14">
        <f t="shared" si="87"/>
        <v>73.621474685301422</v>
      </c>
      <c r="Q119" s="22">
        <f t="shared" si="107"/>
        <v>671.08262465023358</v>
      </c>
      <c r="R119" s="62">
        <f t="shared" si="55"/>
        <v>964.41595798356684</v>
      </c>
      <c r="S119" s="62">
        <f ca="1">AVERAGE(OFFSET($R$3,0,0,'Données projet'!$E$9+1,1))-AVERAGE(OFFSET($H$3,0,0,'Données projet'!$E$9+1,1))</f>
        <v>452.54136967045082</v>
      </c>
      <c r="T119" s="62">
        <f t="shared" si="88"/>
        <v>269.67340993773422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64.858699900201444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64.858699900201444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7.9920000000000018</v>
      </c>
      <c r="BD119" s="13">
        <f>IF('Données projet'!$A$88&gt;35,BD118+BC119-BL118,IF(A119&lt;'Données projet'!$A$88,$BA$205^A119,IF(A119='Données projet'!$A$88,'Données projet'!$B$88,BD118+BC119-BL118)))</f>
        <v>344.48400000000021</v>
      </c>
      <c r="BE119" s="14">
        <f>BD119*VLOOKUP('Données projet'!$B$11,Paramètres!$A$1:$I$89,3,0)*VLOOKUP('Données projet'!$B$11,Paramètres!$A$1:$I$89,5,0)</f>
        <v>349.30677600000024</v>
      </c>
      <c r="BF119" s="14">
        <f t="shared" si="91"/>
        <v>81.41975275049036</v>
      </c>
      <c r="BG119" s="22">
        <f t="shared" si="61"/>
        <v>750.18203757377114</v>
      </c>
      <c r="BH119" s="62">
        <f t="shared" si="62"/>
        <v>1043.5153709071044</v>
      </c>
      <c r="BI119" s="62">
        <f ca="1">AVERAGE(OFFSET($BH$3,0,0,'Données projet'!$E$11+1,1))-AVERAGE(OFFSET($H$3,0,0,'Données projet'!$E$11+1,1))</f>
        <v>502.06005292569733</v>
      </c>
      <c r="BJ119" s="62">
        <f t="shared" si="92"/>
        <v>297.06786598620607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72.686474026087822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72.686474026087822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-2.8421709430404007E-14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-5.1431925385259088E-14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204.787338911576</v>
      </c>
      <c r="CZ119" s="62">
        <f t="shared" si="96"/>
        <v>287.24932051638558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8.5259517262894864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8.5259517262894864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4.5999999999999996</v>
      </c>
      <c r="DO119" s="13">
        <f>IF('Données projet'!$A$166&gt;35,DO118+DN119-DW118,IF(A119&lt;'Données projet'!$A$166,$DL$205^A119,IF(A119='Données projet'!$A$166,'Données projet'!$B$166,DO118+DN119-DW118)))</f>
        <v>227.60000000000011</v>
      </c>
      <c r="DP119" s="18">
        <f>DO119*VLOOKUP('Données projet'!$B$14,Paramètres!$A$1:$I$89,3,0)*VLOOKUP('Données projet'!$B$14,Paramètres!$A$1:$I$89,5,0)</f>
        <v>216.58416000000011</v>
      </c>
      <c r="DQ119" s="14">
        <f t="shared" si="97"/>
        <v>53.371794984714285</v>
      </c>
      <c r="DR119" s="22">
        <f t="shared" si="70"/>
        <v>470.17328826504416</v>
      </c>
      <c r="DS119" s="62">
        <f t="shared" si="71"/>
        <v>763.50662159837748</v>
      </c>
      <c r="DT119" s="62">
        <f ca="1">AVERAGE(OFFSET($DS$3,0,0,'Données projet'!$E$14+1,1))-AVERAGE(OFFSET($H$3,0,0,'Données projet'!$E$14+1,1))</f>
        <v>309.55876703480277</v>
      </c>
      <c r="DU119" s="62">
        <f t="shared" si="98"/>
        <v>122.43799205838684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45.514019263732528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45.514019263732528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8.0750000000000082</v>
      </c>
      <c r="EJ119" s="13">
        <f>IF('Données projet'!$A$192&gt;35,EJ118+EI119-ER118,IF(A119&lt;'Données projet'!$A$192,$EG$205^A119,IF(A119='Données projet'!$A$192,'Données projet'!$B$192,EJ118+EI119-ER118)))</f>
        <v>430.84499999999974</v>
      </c>
      <c r="EK119" s="18">
        <f>EJ119*VLOOKUP('Données projet'!$B$15,Paramètres!$A$1:$I$89,3,0)*VLOOKUP('Données projet'!$B$15,Paramètres!$A$1:$I$89,5,0)</f>
        <v>201.63545999999988</v>
      </c>
      <c r="EL119" s="14">
        <f t="shared" si="99"/>
        <v>50.103421794276827</v>
      </c>
      <c r="EM119" s="22">
        <f t="shared" si="73"/>
        <v>438.44521912503188</v>
      </c>
      <c r="EN119" s="62">
        <f t="shared" si="74"/>
        <v>731.7785524583652</v>
      </c>
      <c r="EO119" s="62">
        <f ca="1">AVERAGE(OFFSET($EN$3,0,0,'Données projet'!$E$15+1,1))-AVERAGE(OFFSET($H$3,0,0,'Données projet'!$E$15+1,1))</f>
        <v>301.04834785168049</v>
      </c>
      <c r="EP119" s="62">
        <f t="shared" si="100"/>
        <v>164.1450425611464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52.937341289990904</v>
      </c>
      <c r="EW119" s="23">
        <f>EXP(-LN(2)/25)*EW118+(1-EXP(-LN(2)/25))/(LN(2)/25)*Calculateur!ER119*Calculateur!ET119*VLOOKUP('Données projet'!$B$15,Paramètres!$A$1:$I$89,3,0)*0.475*44/12</f>
        <v>22.915095315807914</v>
      </c>
      <c r="EX119" s="23">
        <f>EXP(-LN(2)/2)*EX118+(1-EXP(-LN(2)/2))/(LN(2)/2)*ER119*EU119*VLOOKUP('Données projet'!$B$15,Paramètres!$A$1:$I$89,3,0)*0.475*44/12</f>
        <v>0.56665914761266811</v>
      </c>
      <c r="EY119" s="24">
        <f t="shared" si="75"/>
        <v>76.419095753411483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6.231111111111109</v>
      </c>
      <c r="FE119" s="13">
        <f>IF('Données projet'!$A$218&gt;35,FE118+FD119-FM118,IF(A119&lt;'Données projet'!$A$218,$FB$205^A119,IF(A119='Données projet'!$A$218,'Données projet'!$B$218,FE118+FD119-FM118)))</f>
        <v>246.93333333333311</v>
      </c>
      <c r="FF119" s="18">
        <f>FE119*VLOOKUP('Données projet'!$B$16,Paramètres!$A$1:$I$89,3,0)*VLOOKUP('Données projet'!$B$16,Paramètres!$A$1:$I$89,5,0)</f>
        <v>223.42527999999982</v>
      </c>
      <c r="FG119" s="14">
        <f t="shared" si="101"/>
        <v>54.858682687974834</v>
      </c>
      <c r="FH119" s="22">
        <f t="shared" si="76"/>
        <v>484.67790168155574</v>
      </c>
      <c r="FI119" s="62">
        <f t="shared" si="77"/>
        <v>778.01123501488905</v>
      </c>
      <c r="FJ119" s="62">
        <f ca="1">AVERAGE(OFFSET($FI$3,0,0,'Données projet'!$E$16+1,1))-AVERAGE(OFFSET($H$3,0,0,'Données projet'!$E$16+1,1))</f>
        <v>330.53726676433649</v>
      </c>
      <c r="FK119" s="62">
        <f t="shared" si="102"/>
        <v>228.01260676706528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30.368267929671287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30.368267929671287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6.231111111111109</v>
      </c>
      <c r="FZ119" s="13">
        <f>IF('Données projet'!$A$244&gt;35,FZ118+FY119-GH118,IF(A119&lt;'Données projet'!$A$244,$FW$205^A119,IF(A119='Données projet'!$A$244,'Données projet'!$B$244,FZ118+FY119-GH118)))</f>
        <v>246.93333333333311</v>
      </c>
      <c r="GA119" s="18">
        <f>FZ119*VLOOKUP('Données projet'!$B$17,Paramètres!$A$1:$I$89,3,0)*VLOOKUP('Données projet'!$B$17,Paramètres!$A$1:$I$89,5,0)</f>
        <v>281.20767999999975</v>
      </c>
      <c r="GB119" s="14">
        <f t="shared" si="103"/>
        <v>67.222162418443673</v>
      </c>
      <c r="GC119" s="22">
        <f t="shared" si="79"/>
        <v>606.84864221212217</v>
      </c>
      <c r="GD119" s="62">
        <f t="shared" si="80"/>
        <v>900.18197554545554</v>
      </c>
      <c r="GE119" s="62">
        <f ca="1">AVERAGE(OFFSET($GD$3,0,0,'Données projet'!$E$17+1,1))-AVERAGE(OFFSET($H$3,0,0,'Données projet'!$E$17+1,1))</f>
        <v>405.71017054131318</v>
      </c>
      <c r="GF119" s="62">
        <f t="shared" si="104"/>
        <v>276.12900965322166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38.222130325275927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38.222130325275927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6.231111111111109</v>
      </c>
      <c r="GU119" s="13">
        <f>IF('Données projet'!$A$270&gt;35,GU118+GT119-HC118,IF(A119&lt;'Données projet'!$A$270,$GR$205^A119,IF(A119='Données projet'!$A$270,'Données projet'!$B$270,GU118+GT119-HC118)))</f>
        <v>246.93333333333311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7.9920000000000018</v>
      </c>
      <c r="N120" s="14">
        <f>IF('Données projet'!$A$36&gt;35,N119+M120-V119,IF(A120&lt;'Données projet'!$A$36,$K$205^A120,IF(A120='Données projet'!$A$36,'Données projet'!$B$36,N119+M120-V119)))</f>
        <v>352.47600000000023</v>
      </c>
      <c r="O120" s="14">
        <f>N120*VLOOKUP('Données projet'!$B$9,Paramètres!$A$1:$I$89,3,0)*VLOOKUP('Données projet'!$B$9,Paramètres!$A$1:$I$89,5,0)</f>
        <v>318.92028480000022</v>
      </c>
      <c r="P120" s="14">
        <f t="shared" si="87"/>
        <v>75.128653745521831</v>
      </c>
      <c r="Q120" s="22">
        <f t="shared" si="107"/>
        <v>686.30190130011749</v>
      </c>
      <c r="R120" s="62">
        <f t="shared" si="55"/>
        <v>979.63523463345086</v>
      </c>
      <c r="S120" s="62">
        <f ca="1">AVERAGE(OFFSET($R$3,0,0,'Données projet'!$E$9+1,1))-AVERAGE(OFFSET($H$3,0,0,'Données projet'!$E$9+1,1))</f>
        <v>452.54136967045082</v>
      </c>
      <c r="T120" s="62">
        <f t="shared" si="88"/>
        <v>269.67340993773422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63.586860355059216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63.586860355059216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7.9920000000000018</v>
      </c>
      <c r="BD120" s="13">
        <f>IF('Données projet'!$A$88&gt;35,BD119+BC120-BL119,IF(A120&lt;'Données projet'!$A$88,$BA$205^A120,IF(A120='Données projet'!$A$88,'Données projet'!$B$88,BD119+BC120-BL119)))</f>
        <v>352.47600000000023</v>
      </c>
      <c r="BE120" s="14">
        <f>BD120*VLOOKUP('Données projet'!$B$11,Paramètres!$A$1:$I$89,3,0)*VLOOKUP('Données projet'!$B$11,Paramètres!$A$1:$I$89,5,0)</f>
        <v>357.41066400000028</v>
      </c>
      <c r="BF120" s="14">
        <f t="shared" si="91"/>
        <v>83.08657818367287</v>
      </c>
      <c r="BG120" s="22">
        <f t="shared" si="61"/>
        <v>767.19936346989743</v>
      </c>
      <c r="BH120" s="62">
        <f t="shared" si="62"/>
        <v>1060.5326968032307</v>
      </c>
      <c r="BI120" s="62">
        <f ca="1">AVERAGE(OFFSET($BH$3,0,0,'Données projet'!$E$11+1,1))-AVERAGE(OFFSET($H$3,0,0,'Données projet'!$E$11+1,1))</f>
        <v>502.06005292569733</v>
      </c>
      <c r="BJ120" s="62">
        <f t="shared" si="92"/>
        <v>297.06786598620607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71.261136604807746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71.261136604807746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-2.8421709430404007E-14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-5.1431925385259088E-14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204.787338911576</v>
      </c>
      <c r="CZ120" s="62">
        <f t="shared" si="96"/>
        <v>287.24932051638558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8.3587630132540145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8.3587630132540145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4.5999999999999996</v>
      </c>
      <c r="DO120" s="13">
        <f>IF('Données projet'!$A$166&gt;35,DO119+DN120-DW119,IF(A120&lt;'Données projet'!$A$166,$DL$205^A120,IF(A120='Données projet'!$A$166,'Données projet'!$B$166,DO119+DN120-DW119)))</f>
        <v>232.2000000000001</v>
      </c>
      <c r="DP120" s="18">
        <f>DO120*VLOOKUP('Données projet'!$B$14,Paramètres!$A$1:$I$89,3,0)*VLOOKUP('Données projet'!$B$14,Paramètres!$A$1:$I$89,5,0)</f>
        <v>220.96152000000009</v>
      </c>
      <c r="DQ120" s="14">
        <f t="shared" si="97"/>
        <v>54.323814270404277</v>
      </c>
      <c r="DR120" s="22">
        <f t="shared" si="70"/>
        <v>479.45529052095429</v>
      </c>
      <c r="DS120" s="62">
        <f t="shared" si="71"/>
        <v>772.78862385428761</v>
      </c>
      <c r="DT120" s="62">
        <f ca="1">AVERAGE(OFFSET($DS$3,0,0,'Données projet'!$E$14+1,1))-AVERAGE(OFFSET($H$3,0,0,'Données projet'!$E$14+1,1))</f>
        <v>309.55876703480277</v>
      </c>
      <c r="DU120" s="62">
        <f t="shared" si="98"/>
        <v>122.43799205838684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44.621517106781333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44.621517106781333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8.0750000000000082</v>
      </c>
      <c r="EJ120" s="13">
        <f>IF('Données projet'!$A$192&gt;35,EJ119+EI120-ER119,IF(A120&lt;'Données projet'!$A$192,$EG$205^A120,IF(A120='Données projet'!$A$192,'Données projet'!$B$192,EJ119+EI120-ER119)))</f>
        <v>438.91999999999973</v>
      </c>
      <c r="EK120" s="18">
        <f>EJ120*VLOOKUP('Données projet'!$B$15,Paramètres!$A$1:$I$89,3,0)*VLOOKUP('Données projet'!$B$15,Paramètres!$A$1:$I$89,5,0)</f>
        <v>205.41455999999985</v>
      </c>
      <c r="EL120" s="14">
        <f t="shared" si="99"/>
        <v>50.932267815001111</v>
      </c>
      <c r="EM120" s="22">
        <f t="shared" si="73"/>
        <v>446.47072511112657</v>
      </c>
      <c r="EN120" s="62">
        <f t="shared" si="74"/>
        <v>739.80405844445988</v>
      </c>
      <c r="EO120" s="62">
        <f ca="1">AVERAGE(OFFSET($EN$3,0,0,'Données projet'!$E$15+1,1))-AVERAGE(OFFSET($H$3,0,0,'Données projet'!$E$15+1,1))</f>
        <v>301.04834785168049</v>
      </c>
      <c r="EP120" s="62">
        <f t="shared" si="100"/>
        <v>164.1450425611464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51.899272315884133</v>
      </c>
      <c r="EW120" s="23">
        <f>EXP(-LN(2)/25)*EW119+(1-EXP(-LN(2)/25))/(LN(2)/25)*Calculateur!ER120*Calculateur!ET120*VLOOKUP('Données projet'!$B$15,Paramètres!$A$1:$I$89,3,0)*0.475*44/12</f>
        <v>22.288480829344657</v>
      </c>
      <c r="EX120" s="23">
        <f>EXP(-LN(2)/2)*EX119+(1-EXP(-LN(2)/2))/(LN(2)/2)*ER120*EU120*VLOOKUP('Données projet'!$B$15,Paramètres!$A$1:$I$89,3,0)*0.475*44/12</f>
        <v>0.40068852589830645</v>
      </c>
      <c r="EY120" s="24">
        <f t="shared" si="75"/>
        <v>74.588441671127086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6.231111111111109</v>
      </c>
      <c r="FE120" s="13">
        <f>IF('Données projet'!$A$218&gt;35,FE119+FD120-FM119,IF(A120&lt;'Données projet'!$A$218,$FB$205^A120,IF(A120='Données projet'!$A$218,'Données projet'!$B$218,FE119+FD120-FM119)))</f>
        <v>253.16444444444423</v>
      </c>
      <c r="FF120" s="18">
        <f>FE120*VLOOKUP('Données projet'!$B$16,Paramètres!$A$1:$I$89,3,0)*VLOOKUP('Données projet'!$B$16,Paramètres!$A$1:$I$89,5,0)</f>
        <v>229.06318933333313</v>
      </c>
      <c r="FG120" s="14">
        <f t="shared" si="101"/>
        <v>56.080073071720093</v>
      </c>
      <c r="FH120" s="22">
        <f t="shared" si="76"/>
        <v>496.62451535546762</v>
      </c>
      <c r="FI120" s="62">
        <f t="shared" si="77"/>
        <v>789.95784868880094</v>
      </c>
      <c r="FJ120" s="62">
        <f ca="1">AVERAGE(OFFSET($FI$3,0,0,'Données projet'!$E$16+1,1))-AVERAGE(OFFSET($H$3,0,0,'Données projet'!$E$16+1,1))</f>
        <v>330.53726676433649</v>
      </c>
      <c r="FK120" s="62">
        <f t="shared" si="102"/>
        <v>228.01260676706528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29.772764718384895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29.772764718384895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6.231111111111109</v>
      </c>
      <c r="FZ120" s="13">
        <f>IF('Données projet'!$A$244&gt;35,FZ119+FY120-GH119,IF(A120&lt;'Données projet'!$A$244,$FW$205^A120,IF(A120='Données projet'!$A$244,'Données projet'!$B$244,FZ119+FY120-GH119)))</f>
        <v>253.16444444444423</v>
      </c>
      <c r="GA120" s="18">
        <f>FZ120*VLOOKUP('Données projet'!$B$17,Paramètres!$A$1:$I$89,3,0)*VLOOKUP('Données projet'!$B$17,Paramètres!$A$1:$I$89,5,0)</f>
        <v>288.30366933333312</v>
      </c>
      <c r="GB120" s="14">
        <f t="shared" si="103"/>
        <v>68.718817072355918</v>
      </c>
      <c r="GC120" s="22">
        <f t="shared" si="79"/>
        <v>621.81416382324176</v>
      </c>
      <c r="GD120" s="62">
        <f t="shared" si="80"/>
        <v>915.14749715657513</v>
      </c>
      <c r="GE120" s="62">
        <f ca="1">AVERAGE(OFFSET($GD$3,0,0,'Données projet'!$E$17+1,1))-AVERAGE(OFFSET($H$3,0,0,'Données projet'!$E$17+1,1))</f>
        <v>405.71017054131318</v>
      </c>
      <c r="GF120" s="62">
        <f t="shared" si="104"/>
        <v>276.12900965322166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37.472617662794775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37.472617662794775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6.231111111111109</v>
      </c>
      <c r="GU120" s="13">
        <f>IF('Données projet'!$A$270&gt;35,GU119+GT120-HC119,IF(A120&lt;'Données projet'!$A$270,$GR$205^A120,IF(A120='Données projet'!$A$270,'Données projet'!$B$270,GU119+GT120-HC119)))</f>
        <v>253.16444444444423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7.9920000000000018</v>
      </c>
      <c r="N121" s="14">
        <f>IF('Données projet'!$A$36&gt;35,N120+M121-V120,IF(A121&lt;'Données projet'!$A$36,$K$205^A121,IF(A121='Données projet'!$A$36,'Données projet'!$B$36,N120+M121-V120)))</f>
        <v>360.46800000000025</v>
      </c>
      <c r="O121" s="14">
        <f>N121*VLOOKUP('Données projet'!$B$9,Paramètres!$A$1:$I$89,3,0)*VLOOKUP('Données projet'!$B$9,Paramètres!$A$1:$I$89,5,0)</f>
        <v>326.15144640000022</v>
      </c>
      <c r="P121" s="14">
        <f t="shared" si="87"/>
        <v>76.631859883081802</v>
      </c>
      <c r="Q121" s="22">
        <f t="shared" si="107"/>
        <v>701.51425844303446</v>
      </c>
      <c r="R121" s="62">
        <f t="shared" si="55"/>
        <v>994.84759177636784</v>
      </c>
      <c r="S121" s="62">
        <f ca="1">AVERAGE(OFFSET($R$3,0,0,'Données projet'!$E$9+1,1))-AVERAGE(OFFSET($H$3,0,0,'Données projet'!$E$9+1,1))</f>
        <v>452.54136967045082</v>
      </c>
      <c r="T121" s="62">
        <f t="shared" si="88"/>
        <v>269.67340993773422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62.339960807651707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62.339960807651707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7.9920000000000018</v>
      </c>
      <c r="BD121" s="13">
        <f>IF('Données projet'!$A$88&gt;35,BD120+BC121-BL120,IF(A121&lt;'Données projet'!$A$88,$BA$205^A121,IF(A121='Données projet'!$A$88,'Données projet'!$B$88,BD120+BC121-BL120)))</f>
        <v>360.46800000000025</v>
      </c>
      <c r="BE121" s="14">
        <f>BD121*VLOOKUP('Données projet'!$B$11,Paramètres!$A$1:$I$89,3,0)*VLOOKUP('Données projet'!$B$11,Paramètres!$A$1:$I$89,5,0)</f>
        <v>365.51455200000026</v>
      </c>
      <c r="BF121" s="14">
        <f t="shared" si="91"/>
        <v>84.749009866497985</v>
      </c>
      <c r="BG121" s="22">
        <f t="shared" si="61"/>
        <v>784.20903691748447</v>
      </c>
      <c r="BH121" s="62">
        <f t="shared" si="62"/>
        <v>1077.5423702508178</v>
      </c>
      <c r="BI121" s="62">
        <f ca="1">AVERAGE(OFFSET($BH$3,0,0,'Données projet'!$E$11+1,1))-AVERAGE(OFFSET($H$3,0,0,'Données projet'!$E$11+1,1))</f>
        <v>502.06005292569733</v>
      </c>
      <c r="BJ121" s="62">
        <f t="shared" si="92"/>
        <v>297.06786598620607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69.863749180988975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69.863749180988975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-2.8421709430404007E-14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-5.1431925385259088E-14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204.787338911576</v>
      </c>
      <c r="CZ121" s="62">
        <f t="shared" si="96"/>
        <v>287.24932051638558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8.1948527689061219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8.1948527689061219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4.5999999999999996</v>
      </c>
      <c r="DO121" s="13">
        <f>IF('Données projet'!$A$166&gt;35,DO120+DN121-DW120,IF(A121&lt;'Données projet'!$A$166,$DL$205^A121,IF(A121='Données projet'!$A$166,'Données projet'!$B$166,DO120+DN121-DW120)))</f>
        <v>236.8000000000001</v>
      </c>
      <c r="DP121" s="18">
        <f>DO121*VLOOKUP('Données projet'!$B$14,Paramètres!$A$1:$I$89,3,0)*VLOOKUP('Données projet'!$B$14,Paramètres!$A$1:$I$89,5,0)</f>
        <v>225.3388800000001</v>
      </c>
      <c r="DQ121" s="14">
        <f t="shared" si="97"/>
        <v>55.273640631292857</v>
      </c>
      <c r="DR121" s="22">
        <f t="shared" si="70"/>
        <v>488.73347343283518</v>
      </c>
      <c r="DS121" s="62">
        <f t="shared" si="71"/>
        <v>782.0668067661685</v>
      </c>
      <c r="DT121" s="62">
        <f ca="1">AVERAGE(OFFSET($DS$3,0,0,'Données projet'!$E$14+1,1))-AVERAGE(OFFSET($H$3,0,0,'Données projet'!$E$14+1,1))</f>
        <v>309.55876703480277</v>
      </c>
      <c r="DU121" s="62">
        <f t="shared" si="98"/>
        <v>122.43799205838684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43.746516372755387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43.746516372755387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8.0750000000000082</v>
      </c>
      <c r="EJ121" s="13">
        <f>IF('Données projet'!$A$192&gt;35,EJ120+EI121-ER120,IF(A121&lt;'Données projet'!$A$192,$EG$205^A121,IF(A121='Données projet'!$A$192,'Données projet'!$B$192,EJ120+EI121-ER120)))</f>
        <v>446.99499999999972</v>
      </c>
      <c r="EK121" s="18">
        <f>EJ121*VLOOKUP('Données projet'!$B$15,Paramètres!$A$1:$I$89,3,0)*VLOOKUP('Données projet'!$B$15,Paramètres!$A$1:$I$89,5,0)</f>
        <v>209.19365999999988</v>
      </c>
      <c r="EL121" s="14">
        <f t="shared" si="99"/>
        <v>51.759340687800432</v>
      </c>
      <c r="EM121" s="22">
        <f t="shared" si="73"/>
        <v>454.49314286458565</v>
      </c>
      <c r="EN121" s="62">
        <f t="shared" si="74"/>
        <v>747.82647619791896</v>
      </c>
      <c r="EO121" s="62">
        <f ca="1">AVERAGE(OFFSET($EN$3,0,0,'Données projet'!$E$15+1,1))-AVERAGE(OFFSET($H$3,0,0,'Données projet'!$E$15+1,1))</f>
        <v>301.04834785168049</v>
      </c>
      <c r="EP121" s="62">
        <f t="shared" si="100"/>
        <v>164.1450425611464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50.881559241200044</v>
      </c>
      <c r="EW121" s="23">
        <f>EXP(-LN(2)/25)*EW120+(1-EXP(-LN(2)/25))/(LN(2)/25)*Calculateur!ER121*Calculateur!ET121*VLOOKUP('Données projet'!$B$15,Paramètres!$A$1:$I$89,3,0)*0.475*44/12</f>
        <v>21.679001148965963</v>
      </c>
      <c r="EX121" s="23">
        <f>EXP(-LN(2)/2)*EX120+(1-EXP(-LN(2)/2))/(LN(2)/2)*ER121*EU121*VLOOKUP('Données projet'!$B$15,Paramètres!$A$1:$I$89,3,0)*0.475*44/12</f>
        <v>0.28332957380633406</v>
      </c>
      <c r="EY121" s="24">
        <f t="shared" si="75"/>
        <v>72.84388996397233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6.231111111111109</v>
      </c>
      <c r="FE121" s="13">
        <f>IF('Données projet'!$A$218&gt;35,FE120+FD121-FM120,IF(A121&lt;'Données projet'!$A$218,$FB$205^A121,IF(A121='Données projet'!$A$218,'Données projet'!$B$218,FE120+FD121-FM120)))</f>
        <v>259.39555555555535</v>
      </c>
      <c r="FF121" s="18">
        <f>FE121*VLOOKUP('Données projet'!$B$16,Paramètres!$A$1:$I$89,3,0)*VLOOKUP('Données projet'!$B$16,Paramètres!$A$1:$I$89,5,0)</f>
        <v>234.70109866666647</v>
      </c>
      <c r="FG121" s="14">
        <f t="shared" si="101"/>
        <v>57.297968878266197</v>
      </c>
      <c r="FH121" s="22">
        <f t="shared" si="76"/>
        <v>508.56504264075761</v>
      </c>
      <c r="FI121" s="62">
        <f t="shared" si="77"/>
        <v>801.89837597409087</v>
      </c>
      <c r="FJ121" s="62">
        <f ca="1">AVERAGE(OFFSET($FI$3,0,0,'Données projet'!$E$16+1,1))-AVERAGE(OFFSET($H$3,0,0,'Données projet'!$E$16+1,1))</f>
        <v>330.53726676433649</v>
      </c>
      <c r="FK121" s="62">
        <f t="shared" si="102"/>
        <v>228.01260676706528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29.188938961850734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29.188938961850734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6.231111111111109</v>
      </c>
      <c r="FZ121" s="13">
        <f>IF('Données projet'!$A$244&gt;35,FZ120+FY121-GH120,IF(A121&lt;'Données projet'!$A$244,$FW$205^A121,IF(A121='Données projet'!$A$244,'Données projet'!$B$244,FZ120+FY121-GH120)))</f>
        <v>259.39555555555535</v>
      </c>
      <c r="GA121" s="18">
        <f>FZ121*VLOOKUP('Données projet'!$B$17,Paramètres!$A$1:$I$89,3,0)*VLOOKUP('Données projet'!$B$17,Paramètres!$A$1:$I$89,5,0)</f>
        <v>295.39965866666643</v>
      </c>
      <c r="GB121" s="14">
        <f t="shared" si="103"/>
        <v>70.211189577580626</v>
      </c>
      <c r="GC121" s="22">
        <f t="shared" si="79"/>
        <v>636.77222735873022</v>
      </c>
      <c r="GD121" s="62">
        <f t="shared" si="80"/>
        <v>930.10556069206359</v>
      </c>
      <c r="GE121" s="62">
        <f ca="1">AVERAGE(OFFSET($GD$3,0,0,'Données projet'!$E$17+1,1))-AVERAGE(OFFSET($H$3,0,0,'Données projet'!$E$17+1,1))</f>
        <v>405.71017054131318</v>
      </c>
      <c r="GF121" s="62">
        <f t="shared" si="104"/>
        <v>276.12900965322166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36.737802486467295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36.737802486467295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6.231111111111109</v>
      </c>
      <c r="GU121" s="13">
        <f>IF('Données projet'!$A$270&gt;35,GU120+GT121-HC120,IF(A121&lt;'Données projet'!$A$270,$GR$205^A121,IF(A121='Données projet'!$A$270,'Données projet'!$B$270,GU120+GT121-HC120)))</f>
        <v>259.39555555555535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7.9920000000000018</v>
      </c>
      <c r="N122" s="14">
        <f>IF('Données projet'!$A$36&gt;35,N121+M122-V121,IF(A122&lt;'Données projet'!$A$36,$K$205^A122,IF(A122='Données projet'!$A$36,'Données projet'!$B$36,N121+M122-V121)))</f>
        <v>368.46000000000026</v>
      </c>
      <c r="O122" s="14">
        <f>N122*VLOOKUP('Données projet'!$B$9,Paramètres!$A$1:$I$89,3,0)*VLOOKUP('Données projet'!$B$9,Paramètres!$A$1:$I$89,5,0)</f>
        <v>333.38260800000023</v>
      </c>
      <c r="P122" s="14">
        <f t="shared" si="87"/>
        <v>78.131191324852239</v>
      </c>
      <c r="Q122" s="22">
        <f t="shared" si="107"/>
        <v>716.7198671574514</v>
      </c>
      <c r="R122" s="62">
        <f t="shared" si="55"/>
        <v>1010.0532004907848</v>
      </c>
      <c r="S122" s="62">
        <f ca="1">AVERAGE(OFFSET($R$3,0,0,'Données projet'!$E$9+1,1))-AVERAGE(OFFSET($H$3,0,0,'Données projet'!$E$9+1,1))</f>
        <v>452.54136967045082</v>
      </c>
      <c r="T122" s="62">
        <f t="shared" si="88"/>
        <v>269.67340993773422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61.117512199835225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61.117512199835225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7.9920000000000018</v>
      </c>
      <c r="BD122" s="13">
        <f>IF('Données projet'!$A$88&gt;35,BD121+BC122-BL121,IF(A122&lt;'Données projet'!$A$88,$BA$205^A122,IF(A122='Données projet'!$A$88,'Données projet'!$B$88,BD121+BC122-BL121)))</f>
        <v>368.46000000000026</v>
      </c>
      <c r="BE122" s="14">
        <f>BD122*VLOOKUP('Données projet'!$B$11,Paramètres!$A$1:$I$89,3,0)*VLOOKUP('Données projet'!$B$11,Paramètres!$A$1:$I$89,5,0)</f>
        <v>373.61844000000025</v>
      </c>
      <c r="BF122" s="14">
        <f t="shared" si="91"/>
        <v>86.407156430415739</v>
      </c>
      <c r="BG122" s="22">
        <f t="shared" si="61"/>
        <v>801.21124711630773</v>
      </c>
      <c r="BH122" s="62">
        <f t="shared" si="62"/>
        <v>1094.544580449641</v>
      </c>
      <c r="BI122" s="62">
        <f ca="1">AVERAGE(OFFSET($BH$3,0,0,'Données projet'!$E$11+1,1))-AVERAGE(OFFSET($H$3,0,0,'Données projet'!$E$11+1,1))</f>
        <v>502.06005292569733</v>
      </c>
      <c r="BJ122" s="62">
        <f t="shared" si="92"/>
        <v>297.06786598620607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68.493763672229136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68.493763672229136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-2.8421709430404007E-14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-5.1431925385259088E-14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204.787338911576</v>
      </c>
      <c r="CZ122" s="62">
        <f t="shared" si="96"/>
        <v>287.24932051638558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8.0341567044745137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8.0341567044745137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4.5999999999999996</v>
      </c>
      <c r="DO122" s="13">
        <f>IF('Données projet'!$A$166&gt;35,DO121+DN122-DW121,IF(A122&lt;'Données projet'!$A$166,$DL$205^A122,IF(A122='Données projet'!$A$166,'Données projet'!$B$166,DO121+DN122-DW121)))</f>
        <v>241.40000000000009</v>
      </c>
      <c r="DP122" s="18">
        <f>DO122*VLOOKUP('Données projet'!$B$14,Paramètres!$A$1:$I$89,3,0)*VLOOKUP('Données projet'!$B$14,Paramètres!$A$1:$I$89,5,0)</f>
        <v>229.71624000000008</v>
      </c>
      <c r="DQ122" s="14">
        <f t="shared" si="97"/>
        <v>56.22132157725693</v>
      </c>
      <c r="DR122" s="22">
        <f t="shared" si="70"/>
        <v>498.00791974705606</v>
      </c>
      <c r="DS122" s="62">
        <f t="shared" si="71"/>
        <v>791.34125308038938</v>
      </c>
      <c r="DT122" s="62">
        <f ca="1">AVERAGE(OFFSET($DS$3,0,0,'Données projet'!$E$14+1,1))-AVERAGE(OFFSET($H$3,0,0,'Données projet'!$E$14+1,1))</f>
        <v>309.55876703480277</v>
      </c>
      <c r="DU122" s="62">
        <f t="shared" si="98"/>
        <v>122.43799205838684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42.888673869425936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42.888673869425936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8.0750000000000082</v>
      </c>
      <c r="EJ122" s="13">
        <f>IF('Données projet'!$A$192&gt;35,EJ121+EI122-ER121,IF(A122&lt;'Données projet'!$A$192,$EG$205^A122,IF(A122='Données projet'!$A$192,'Données projet'!$B$192,EJ121+EI122-ER121)))</f>
        <v>455.06999999999971</v>
      </c>
      <c r="EK122" s="18">
        <f>EJ122*VLOOKUP('Données projet'!$B$15,Paramètres!$A$1:$I$89,3,0)*VLOOKUP('Données projet'!$B$15,Paramètres!$A$1:$I$89,5,0)</f>
        <v>212.97275999999985</v>
      </c>
      <c r="EL122" s="14">
        <f t="shared" si="99"/>
        <v>52.584676139610075</v>
      </c>
      <c r="EM122" s="22">
        <f t="shared" si="73"/>
        <v>462.51253460982065</v>
      </c>
      <c r="EN122" s="62">
        <f t="shared" si="74"/>
        <v>755.84586794315396</v>
      </c>
      <c r="EO122" s="62">
        <f ca="1">AVERAGE(OFFSET($EN$3,0,0,'Données projet'!$E$15+1,1))-AVERAGE(OFFSET($H$3,0,0,'Données projet'!$E$15+1,1))</f>
        <v>301.04834785168049</v>
      </c>
      <c r="EP122" s="62">
        <f t="shared" si="100"/>
        <v>164.1450425611464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49.883802899166831</v>
      </c>
      <c r="EW122" s="23">
        <f>EXP(-LN(2)/25)*EW121+(1-EXP(-LN(2)/25))/(LN(2)/25)*Calculateur!ER122*Calculateur!ET122*VLOOKUP('Données projet'!$B$15,Paramètres!$A$1:$I$89,3,0)*0.475*44/12</f>
        <v>21.086187722498366</v>
      </c>
      <c r="EX122" s="23">
        <f>EXP(-LN(2)/2)*EX121+(1-EXP(-LN(2)/2))/(LN(2)/2)*ER122*EU122*VLOOKUP('Données projet'!$B$15,Paramètres!$A$1:$I$89,3,0)*0.475*44/12</f>
        <v>0.20034426294915322</v>
      </c>
      <c r="EY122" s="24">
        <f t="shared" si="75"/>
        <v>71.170334884614363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6.231111111111109</v>
      </c>
      <c r="FE122" s="13">
        <f>IF('Données projet'!$A$218&gt;35,FE121+FD122-FM121,IF(A122&lt;'Données projet'!$A$218,$FB$205^A122,IF(A122='Données projet'!$A$218,'Données projet'!$B$218,FE121+FD122-FM121)))</f>
        <v>265.62666666666644</v>
      </c>
      <c r="FF122" s="18">
        <f>FE122*VLOOKUP('Données projet'!$B$16,Paramètres!$A$1:$I$89,3,0)*VLOOKUP('Données projet'!$B$16,Paramètres!$A$1:$I$89,5,0)</f>
        <v>240.33900799999978</v>
      </c>
      <c r="FG122" s="14">
        <f t="shared" si="101"/>
        <v>58.5124637117123</v>
      </c>
      <c r="FH122" s="22">
        <f t="shared" si="76"/>
        <v>520.49964656456518</v>
      </c>
      <c r="FI122" s="62">
        <f t="shared" si="77"/>
        <v>813.83297989789844</v>
      </c>
      <c r="FJ122" s="62">
        <f ca="1">AVERAGE(OFFSET($FI$3,0,0,'Données projet'!$E$16+1,1))-AVERAGE(OFFSET($H$3,0,0,'Données projet'!$E$16+1,1))</f>
        <v>330.53726676433649</v>
      </c>
      <c r="FK122" s="62">
        <f t="shared" si="102"/>
        <v>228.01260676706528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28.616561672303661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28.616561672303661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6.231111111111109</v>
      </c>
      <c r="FZ122" s="13">
        <f>IF('Données projet'!$A$244&gt;35,FZ121+FY122-GH121,IF(A122&lt;'Données projet'!$A$244,$FW$205^A122,IF(A122='Données projet'!$A$244,'Données projet'!$B$244,FZ121+FY122-GH121)))</f>
        <v>265.62666666666644</v>
      </c>
      <c r="GA122" s="18">
        <f>FZ122*VLOOKUP('Données projet'!$B$17,Paramètres!$A$1:$I$89,3,0)*VLOOKUP('Données projet'!$B$17,Paramètres!$A$1:$I$89,5,0)</f>
        <v>302.49564799999973</v>
      </c>
      <c r="GB122" s="14">
        <f t="shared" si="103"/>
        <v>71.699394633736205</v>
      </c>
      <c r="GC122" s="22">
        <f t="shared" si="79"/>
        <v>651.72303258709019</v>
      </c>
      <c r="GD122" s="62">
        <f t="shared" si="80"/>
        <v>945.05636592042356</v>
      </c>
      <c r="GE122" s="62">
        <f ca="1">AVERAGE(OFFSET($GD$3,0,0,'Données projet'!$E$17+1,1))-AVERAGE(OFFSET($H$3,0,0,'Données projet'!$E$17+1,1))</f>
        <v>405.71017054131318</v>
      </c>
      <c r="GF122" s="62">
        <f t="shared" si="104"/>
        <v>276.12900965322166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36.0173965875546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36.0173965875546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6.231111111111109</v>
      </c>
      <c r="GU122" s="13">
        <f>IF('Données projet'!$A$270&gt;35,GU121+GT122-HC121,IF(A122&lt;'Données projet'!$A$270,$GR$205^A122,IF(A122='Données projet'!$A$270,'Données projet'!$B$270,GU121+GT122-HC121)))</f>
        <v>265.62666666666644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7.9920000000000018</v>
      </c>
      <c r="N123" s="14">
        <f>IF('Données projet'!$A$36&gt;35,N122+M123-V122,IF(A123&lt;'Données projet'!$A$36,$K$205^A123,IF(A123='Données projet'!$A$36,'Données projet'!$B$36,N122+M123-V122)))</f>
        <v>376.45200000000028</v>
      </c>
      <c r="O123" s="14">
        <f>N123*VLOOKUP('Données projet'!$B$9,Paramètres!$A$1:$I$89,3,0)*VLOOKUP('Données projet'!$B$9,Paramètres!$A$1:$I$89,5,0)</f>
        <v>340.61376960000024</v>
      </c>
      <c r="P123" s="14">
        <f t="shared" si="87"/>
        <v>79.626741793195848</v>
      </c>
      <c r="Q123" s="22">
        <f t="shared" si="107"/>
        <v>731.9188906764831</v>
      </c>
      <c r="R123" s="62">
        <f t="shared" si="55"/>
        <v>1025.2522240098165</v>
      </c>
      <c r="S123" s="62">
        <f ca="1">AVERAGE(OFFSET($R$3,0,0,'Données projet'!$E$9+1,1))-AVERAGE(OFFSET($H$3,0,0,'Données projet'!$E$9+1,1))</f>
        <v>452.54136967045082</v>
      </c>
      <c r="T123" s="62">
        <f t="shared" si="88"/>
        <v>269.67340993773422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59.919035063598002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59.919035063598002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7.9920000000000018</v>
      </c>
      <c r="BD123" s="13">
        <f>IF('Données projet'!$A$88&gt;35,BD122+BC123-BL122,IF(A123&lt;'Données projet'!$A$88,$BA$205^A123,IF(A123='Données projet'!$A$88,'Données projet'!$B$88,BD122+BC123-BL122)))</f>
        <v>376.45200000000028</v>
      </c>
      <c r="BE123" s="14">
        <f>BD123*VLOOKUP('Données projet'!$B$11,Paramètres!$A$1:$I$89,3,0)*VLOOKUP('Données projet'!$B$11,Paramètres!$A$1:$I$89,5,0)</f>
        <v>381.72232800000029</v>
      </c>
      <c r="BF123" s="14">
        <f t="shared" si="91"/>
        <v>88.061121525232323</v>
      </c>
      <c r="BG123" s="22">
        <f t="shared" si="61"/>
        <v>818.20617458978006</v>
      </c>
      <c r="BH123" s="62">
        <f t="shared" si="62"/>
        <v>1111.5395079231134</v>
      </c>
      <c r="BI123" s="62">
        <f ca="1">AVERAGE(OFFSET($BH$3,0,0,'Données projet'!$E$11+1,1))-AVERAGE(OFFSET($H$3,0,0,'Données projet'!$E$11+1,1))</f>
        <v>502.06005292569733</v>
      </c>
      <c r="BJ123" s="62">
        <f t="shared" si="92"/>
        <v>297.06786598620607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67.150642743687413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67.150642743687413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-2.8421709430404007E-14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-5.1431925385259088E-14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204.787338911576</v>
      </c>
      <c r="CZ123" s="62">
        <f t="shared" si="96"/>
        <v>287.24932051638558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7.8766117918514889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7.8766117918514889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246</v>
      </c>
      <c r="DM123" s="13">
        <f>VLOOKUP(A123,'Données projet'!$A$165:$I$185,9,0)</f>
        <v>4.5999999999999996</v>
      </c>
      <c r="DN123" s="13">
        <f t="array" ref="DN123">INDEX(DM:DM,MIN(IF(ISNUMBER(DM123:DM319),ROW(DM123:DM319),"")))</f>
        <v>4.5999999999999996</v>
      </c>
      <c r="DO123" s="13">
        <f>IF('Données projet'!$A$166&gt;35,DO122+DN123-DW122,IF(A123&lt;'Données projet'!$A$166,$DL$205^A123,IF(A123='Données projet'!$A$166,'Données projet'!$B$166,DO122+DN123-DW122)))</f>
        <v>246.00000000000009</v>
      </c>
      <c r="DP123" s="18">
        <f>DO123*VLOOKUP('Données projet'!$B$14,Paramètres!$A$1:$I$89,3,0)*VLOOKUP('Données projet'!$B$14,Paramètres!$A$1:$I$89,5,0)</f>
        <v>234.09360000000009</v>
      </c>
      <c r="DQ123" s="14">
        <f t="shared" si="97"/>
        <v>57.166902703920208</v>
      </c>
      <c r="DR123" s="22">
        <f t="shared" si="70"/>
        <v>507.27870887599448</v>
      </c>
      <c r="DS123" s="62">
        <f t="shared" si="71"/>
        <v>800.6120422093278</v>
      </c>
      <c r="DT123" s="62">
        <f ca="1">AVERAGE(OFFSET($DS$3,0,0,'Données projet'!$E$14+1,1))-AVERAGE(OFFSET($H$3,0,0,'Données projet'!$E$14+1,1))</f>
        <v>309.55876703480277</v>
      </c>
      <c r="DU123" s="62">
        <f t="shared" si="98"/>
        <v>122.43799205838684</v>
      </c>
      <c r="DV123" s="16">
        <f>IF(ISNA(VLOOKUP(A123,'Données projet'!$A$165:$I$185,3,0)),0,VLOOKUP(A123,'Données projet'!$A$165:$I$185,3,0))</f>
        <v>17</v>
      </c>
      <c r="DW123" s="16">
        <f>IF(ISNA(VLOOKUP(A123,'Données projet'!$A$165:$I$185,4,0)),0,VLOOKUP(A123,'Données projet'!$A$165:$I$185,4,0))</f>
        <v>246</v>
      </c>
      <c r="DX123" s="17">
        <f>IF(ISNA(VLOOKUP(A123,'Données projet'!$A$165:$I$185,5,0)),0%,VLOOKUP(A123,'Données projet'!$A$165:$I$185,5,0)*VLOOKUP('Données projet'!$B$14,Paramètres!$A$1:$I$89,7,0))</f>
        <v>0.34400000000000003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131.06919118270724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131.06919118270724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8.0750000000000082</v>
      </c>
      <c r="EJ123" s="13">
        <f>IF('Données projet'!$A$192&gt;35,EJ122+EI123-ER122,IF(A123&lt;'Données projet'!$A$192,$EG$205^A123,IF(A123='Données projet'!$A$192,'Données projet'!$B$192,EJ122+EI123-ER122)))</f>
        <v>463.1449999999997</v>
      </c>
      <c r="EK123" s="18">
        <f>EJ123*VLOOKUP('Données projet'!$B$15,Paramètres!$A$1:$I$89,3,0)*VLOOKUP('Données projet'!$B$15,Paramètres!$A$1:$I$89,5,0)</f>
        <v>216.75185999999988</v>
      </c>
      <c r="EL123" s="14">
        <f t="shared" si="99"/>
        <v>53.408308556832111</v>
      </c>
      <c r="EM123" s="22">
        <f t="shared" si="73"/>
        <v>470.52896023648236</v>
      </c>
      <c r="EN123" s="62">
        <f t="shared" si="74"/>
        <v>763.86229356981562</v>
      </c>
      <c r="EO123" s="62">
        <f ca="1">AVERAGE(OFFSET($EN$3,0,0,'Données projet'!$E$15+1,1))-AVERAGE(OFFSET($H$3,0,0,'Données projet'!$E$15+1,1))</f>
        <v>301.04834785168049</v>
      </c>
      <c r="EP123" s="62">
        <f t="shared" si="100"/>
        <v>164.1450425611464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48.905611950429609</v>
      </c>
      <c r="EW123" s="23">
        <f>EXP(-LN(2)/25)*EW122+(1-EXP(-LN(2)/25))/(LN(2)/25)*Calculateur!ER123*Calculateur!ET123*VLOOKUP('Données projet'!$B$15,Paramètres!$A$1:$I$89,3,0)*0.475*44/12</f>
        <v>20.50958481035223</v>
      </c>
      <c r="EX123" s="23">
        <f>EXP(-LN(2)/2)*EX122+(1-EXP(-LN(2)/2))/(LN(2)/2)*ER123*EU123*VLOOKUP('Données projet'!$B$15,Paramètres!$A$1:$I$89,3,0)*0.475*44/12</f>
        <v>0.14166478690316703</v>
      </c>
      <c r="EY123" s="24">
        <f t="shared" si="75"/>
        <v>69.556861547685003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6.231111111111109</v>
      </c>
      <c r="FE123" s="13">
        <f>IF('Données projet'!$A$218&gt;35,FE122+FD123-FM122,IF(A123&lt;'Données projet'!$A$218,$FB$205^A123,IF(A123='Données projet'!$A$218,'Données projet'!$B$218,FE122+FD123-FM122)))</f>
        <v>271.85777777777753</v>
      </c>
      <c r="FF123" s="18">
        <f>FE123*VLOOKUP('Données projet'!$B$16,Paramètres!$A$1:$I$89,3,0)*VLOOKUP('Données projet'!$B$16,Paramètres!$A$1:$I$89,5,0)</f>
        <v>245.97691733333309</v>
      </c>
      <c r="FG123" s="14">
        <f t="shared" si="101"/>
        <v>59.723646534067726</v>
      </c>
      <c r="FH123" s="22">
        <f t="shared" si="76"/>
        <v>532.42848206905637</v>
      </c>
      <c r="FI123" s="62">
        <f t="shared" si="77"/>
        <v>825.76181540238963</v>
      </c>
      <c r="FJ123" s="62">
        <f ca="1">AVERAGE(OFFSET($FI$3,0,0,'Données projet'!$E$16+1,1))-AVERAGE(OFFSET($H$3,0,0,'Données projet'!$E$16+1,1))</f>
        <v>330.53726676433649</v>
      </c>
      <c r="FK123" s="62">
        <f t="shared" si="102"/>
        <v>228.01260676706528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28.055408352288929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28.055408352288929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6.231111111111109</v>
      </c>
      <c r="FZ123" s="13">
        <f>IF('Données projet'!$A$244&gt;35,FZ122+FY123-GH122,IF(A123&lt;'Données projet'!$A$244,$FW$205^A123,IF(A123='Données projet'!$A$244,'Données projet'!$B$244,FZ122+FY123-GH122)))</f>
        <v>271.85777777777753</v>
      </c>
      <c r="GA123" s="18">
        <f>FZ123*VLOOKUP('Données projet'!$B$17,Paramètres!$A$1:$I$89,3,0)*VLOOKUP('Données projet'!$B$17,Paramètres!$A$1:$I$89,5,0)</f>
        <v>309.59163733333304</v>
      </c>
      <c r="GB123" s="14">
        <f t="shared" si="103"/>
        <v>73.183541252164801</v>
      </c>
      <c r="GC123" s="22">
        <f t="shared" si="79"/>
        <v>666.66676936974204</v>
      </c>
      <c r="GD123" s="62">
        <f t="shared" si="80"/>
        <v>960.0001027030753</v>
      </c>
      <c r="GE123" s="62">
        <f ca="1">AVERAGE(OFFSET($GD$3,0,0,'Données projet'!$E$17+1,1))-AVERAGE(OFFSET($H$3,0,0,'Données projet'!$E$17+1,1))</f>
        <v>405.71017054131318</v>
      </c>
      <c r="GF123" s="62">
        <f t="shared" si="104"/>
        <v>276.12900965322166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35.311117408915372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35.311117408915372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6.231111111111109</v>
      </c>
      <c r="GU123" s="13">
        <f>IF('Données projet'!$A$270&gt;35,GU122+GT123-HC122,IF(A123&lt;'Données projet'!$A$270,$GR$205^A123,IF(A123='Données projet'!$A$270,'Données projet'!$B$270,GU122+GT123-HC122)))</f>
        <v>271.85777777777753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7.9920000000000018</v>
      </c>
      <c r="N124" s="14">
        <f>IF('Données projet'!$A$36&gt;35,N123+M124-V123,IF(A124&lt;'Données projet'!$A$36,$K$205^A124,IF(A124='Données projet'!$A$36,'Données projet'!$B$36,N123+M124-V123)))</f>
        <v>384.4440000000003</v>
      </c>
      <c r="O124" s="14">
        <f>N124*VLOOKUP('Données projet'!$B$9,Paramètres!$A$1:$I$89,3,0)*VLOOKUP('Données projet'!$B$9,Paramètres!$A$1:$I$89,5,0)</f>
        <v>347.8449312000003</v>
      </c>
      <c r="P124" s="14">
        <f t="shared" si="87"/>
        <v>81.118600803709299</v>
      </c>
      <c r="Q124" s="22">
        <f t="shared" si="107"/>
        <v>747.11148490646076</v>
      </c>
      <c r="R124" s="62">
        <f t="shared" si="55"/>
        <v>1040.4448182397941</v>
      </c>
      <c r="S124" s="62">
        <f ca="1">AVERAGE(OFFSET($R$3,0,0,'Données projet'!$E$9+1,1))-AVERAGE(OFFSET($H$3,0,0,'Données projet'!$E$9+1,1))</f>
        <v>452.54136967045082</v>
      </c>
      <c r="T124" s="62">
        <f t="shared" si="88"/>
        <v>269.67340993773422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58.74405933300352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58.74405933300352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7.9920000000000018</v>
      </c>
      <c r="BD124" s="13">
        <f>IF('Données projet'!$A$88&gt;35,BD123+BC124-BL123,IF(A124&lt;'Données projet'!$A$88,$BA$205^A124,IF(A124='Données projet'!$A$88,'Données projet'!$B$88,BD123+BC124-BL123)))</f>
        <v>384.4440000000003</v>
      </c>
      <c r="BE124" s="14">
        <f>BD124*VLOOKUP('Données projet'!$B$11,Paramètres!$A$1:$I$89,3,0)*VLOOKUP('Données projet'!$B$11,Paramètres!$A$1:$I$89,5,0)</f>
        <v>389.82621600000033</v>
      </c>
      <c r="BF124" s="14">
        <f t="shared" si="91"/>
        <v>89.711004148391027</v>
      </c>
      <c r="BG124" s="22">
        <f t="shared" si="61"/>
        <v>835.19399175844831</v>
      </c>
      <c r="BH124" s="62">
        <f t="shared" si="62"/>
        <v>1128.5273250917817</v>
      </c>
      <c r="BI124" s="62">
        <f ca="1">AVERAGE(OFFSET($BH$3,0,0,'Données projet'!$E$11+1,1))-AVERAGE(OFFSET($H$3,0,0,'Données projet'!$E$11+1,1))</f>
        <v>502.06005292569733</v>
      </c>
      <c r="BJ124" s="62">
        <f t="shared" si="92"/>
        <v>297.06786598620607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65.833859597331525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65.833859597331525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-2.8421709430404007E-14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-5.1431925385259088E-14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204.787338911576</v>
      </c>
      <c r="CZ124" s="62">
        <f t="shared" si="96"/>
        <v>287.24932051638558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7.7221562388720928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7.7221562388720928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8.5265128291212022E-14</v>
      </c>
      <c r="DP124" s="18">
        <f>DO124*VLOOKUP('Données projet'!$B$14,Paramètres!$A$1:$I$89,3,0)*VLOOKUP('Données projet'!$B$14,Paramètres!$A$1:$I$89,5,0)</f>
        <v>8.1138296081917361E-14</v>
      </c>
      <c r="DQ124" s="14">
        <f t="shared" si="97"/>
        <v>1.2489471326210353E-12</v>
      </c>
      <c r="DR124" s="22">
        <f t="shared" si="70"/>
        <v>2.3165654549909759E-12</v>
      </c>
      <c r="DS124" s="62">
        <f t="shared" si="71"/>
        <v>293.33333333333564</v>
      </c>
      <c r="DT124" s="62">
        <f ca="1">AVERAGE(OFFSET($DS$3,0,0,'Données projet'!$E$14+1,1))-AVERAGE(OFFSET($H$3,0,0,'Données projet'!$E$14+1,1))</f>
        <v>309.55876703480277</v>
      </c>
      <c r="DU124" s="62">
        <f t="shared" si="98"/>
        <v>122.43799205838684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128.49900428792714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128.49900428792714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>
        <f>VLOOKUP(A124,'Données projet'!$A$191:$I$211,2,0)</f>
        <v>471.22</v>
      </c>
      <c r="EH124" s="13">
        <f>VLOOKUP(A124,'Données projet'!$A$191:$I$211,9,0)</f>
        <v>8.0750000000000082</v>
      </c>
      <c r="EI124" s="13">
        <f t="array" ref="EI124">INDEX(EH:EH,MIN(IF(ISNUMBER(EH124:EH320),ROW(EH124:EH320),"")))</f>
        <v>8.0750000000000082</v>
      </c>
      <c r="EJ124" s="13">
        <f>IF('Données projet'!$A$192&gt;35,EJ123+EI124-ER123,IF(A124&lt;'Données projet'!$A$192,$EG$205^A124,IF(A124='Données projet'!$A$192,'Données projet'!$B$192,EJ123+EI124-ER123)))</f>
        <v>471.21999999999969</v>
      </c>
      <c r="EK124" s="18">
        <f>EJ124*VLOOKUP('Données projet'!$B$15,Paramètres!$A$1:$I$89,3,0)*VLOOKUP('Données projet'!$B$15,Paramètres!$A$1:$I$89,5,0)</f>
        <v>220.53095999999985</v>
      </c>
      <c r="EL124" s="14">
        <f t="shared" si="99"/>
        <v>54.230271058113658</v>
      </c>
      <c r="EM124" s="22">
        <f t="shared" si="73"/>
        <v>478.54247742621436</v>
      </c>
      <c r="EN124" s="62">
        <f t="shared" si="74"/>
        <v>771.87581075954768</v>
      </c>
      <c r="EO124" s="62">
        <f ca="1">AVERAGE(OFFSET($EN$3,0,0,'Données projet'!$E$15+1,1))-AVERAGE(OFFSET($H$3,0,0,'Données projet'!$E$15+1,1))</f>
        <v>301.04834785168049</v>
      </c>
      <c r="EP124" s="62">
        <f t="shared" si="100"/>
        <v>164.1450425611464</v>
      </c>
      <c r="EQ124" s="16">
        <f>IF(ISNA(VLOOKUP(A124,'Données projet'!$A$191:$I$211,3,0)),0,VLOOKUP(A124,'Données projet'!$A$191:$I$211,3,0))</f>
        <v>7</v>
      </c>
      <c r="ER124" s="16">
        <f>IF(ISNA(VLOOKUP(A124,'Données projet'!$A$191:$I$211,4,0)),0,VLOOKUP(A124,'Données projet'!$A$191:$I$211,4,0))</f>
        <v>471.22</v>
      </c>
      <c r="ES124" s="17">
        <f>IF(ISNA(VLOOKUP(A124,'Données projet'!$A$191:$I$211,5,0)),0%,VLOOKUP(A124,'Données projet'!$A$191:$I$211,5,0)*VLOOKUP('Données projet'!$B$15,Paramètres!$A$1:$I$89,7,0))</f>
        <v>0.44000000000000006</v>
      </c>
      <c r="ET124" s="17">
        <f>IF(ISNA(VLOOKUP(A124,'Données projet'!$A$191:$I$211,6,0)),0%,VLOOKUP(A124,'Données projet'!$A$191:$I$211,6,0)*VLOOKUP('Données projet'!$B$15,Paramètres!$A$1:$I$89,7,0))</f>
        <v>6.0500000000000005E-2</v>
      </c>
      <c r="EU124" s="17">
        <f>IF(ISNA(VLOOKUP(A124,'Données projet'!$A$191:$I$211,7,0)),0%,VLOOKUP(A124,'Données projet'!$A$191:$I$211,7,0))</f>
        <v>0.09</v>
      </c>
      <c r="EV124" s="23">
        <f>EXP(-LN(2)/35)*EV123+(1-EXP(-LN(2)/35))/(LN(2)/35)*ER124*ES124*VLOOKUP('Données projet'!$B$15,Paramètres!$A$1:$I$89,3,0)*0.475*44/12</f>
        <v>176.66795718794157</v>
      </c>
      <c r="EW124" s="23">
        <f>EXP(-LN(2)/25)*EW123+(1-EXP(-LN(2)/25))/(LN(2)/25)*Calculateur!ER124*Calculateur!ET124*VLOOKUP('Données projet'!$B$15,Paramètres!$A$1:$I$89,3,0)*0.475*44/12</f>
        <v>37.578246933050693</v>
      </c>
      <c r="EX124" s="23">
        <f>EXP(-LN(2)/2)*EX123+(1-EXP(-LN(2)/2))/(LN(2)/2)*ER124*EU124*VLOOKUP('Données projet'!$B$15,Paramètres!$A$1:$I$89,3,0)*0.475*44/12</f>
        <v>22.572476927961116</v>
      </c>
      <c r="EY124" s="24">
        <f t="shared" si="75"/>
        <v>236.81868104895338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6.231111111111109</v>
      </c>
      <c r="FE124" s="13">
        <f>IF('Données projet'!$A$218&gt;35,FE123+FD124-FM123,IF(A124&lt;'Données projet'!$A$218,$FB$205^A124,IF(A124='Données projet'!$A$218,'Données projet'!$B$218,FE123+FD124-FM123)))</f>
        <v>278.08888888888862</v>
      </c>
      <c r="FF124" s="18">
        <f>FE124*VLOOKUP('Données projet'!$B$16,Paramètres!$A$1:$I$89,3,0)*VLOOKUP('Données projet'!$B$16,Paramètres!$A$1:$I$89,5,0)</f>
        <v>251.61482666666643</v>
      </c>
      <c r="FG124" s="14">
        <f t="shared" si="101"/>
        <v>60.931601996508064</v>
      </c>
      <c r="FH124" s="22">
        <f t="shared" si="76"/>
        <v>544.35169658836219</v>
      </c>
      <c r="FI124" s="62">
        <f t="shared" si="77"/>
        <v>837.68502992169556</v>
      </c>
      <c r="FJ124" s="62">
        <f ca="1">AVERAGE(OFFSET($FI$3,0,0,'Données projet'!$E$16+1,1))-AVERAGE(OFFSET($H$3,0,0,'Données projet'!$E$16+1,1))</f>
        <v>330.53726676433649</v>
      </c>
      <c r="FK124" s="62">
        <f t="shared" si="102"/>
        <v>228.01260676706528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27.505258906609956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27.505258906609956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6.231111111111109</v>
      </c>
      <c r="FZ124" s="13">
        <f>IF('Données projet'!$A$244&gt;35,FZ123+FY124-GH123,IF(A124&lt;'Données projet'!$A$244,$FW$205^A124,IF(A124='Données projet'!$A$244,'Données projet'!$B$244,FZ123+FY124-GH123)))</f>
        <v>278.08888888888862</v>
      </c>
      <c r="GA124" s="18">
        <f>FZ124*VLOOKUP('Données projet'!$B$17,Paramètres!$A$1:$I$89,3,0)*VLOOKUP('Données projet'!$B$17,Paramètres!$A$1:$I$89,5,0)</f>
        <v>316.6876266666664</v>
      </c>
      <c r="GB124" s="14">
        <f t="shared" si="103"/>
        <v>74.663733161844149</v>
      </c>
      <c r="GC124" s="22">
        <f t="shared" si="79"/>
        <v>681.60361836798916</v>
      </c>
      <c r="GD124" s="62">
        <f t="shared" si="80"/>
        <v>974.93695170132241</v>
      </c>
      <c r="GE124" s="62">
        <f ca="1">AVERAGE(OFFSET($GD$3,0,0,'Données projet'!$E$17+1,1))-AVERAGE(OFFSET($H$3,0,0,'Données projet'!$E$17+1,1))</f>
        <v>405.71017054131318</v>
      </c>
      <c r="GF124" s="62">
        <f t="shared" si="104"/>
        <v>276.12900965322166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34.618687934181494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34.618687934181494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6.231111111111109</v>
      </c>
      <c r="GU124" s="13">
        <f>IF('Données projet'!$A$270&gt;35,GU123+GT124-HC123,IF(A124&lt;'Données projet'!$A$270,$GR$205^A124,IF(A124='Données projet'!$A$270,'Données projet'!$B$270,GU123+GT124-HC123)))</f>
        <v>278.08888888888862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7.9920000000000018</v>
      </c>
      <c r="N125" s="14">
        <f>IF('Données projet'!$A$36&gt;35,N124+M125-V124,IF(A125&lt;'Données projet'!$A$36,$K$205^A125,IF(A125='Données projet'!$A$36,'Données projet'!$B$36,N124+M125-V124)))</f>
        <v>392.43600000000032</v>
      </c>
      <c r="O125" s="14">
        <f>N125*VLOOKUP('Données projet'!$B$9,Paramètres!$A$1:$I$89,3,0)*VLOOKUP('Données projet'!$B$9,Paramètres!$A$1:$I$89,5,0)</f>
        <v>355.07609280000025</v>
      </c>
      <c r="P125" s="14">
        <f t="shared" si="87"/>
        <v>82.606853937508674</v>
      </c>
      <c r="Q125" s="22">
        <f t="shared" si="107"/>
        <v>762.2977989011614</v>
      </c>
      <c r="R125" s="62">
        <f t="shared" si="55"/>
        <v>1055.6311322344948</v>
      </c>
      <c r="S125" s="62">
        <f ca="1">AVERAGE(OFFSET($R$3,0,0,'Données projet'!$E$9+1,1))-AVERAGE(OFFSET($H$3,0,0,'Données projet'!$E$9+1,1))</f>
        <v>452.54136967045082</v>
      </c>
      <c r="T125" s="62">
        <f t="shared" si="88"/>
        <v>269.67340993773422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57.592124159821559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57.592124159821559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7.9920000000000018</v>
      </c>
      <c r="BD125" s="13">
        <f>IF('Données projet'!$A$88&gt;35,BD124+BC125-BL124,IF(A125&lt;'Données projet'!$A$88,$BA$205^A125,IF(A125='Données projet'!$A$88,'Données projet'!$B$88,BD124+BC125-BL124)))</f>
        <v>392.43600000000032</v>
      </c>
      <c r="BE125" s="14">
        <f>BD125*VLOOKUP('Données projet'!$B$11,Paramètres!$A$1:$I$89,3,0)*VLOOKUP('Données projet'!$B$11,Paramètres!$A$1:$I$89,5,0)</f>
        <v>397.93010400000037</v>
      </c>
      <c r="BF125" s="14">
        <f t="shared" si="91"/>
        <v>91.356898946098539</v>
      </c>
      <c r="BG125" s="22">
        <f t="shared" si="61"/>
        <v>852.1748634644556</v>
      </c>
      <c r="BH125" s="62">
        <f t="shared" si="62"/>
        <v>1145.508196797789</v>
      </c>
      <c r="BI125" s="62">
        <f ca="1">AVERAGE(OFFSET($BH$3,0,0,'Données projet'!$E$11+1,1))-AVERAGE(OFFSET($H$3,0,0,'Données projet'!$E$11+1,1))</f>
        <v>502.06005292569733</v>
      </c>
      <c r="BJ125" s="62">
        <f t="shared" si="92"/>
        <v>297.06786598620607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64.542897765317264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64.542897765317264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-2.8421709430404007E-14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-5.1431925385259088E-14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204.787338911576</v>
      </c>
      <c r="CZ125" s="62">
        <f t="shared" si="96"/>
        <v>287.24932051638558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7.5707294650780383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7.5707294650780383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8.5265128291212022E-14</v>
      </c>
      <c r="DP125" s="18">
        <f>DO125*VLOOKUP('Données projet'!$B$14,Paramètres!$A$1:$I$89,3,0)*VLOOKUP('Données projet'!$B$14,Paramètres!$A$1:$I$89,5,0)</f>
        <v>8.1138296081917361E-14</v>
      </c>
      <c r="DQ125" s="14">
        <f t="shared" si="97"/>
        <v>1.2489471326210353E-12</v>
      </c>
      <c r="DR125" s="22">
        <f t="shared" si="70"/>
        <v>2.3165654549909759E-12</v>
      </c>
      <c r="DS125" s="62">
        <f t="shared" si="71"/>
        <v>293.33333333333564</v>
      </c>
      <c r="DT125" s="62">
        <f ca="1">AVERAGE(OFFSET($DS$3,0,0,'Données projet'!$E$14+1,1))-AVERAGE(OFFSET($H$3,0,0,'Données projet'!$E$14+1,1))</f>
        <v>309.55876703480277</v>
      </c>
      <c r="DU125" s="62">
        <f t="shared" si="98"/>
        <v>122.43799205838684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125.97921719049445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125.97921719049445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-3.4106051316484809E-13</v>
      </c>
      <c r="EK125" s="18">
        <f>EJ125*VLOOKUP('Données projet'!$B$15,Paramètres!$A$1:$I$89,3,0)*VLOOKUP('Données projet'!$B$15,Paramètres!$A$1:$I$89,5,0)</f>
        <v>-1.5961632016114892E-13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301.04834785168049</v>
      </c>
      <c r="EP125" s="62">
        <f t="shared" si="100"/>
        <v>164.1450425611464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173.20360630429983</v>
      </c>
      <c r="EW125" s="23">
        <f>EXP(-LN(2)/25)*EW124+(1-EXP(-LN(2)/25))/(LN(2)/25)*Calculateur!ER125*Calculateur!ET125*VLOOKUP('Données projet'!$B$15,Paramètres!$A$1:$I$89,3,0)*0.475*44/12</f>
        <v>36.5506677945123</v>
      </c>
      <c r="EX125" s="23">
        <f>EXP(-LN(2)/2)*EX124+(1-EXP(-LN(2)/2))/(LN(2)/2)*ER125*EU125*VLOOKUP('Données projet'!$B$15,Paramètres!$A$1:$I$89,3,0)*0.475*44/12</f>
        <v>15.961151503938193</v>
      </c>
      <c r="EY125" s="24">
        <f t="shared" si="75"/>
        <v>225.71542560275032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>
        <f>VLOOKUP(A125,'Données projet'!$A$217:$I$237,2,0)</f>
        <v>284.32</v>
      </c>
      <c r="FC125" s="13">
        <f>VLOOKUP(A125,'Données projet'!$A$217:$I$237,9,0)</f>
        <v>6.231111111111109</v>
      </c>
      <c r="FD125" s="13">
        <f t="array" ref="FD125">INDEX(FC:FC,MIN(IF(ISNUMBER(FC125:FC321),ROW(FC125:FC321),"")))</f>
        <v>6.231111111111109</v>
      </c>
      <c r="FE125" s="13">
        <f>IF('Données projet'!$A$218&gt;35,FE124+FD125-FM124,IF(A125&lt;'Données projet'!$A$218,$FB$205^A125,IF(A125='Données projet'!$A$218,'Données projet'!$B$218,FE124+FD125-FM124)))</f>
        <v>284.31999999999971</v>
      </c>
      <c r="FF125" s="18">
        <f>FE125*VLOOKUP('Données projet'!$B$16,Paramètres!$A$1:$I$89,3,0)*VLOOKUP('Données projet'!$B$16,Paramètres!$A$1:$I$89,5,0)</f>
        <v>257.25273599999974</v>
      </c>
      <c r="FG125" s="14">
        <f t="shared" si="101"/>
        <v>62.136410740104658</v>
      </c>
      <c r="FH125" s="22">
        <f t="shared" si="76"/>
        <v>556.2694305723486</v>
      </c>
      <c r="FI125" s="62">
        <f t="shared" si="77"/>
        <v>849.60276390568197</v>
      </c>
      <c r="FJ125" s="62">
        <f ca="1">AVERAGE(OFFSET($FI$3,0,0,'Données projet'!$E$16+1,1))-AVERAGE(OFFSET($H$3,0,0,'Données projet'!$E$16+1,1))</f>
        <v>330.53726676433649</v>
      </c>
      <c r="FK125" s="62">
        <f t="shared" si="102"/>
        <v>228.01260676706528</v>
      </c>
      <c r="FL125" s="16">
        <f>IF(ISNA(VLOOKUP(A125,'Données projet'!$A$217:$I$237,3,0)),0,VLOOKUP(A125,'Données projet'!$A$217:$I$237,3,0))</f>
        <v>8</v>
      </c>
      <c r="FM125" s="16">
        <f>IF(ISNA(VLOOKUP(A125,'Données projet'!$A$217:$I$237,4,0)),0,VLOOKUP(A125,'Données projet'!$A$217:$I$237,4,0))</f>
        <v>284.32</v>
      </c>
      <c r="FN125" s="17">
        <f>IF(ISNA(VLOOKUP(A125,'Données projet'!$A$217:$I$237,5,0)),0%,VLOOKUP(A125,'Données projet'!$A$217:$I$237,5,0)*VLOOKUP('Données projet'!$B$16,Paramètres!$A$1:$I$89,7,0))</f>
        <v>0.30099999999999999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112.56586674624745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112.56586674624745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>
        <f>VLOOKUP(A125,'Données projet'!$A$243:$I$263,2,0)</f>
        <v>284.32</v>
      </c>
      <c r="FX125" s="13">
        <f>VLOOKUP(A125,'Données projet'!$A$243:$I$263,9,0)</f>
        <v>6.231111111111109</v>
      </c>
      <c r="FY125" s="13">
        <f t="array" ref="FY125">INDEX(FX:FX,MIN(IF(ISNUMBER(FX125:FX321),ROW(FX125:FX321),"")))</f>
        <v>6.231111111111109</v>
      </c>
      <c r="FZ125" s="13">
        <f>IF('Données projet'!$A$244&gt;35,FZ124+FY125-GH124,IF(A125&lt;'Données projet'!$A$244,$FW$205^A125,IF(A125='Données projet'!$A$244,'Données projet'!$B$244,FZ124+FY125-GH124)))</f>
        <v>284.31999999999971</v>
      </c>
      <c r="GA125" s="18">
        <f>FZ125*VLOOKUP('Données projet'!$B$17,Paramètres!$A$1:$I$89,3,0)*VLOOKUP('Données projet'!$B$17,Paramètres!$A$1:$I$89,5,0)</f>
        <v>323.78361599999971</v>
      </c>
      <c r="GB125" s="14">
        <f t="shared" si="103"/>
        <v>76.140069177892315</v>
      </c>
      <c r="GC125" s="22">
        <f t="shared" si="79"/>
        <v>696.53375168482853</v>
      </c>
      <c r="GD125" s="62">
        <f t="shared" si="80"/>
        <v>989.86708501816179</v>
      </c>
      <c r="GE125" s="62">
        <f ca="1">AVERAGE(OFFSET($GD$3,0,0,'Données projet'!$E$17+1,1))-AVERAGE(OFFSET($H$3,0,0,'Données projet'!$E$17+1,1))</f>
        <v>405.71017054131318</v>
      </c>
      <c r="GF125" s="62">
        <f t="shared" si="104"/>
        <v>276.12900965322166</v>
      </c>
      <c r="GG125" s="16">
        <f>IF(ISNA(VLOOKUP(A125,'Données projet'!$A$243:$I$263,3,0)),0,VLOOKUP(A125,'Données projet'!$A$243:$I$263,3,0))</f>
        <v>8</v>
      </c>
      <c r="GH125" s="16">
        <f>IF(ISNA(VLOOKUP(A125,'Données projet'!$A$243:$I$263,4,0)),0,VLOOKUP(A125,'Données projet'!$A$243:$I$263,4,0))</f>
        <v>284.32</v>
      </c>
      <c r="GI125" s="17">
        <f>IF(ISNA(VLOOKUP(A125,'Données projet'!$A$243:$I$263,5,0)),0%,VLOOKUP(A125,'Données projet'!$A$243:$I$263,5,0)*VLOOKUP('Données projet'!$B$17,Paramètres!$A$1:$I$89,7,0))</f>
        <v>0.30099999999999999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141.67772883579423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141.67772883579423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>
        <f>VLOOKUP(A125,'Données projet'!$A$269:$I$289,2,0)</f>
        <v>284.32</v>
      </c>
      <c r="GS125" s="13">
        <f>VLOOKUP(A125,'Données projet'!$A$269:$I$289,9,0)</f>
        <v>6.231111111111109</v>
      </c>
      <c r="GT125" s="13">
        <f t="array" ref="GT125">INDEX(GS:GS,MIN(IF(ISNUMBER(GS125:GS321),ROW(GS125:GS321),"")))</f>
        <v>6.231111111111109</v>
      </c>
      <c r="GU125" s="13">
        <f>IF('Données projet'!$A$270&gt;35,GU124+GT125-HC124,IF(A125&lt;'Données projet'!$A$270,$GR$205^A125,IF(A125='Données projet'!$A$270,'Données projet'!$B$270,GU124+GT125-HC124)))</f>
        <v>284.31999999999971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8</v>
      </c>
      <c r="HC125" s="16">
        <f>IF(ISNA(VLOOKUP(A125,'Données projet'!$A$269:$I$289,4,0)),0,VLOOKUP(A125,'Données projet'!$A$269:$I$289,4,0))</f>
        <v>284.32</v>
      </c>
      <c r="HD125" s="17" t="e">
        <f>IF(ISNA(VLOOKUP(A125,'Données projet'!$A$269:$I$289,5,0)),0%,VLOOKUP(A125,'Données projet'!$A$269:$I$289,5,0)*VLOOKUP('Données projet'!$B$18,Paramètres!$A$1:$I$89,7,0))</f>
        <v>#N/A</v>
      </c>
      <c r="HE125" s="17" t="e">
        <f>IF(ISNA(VLOOKUP(A125,'Données projet'!$A$269:$I$289,6,0)),0%,VLOOKUP(A125,'Données projet'!$A$269:$I$289,6,0)*VLOOKUP('Données projet'!$B$18,Paramètres!$A$1:$I$89,7,0))</f>
        <v>#N/A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7.9920000000000018</v>
      </c>
      <c r="N126" s="14">
        <f>IF('Données projet'!$A$36&gt;35,N125+M126-V125,IF(A126&lt;'Données projet'!$A$36,$K$205^A126,IF(A126='Données projet'!$A$36,'Données projet'!$B$36,N125+M126-V125)))</f>
        <v>400.42800000000034</v>
      </c>
      <c r="O126" s="14">
        <f>N126*VLOOKUP('Données projet'!$B$9,Paramètres!$A$1:$I$89,3,0)*VLOOKUP('Données projet'!$B$9,Paramètres!$A$1:$I$89,5,0)</f>
        <v>362.30725440000032</v>
      </c>
      <c r="P126" s="14">
        <f t="shared" si="87"/>
        <v>84.091583090707559</v>
      </c>
      <c r="Q126" s="22">
        <f t="shared" si="107"/>
        <v>777.47797529631623</v>
      </c>
      <c r="R126" s="62">
        <f t="shared" si="55"/>
        <v>1070.8113086296496</v>
      </c>
      <c r="S126" s="62">
        <f ca="1">AVERAGE(OFFSET($R$3,0,0,'Données projet'!$E$9+1,1))-AVERAGE(OFFSET($H$3,0,0,'Données projet'!$E$9+1,1))</f>
        <v>452.54136967045082</v>
      </c>
      <c r="T126" s="62">
        <f t="shared" si="88"/>
        <v>269.67340993773422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56.462777732774619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56.462777732774619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7.9920000000000018</v>
      </c>
      <c r="BD126" s="13">
        <f>IF('Données projet'!$A$88&gt;35,BD125+BC126-BL125,IF(A126&lt;'Données projet'!$A$88,$BA$205^A126,IF(A126='Données projet'!$A$88,'Données projet'!$B$88,BD125+BC126-BL125)))</f>
        <v>400.42800000000034</v>
      </c>
      <c r="BE126" s="14">
        <f>BD126*VLOOKUP('Données projet'!$B$11,Paramètres!$A$1:$I$89,3,0)*VLOOKUP('Données projet'!$B$11,Paramètres!$A$1:$I$89,5,0)</f>
        <v>406.03399200000041</v>
      </c>
      <c r="BF126" s="14">
        <f t="shared" si="91"/>
        <v>92.998896489228883</v>
      </c>
      <c r="BG126" s="22">
        <f t="shared" si="61"/>
        <v>869.14894745207437</v>
      </c>
      <c r="BH126" s="62">
        <f t="shared" si="62"/>
        <v>1162.4822807854077</v>
      </c>
      <c r="BI126" s="62">
        <f ca="1">AVERAGE(OFFSET($BH$3,0,0,'Données projet'!$E$11+1,1))-AVERAGE(OFFSET($H$3,0,0,'Données projet'!$E$11+1,1))</f>
        <v>502.06005292569733</v>
      </c>
      <c r="BJ126" s="62">
        <f t="shared" si="92"/>
        <v>297.06786598620607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63.277250907419834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63.277250907419834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-2.8421709430404007E-14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-5.1431925385259088E-14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204.787338911576</v>
      </c>
      <c r="CZ126" s="62">
        <f t="shared" si="96"/>
        <v>287.24932051638558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7.4222720779568725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7.4222720779568725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8.5265128291212022E-14</v>
      </c>
      <c r="DP126" s="18">
        <f>DO126*VLOOKUP('Données projet'!$B$14,Paramètres!$A$1:$I$89,3,0)*VLOOKUP('Données projet'!$B$14,Paramètres!$A$1:$I$89,5,0)</f>
        <v>8.1138296081917361E-14</v>
      </c>
      <c r="DQ126" s="14">
        <f t="shared" si="97"/>
        <v>1.2489471326210353E-12</v>
      </c>
      <c r="DR126" s="22">
        <f t="shared" si="70"/>
        <v>2.3165654549909759E-12</v>
      </c>
      <c r="DS126" s="62">
        <f t="shared" si="71"/>
        <v>293.33333333333564</v>
      </c>
      <c r="DT126" s="62">
        <f ca="1">AVERAGE(OFFSET($DS$3,0,0,'Données projet'!$E$14+1,1))-AVERAGE(OFFSET($H$3,0,0,'Données projet'!$E$14+1,1))</f>
        <v>309.55876703480277</v>
      </c>
      <c r="DU126" s="62">
        <f t="shared" si="98"/>
        <v>122.43799205838684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123.50884158112405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123.50884158112405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-3.4106051316484809E-13</v>
      </c>
      <c r="EK126" s="18">
        <f>EJ126*VLOOKUP('Données projet'!$B$15,Paramètres!$A$1:$I$89,3,0)*VLOOKUP('Données projet'!$B$15,Paramètres!$A$1:$I$89,5,0)</f>
        <v>-1.5961632016114892E-13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301.04834785168049</v>
      </c>
      <c r="EP126" s="62">
        <f t="shared" si="100"/>
        <v>164.1450425611464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169.8071892284409</v>
      </c>
      <c r="EW126" s="23">
        <f>EXP(-LN(2)/25)*EW125+(1-EXP(-LN(2)/25))/(LN(2)/25)*Calculateur!ER126*Calculateur!ET126*VLOOKUP('Données projet'!$B$15,Paramètres!$A$1:$I$89,3,0)*0.475*44/12</f>
        <v>35.551187861555277</v>
      </c>
      <c r="EX126" s="23">
        <f>EXP(-LN(2)/2)*EX125+(1-EXP(-LN(2)/2))/(LN(2)/2)*ER126*EU126*VLOOKUP('Données projet'!$B$15,Paramètres!$A$1:$I$89,3,0)*0.475*44/12</f>
        <v>11.28623846398056</v>
      </c>
      <c r="EY126" s="24">
        <f t="shared" si="75"/>
        <v>216.64461555397673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-2.8421709430404007E-13</v>
      </c>
      <c r="FF126" s="18">
        <f>FE126*VLOOKUP('Données projet'!$B$16,Paramètres!$A$1:$I$89,3,0)*VLOOKUP('Données projet'!$B$16,Paramètres!$A$1:$I$89,5,0)</f>
        <v>-2.5715962692629546E-13</v>
      </c>
      <c r="FG126" s="14" t="e">
        <f t="shared" si="101"/>
        <v>#NUM!</v>
      </c>
      <c r="FH126" s="22" t="e">
        <f t="shared" si="76"/>
        <v>#NUM!</v>
      </c>
      <c r="FI126" s="62" t="e">
        <f t="shared" si="77"/>
        <v>#NUM!</v>
      </c>
      <c r="FJ126" s="62">
        <f ca="1">AVERAGE(OFFSET($FI$3,0,0,'Données projet'!$E$16+1,1))-AVERAGE(OFFSET($H$3,0,0,'Données projet'!$E$16+1,1))</f>
        <v>330.53726676433649</v>
      </c>
      <c r="FK126" s="62">
        <f t="shared" si="102"/>
        <v>228.01260676706528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110.3585187577528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110.3585187577528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-2.8421709430404007E-13</v>
      </c>
      <c r="GA126" s="18">
        <f>FZ126*VLOOKUP('Données projet'!$B$17,Paramètres!$A$1:$I$89,3,0)*VLOOKUP('Données projet'!$B$17,Paramètres!$A$1:$I$89,5,0)</f>
        <v>-3.2366642699344083E-13</v>
      </c>
      <c r="GB126" s="14" t="e">
        <f t="shared" si="103"/>
        <v>#NUM!</v>
      </c>
      <c r="GC126" s="22" t="e">
        <f t="shared" si="79"/>
        <v>#NUM!</v>
      </c>
      <c r="GD126" s="62" t="e">
        <f t="shared" si="80"/>
        <v>#NUM!</v>
      </c>
      <c r="GE126" s="62">
        <f ca="1">AVERAGE(OFFSET($GD$3,0,0,'Données projet'!$E$17+1,1))-AVERAGE(OFFSET($H$3,0,0,'Données projet'!$E$17+1,1))</f>
        <v>405.71017054131318</v>
      </c>
      <c r="GF126" s="62">
        <f t="shared" si="104"/>
        <v>276.12900965322166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138.89951498820614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138.89951498820614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-2.8421709430404007E-13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>
        <f>VLOOKUP(A127,'Données projet'!$A$35:$I$55,2,0)</f>
        <v>408.42</v>
      </c>
      <c r="L127" s="13">
        <f>VLOOKUP(A127,'Données projet'!$A$35:$I$55,9,0)</f>
        <v>7.9920000000000018</v>
      </c>
      <c r="M127" s="13">
        <f t="array" ref="M127">INDEX(L:L,MIN(IF(ISNUMBER(L127:L323),ROW(L127:L323),"")))</f>
        <v>7.9920000000000018</v>
      </c>
      <c r="N127" s="14">
        <f>IF('Données projet'!$A$36&gt;35,N126+M127-V126,IF(A127&lt;'Données projet'!$A$36,$K$205^A127,IF(A127='Données projet'!$A$36,'Données projet'!$B$36,N126+M127-V126)))</f>
        <v>408.42000000000036</v>
      </c>
      <c r="O127" s="14">
        <f>N127*VLOOKUP('Données projet'!$B$9,Paramètres!$A$1:$I$89,3,0)*VLOOKUP('Données projet'!$B$9,Paramètres!$A$1:$I$89,5,0)</f>
        <v>369.53841600000032</v>
      </c>
      <c r="P127" s="14">
        <f t="shared" si="87"/>
        <v>85.572866703415954</v>
      </c>
      <c r="Q127" s="22">
        <f t="shared" si="107"/>
        <v>792.65215070844999</v>
      </c>
      <c r="R127" s="62">
        <f t="shared" si="55"/>
        <v>1085.9854840417834</v>
      </c>
      <c r="S127" s="62">
        <f ca="1">AVERAGE(OFFSET($R$3,0,0,'Données projet'!$E$9+1,1))-AVERAGE(OFFSET($H$3,0,0,'Données projet'!$E$9+1,1))</f>
        <v>452.54136967045082</v>
      </c>
      <c r="T127" s="62">
        <f t="shared" si="88"/>
        <v>269.67340993773422</v>
      </c>
      <c r="U127" s="16">
        <f>IF(ISNA(VLOOKUP(A127,'Données projet'!$A$35:$I$55,3,0)),0,VLOOKUP(A127,'Données projet'!$A$35:$I$55,3,0))</f>
        <v>10</v>
      </c>
      <c r="V127" s="16">
        <f>IF(ISNA(VLOOKUP(A127,'Données projet'!$A$35:$I$55,4,0)),0,VLOOKUP(A127,'Données projet'!$A$35:$I$55,4,0))</f>
        <v>408.42</v>
      </c>
      <c r="W127" s="17">
        <f>IF(ISNA(VLOOKUP(A127,'Données projet'!$A$35:$I$55,5,0)),0%,VLOOKUP(A127,'Données projet'!$A$35:$I$55,5,0)*VLOOKUP('Données projet'!$B$9,Paramètres!$A$1:$I$89,7,0))</f>
        <v>0.34400000000000003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195.88431500803745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195.88431500803745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>
        <f>VLOOKUP(A127,'Données projet'!$A$87:$I$107,2,0)</f>
        <v>408.42</v>
      </c>
      <c r="BB127" s="13">
        <f>VLOOKUP(A127,'Données projet'!$A$87:$I$107,9,0)</f>
        <v>7.9920000000000018</v>
      </c>
      <c r="BC127" s="13">
        <f t="array" ref="BC127">INDEX(BB:BB,MIN(IF(ISNUMBER(BB127:BB323),ROW(BB127:BB323),"")))</f>
        <v>7.9920000000000018</v>
      </c>
      <c r="BD127" s="13">
        <f>IF('Données projet'!$A$88&gt;35,BD126+BC127-BL126,IF(A127&lt;'Données projet'!$A$88,$BA$205^A127,IF(A127='Données projet'!$A$88,'Données projet'!$B$88,BD126+BC127-BL126)))</f>
        <v>408.42000000000036</v>
      </c>
      <c r="BE127" s="14">
        <f>BD127*VLOOKUP('Données projet'!$B$11,Paramètres!$A$1:$I$89,3,0)*VLOOKUP('Données projet'!$B$11,Paramètres!$A$1:$I$89,5,0)</f>
        <v>414.13788000000039</v>
      </c>
      <c r="BF127" s="14">
        <f t="shared" si="91"/>
        <v>94.637083526579147</v>
      </c>
      <c r="BG127" s="22">
        <f t="shared" si="61"/>
        <v>886.11639480879273</v>
      </c>
      <c r="BH127" s="62">
        <f t="shared" si="62"/>
        <v>1179.4497281421261</v>
      </c>
      <c r="BI127" s="62">
        <f ca="1">AVERAGE(OFFSET($BH$3,0,0,'Données projet'!$E$11+1,1))-AVERAGE(OFFSET($H$3,0,0,'Données projet'!$E$11+1,1))</f>
        <v>502.06005292569733</v>
      </c>
      <c r="BJ127" s="62">
        <f t="shared" si="92"/>
        <v>297.06786598620607</v>
      </c>
      <c r="BK127" s="16">
        <f>IF(ISNA(VLOOKUP(A127,'Données projet'!$A$87:$I$107,3,0)),0,VLOOKUP(A127,'Données projet'!$A$87:$I$107,3,0))</f>
        <v>10</v>
      </c>
      <c r="BL127" s="16">
        <f>IF(ISNA(VLOOKUP(A127,'Données projet'!$A$87:$I$107,4,0)),0,VLOOKUP(A127,'Données projet'!$A$87:$I$107,4,0))</f>
        <v>408.42</v>
      </c>
      <c r="BM127" s="17">
        <f>IF(ISNA(VLOOKUP(A127,'Données projet'!$A$87:$I$107,5,0)),0%,VLOOKUP(A127,'Données projet'!$A$87:$I$107,5,0)*VLOOKUP('Données projet'!$B$11,Paramètres!$A$1:$I$89,7,0))</f>
        <v>0.34400000000000003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219.52552544004197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219.52552544004197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-2.8421709430404007E-14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-5.1431925385259088E-14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204.787338911576</v>
      </c>
      <c r="CZ127" s="62">
        <f t="shared" si="96"/>
        <v>287.24932051638558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7.2767258496470877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7.2767258496470877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8.5265128291212022E-14</v>
      </c>
      <c r="DP127" s="18">
        <f>DO127*VLOOKUP('Données projet'!$B$14,Paramètres!$A$1:$I$89,3,0)*VLOOKUP('Données projet'!$B$14,Paramètres!$A$1:$I$89,5,0)</f>
        <v>8.1138296081917361E-14</v>
      </c>
      <c r="DQ127" s="14">
        <f t="shared" si="97"/>
        <v>1.2489471326210353E-12</v>
      </c>
      <c r="DR127" s="22">
        <f t="shared" si="70"/>
        <v>2.3165654549909759E-12</v>
      </c>
      <c r="DS127" s="62">
        <f t="shared" si="71"/>
        <v>293.33333333333564</v>
      </c>
      <c r="DT127" s="62">
        <f ca="1">AVERAGE(OFFSET($DS$3,0,0,'Données projet'!$E$14+1,1))-AVERAGE(OFFSET($H$3,0,0,'Données projet'!$E$14+1,1))</f>
        <v>309.55876703480277</v>
      </c>
      <c r="DU127" s="62">
        <f t="shared" si="98"/>
        <v>122.43799205838684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121.08690853067306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121.08690853067306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-3.4106051316484809E-13</v>
      </c>
      <c r="EK127" s="18">
        <f>EJ127*VLOOKUP('Données projet'!$B$15,Paramètres!$A$1:$I$89,3,0)*VLOOKUP('Données projet'!$B$15,Paramètres!$A$1:$I$89,5,0)</f>
        <v>-1.5961632016114892E-13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301.04834785168049</v>
      </c>
      <c r="EP127" s="62">
        <f t="shared" si="100"/>
        <v>164.1450425611464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166.47737381982969</v>
      </c>
      <c r="EW127" s="23">
        <f>EXP(-LN(2)/25)*EW126+(1-EXP(-LN(2)/25))/(LN(2)/25)*Calculateur!ER127*Calculateur!ET127*VLOOKUP('Données projet'!$B$15,Paramètres!$A$1:$I$89,3,0)*0.475*44/12</f>
        <v>34.579038759925332</v>
      </c>
      <c r="EX127" s="23">
        <f>EXP(-LN(2)/2)*EX126+(1-EXP(-LN(2)/2))/(LN(2)/2)*ER127*EU127*VLOOKUP('Données projet'!$B$15,Paramètres!$A$1:$I$89,3,0)*0.475*44/12</f>
        <v>7.9805757519690985</v>
      </c>
      <c r="EY127" s="24">
        <f t="shared" si="75"/>
        <v>209.03698833172413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-2.8421709430404007E-13</v>
      </c>
      <c r="FF127" s="18">
        <f>FE127*VLOOKUP('Données projet'!$B$16,Paramètres!$A$1:$I$89,3,0)*VLOOKUP('Données projet'!$B$16,Paramètres!$A$1:$I$89,5,0)</f>
        <v>-2.5715962692629546E-13</v>
      </c>
      <c r="FG127" s="14" t="e">
        <f t="shared" si="101"/>
        <v>#NUM!</v>
      </c>
      <c r="FH127" s="22" t="e">
        <f t="shared" si="76"/>
        <v>#NUM!</v>
      </c>
      <c r="FI127" s="62" t="e">
        <f t="shared" si="77"/>
        <v>#NUM!</v>
      </c>
      <c r="FJ127" s="62">
        <f ca="1">AVERAGE(OFFSET($FI$3,0,0,'Données projet'!$E$16+1,1))-AVERAGE(OFFSET($H$3,0,0,'Données projet'!$E$16+1,1))</f>
        <v>330.53726676433649</v>
      </c>
      <c r="FK127" s="62">
        <f t="shared" si="102"/>
        <v>228.01260676706528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108.1944555169632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108.1944555169632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-2.8421709430404007E-13</v>
      </c>
      <c r="GA127" s="18">
        <f>FZ127*VLOOKUP('Données projet'!$B$17,Paramètres!$A$1:$I$89,3,0)*VLOOKUP('Données projet'!$B$17,Paramètres!$A$1:$I$89,5,0)</f>
        <v>-3.2366642699344083E-13</v>
      </c>
      <c r="GB127" s="14" t="e">
        <f t="shared" si="103"/>
        <v>#NUM!</v>
      </c>
      <c r="GC127" s="22" t="e">
        <f t="shared" si="79"/>
        <v>#NUM!</v>
      </c>
      <c r="GD127" s="62" t="e">
        <f t="shared" si="80"/>
        <v>#NUM!</v>
      </c>
      <c r="GE127" s="62">
        <f ca="1">AVERAGE(OFFSET($GD$3,0,0,'Données projet'!$E$17+1,1))-AVERAGE(OFFSET($H$3,0,0,'Données projet'!$E$17+1,1))</f>
        <v>405.71017054131318</v>
      </c>
      <c r="GF127" s="62">
        <f t="shared" si="104"/>
        <v>276.12900965322166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136.17578021962612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136.17578021962612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-2.8421709430404007E-13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3.0859155231155454E-13</v>
      </c>
      <c r="P128" s="14">
        <f t="shared" si="87"/>
        <v>4.0660414022430783E-12</v>
      </c>
      <c r="Q128" s="22">
        <f t="shared" si="107"/>
        <v>7.619152395849318E-12</v>
      </c>
      <c r="R128" s="62">
        <f t="shared" si="55"/>
        <v>293.33333333334093</v>
      </c>
      <c r="S128" s="62">
        <f ca="1">AVERAGE(OFFSET($R$3,0,0,'Données projet'!$E$9+1,1))-AVERAGE(OFFSET($H$3,0,0,'Données projet'!$E$9+1,1))</f>
        <v>452.54136967045082</v>
      </c>
      <c r="T128" s="62">
        <f t="shared" si="88"/>
        <v>269.67340993773422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192.04314306836454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192.04314306836454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3.4583536034915599E-13</v>
      </c>
      <c r="BF128" s="14">
        <f t="shared" si="91"/>
        <v>4.4967326049770697E-12</v>
      </c>
      <c r="BG128" s="22">
        <f t="shared" si="61"/>
        <v>8.4341392062765094E-12</v>
      </c>
      <c r="BH128" s="62">
        <f t="shared" si="62"/>
        <v>293.33333333334173</v>
      </c>
      <c r="BI128" s="62">
        <f ca="1">AVERAGE(OFFSET($BH$3,0,0,'Données projet'!$E$11+1,1))-AVERAGE(OFFSET($H$3,0,0,'Données projet'!$E$11+1,1))</f>
        <v>502.06005292569733</v>
      </c>
      <c r="BJ128" s="62">
        <f t="shared" si="92"/>
        <v>297.06786598620607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215.22076378351201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215.22076378351201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-2.8421709430404007E-14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-5.1431925385259088E-14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204.787338911576</v>
      </c>
      <c r="CZ128" s="62">
        <f t="shared" si="96"/>
        <v>287.24932051638558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7.1340336941000242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7.1340336941000242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8.5265128291212022E-14</v>
      </c>
      <c r="DP128" s="18">
        <f>DO128*VLOOKUP('Données projet'!$B$14,Paramètres!$A$1:$I$89,3,0)*VLOOKUP('Données projet'!$B$14,Paramètres!$A$1:$I$89,5,0)</f>
        <v>8.1138296081917361E-14</v>
      </c>
      <c r="DQ128" s="14">
        <f t="shared" si="97"/>
        <v>1.2489471326210353E-12</v>
      </c>
      <c r="DR128" s="22">
        <f t="shared" si="70"/>
        <v>2.3165654549909759E-12</v>
      </c>
      <c r="DS128" s="62">
        <f t="shared" si="71"/>
        <v>293.33333333333564</v>
      </c>
      <c r="DT128" s="62">
        <f ca="1">AVERAGE(OFFSET($DS$3,0,0,'Données projet'!$E$14+1,1))-AVERAGE(OFFSET($H$3,0,0,'Données projet'!$E$14+1,1))</f>
        <v>309.55876703480277</v>
      </c>
      <c r="DU128" s="62">
        <f t="shared" si="98"/>
        <v>122.43799205838684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118.71246811010812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118.71246811010812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-3.4106051316484809E-13</v>
      </c>
      <c r="EK128" s="18">
        <f>EJ128*VLOOKUP('Données projet'!$B$15,Paramètres!$A$1:$I$89,3,0)*VLOOKUP('Données projet'!$B$15,Paramètres!$A$1:$I$89,5,0)</f>
        <v>-1.5961632016114892E-13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301.04834785168049</v>
      </c>
      <c r="EP128" s="62">
        <f t="shared" si="100"/>
        <v>164.1450425611464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163.21285406039451</v>
      </c>
      <c r="EW128" s="23">
        <f>EXP(-LN(2)/25)*EW127+(1-EXP(-LN(2)/25))/(LN(2)/25)*Calculateur!ER128*Calculateur!ET128*VLOOKUP('Données projet'!$B$15,Paramètres!$A$1:$I$89,3,0)*0.475*44/12</f>
        <v>33.63347312660256</v>
      </c>
      <c r="EX128" s="23">
        <f>EXP(-LN(2)/2)*EX127+(1-EXP(-LN(2)/2))/(LN(2)/2)*ER128*EU128*VLOOKUP('Données projet'!$B$15,Paramètres!$A$1:$I$89,3,0)*0.475*44/12</f>
        <v>5.6431192319902808</v>
      </c>
      <c r="EY128" s="24">
        <f t="shared" si="75"/>
        <v>202.48944641898734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-2.8421709430404007E-13</v>
      </c>
      <c r="FF128" s="18">
        <f>FE128*VLOOKUP('Données projet'!$B$16,Paramètres!$A$1:$I$89,3,0)*VLOOKUP('Données projet'!$B$16,Paramètres!$A$1:$I$89,5,0)</f>
        <v>-2.5715962692629546E-13</v>
      </c>
      <c r="FG128" s="14" t="e">
        <f t="shared" si="101"/>
        <v>#NUM!</v>
      </c>
      <c r="FH128" s="22" t="e">
        <f t="shared" si="76"/>
        <v>#NUM!</v>
      </c>
      <c r="FI128" s="62" t="e">
        <f t="shared" si="77"/>
        <v>#NUM!</v>
      </c>
      <c r="FJ128" s="62">
        <f ca="1">AVERAGE(OFFSET($FI$3,0,0,'Données projet'!$E$16+1,1))-AVERAGE(OFFSET($H$3,0,0,'Données projet'!$E$16+1,1))</f>
        <v>330.53726676433649</v>
      </c>
      <c r="FK128" s="62">
        <f t="shared" si="102"/>
        <v>228.01260676706528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106.07282823637723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106.07282823637723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-2.8421709430404007E-13</v>
      </c>
      <c r="GA128" s="18">
        <f>FZ128*VLOOKUP('Données projet'!$B$17,Paramètres!$A$1:$I$89,3,0)*VLOOKUP('Données projet'!$B$17,Paramètres!$A$1:$I$89,5,0)</f>
        <v>-3.2366642699344083E-13</v>
      </c>
      <c r="GB128" s="14" t="e">
        <f t="shared" si="103"/>
        <v>#NUM!</v>
      </c>
      <c r="GC128" s="22" t="e">
        <f t="shared" si="79"/>
        <v>#NUM!</v>
      </c>
      <c r="GD128" s="62" t="e">
        <f t="shared" si="80"/>
        <v>#NUM!</v>
      </c>
      <c r="GE128" s="62">
        <f ca="1">AVERAGE(OFFSET($GD$3,0,0,'Données projet'!$E$17+1,1))-AVERAGE(OFFSET($H$3,0,0,'Données projet'!$E$17+1,1))</f>
        <v>405.71017054131318</v>
      </c>
      <c r="GF128" s="62">
        <f t="shared" si="104"/>
        <v>276.12900965322166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133.50545622854378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133.50545622854378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-2.8421709430404007E-13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3.0859155231155454E-13</v>
      </c>
      <c r="P129" s="14">
        <f t="shared" si="87"/>
        <v>4.0660414022430783E-12</v>
      </c>
      <c r="Q129" s="22">
        <f t="shared" si="107"/>
        <v>7.619152395849318E-12</v>
      </c>
      <c r="R129" s="62">
        <f t="shared" si="55"/>
        <v>293.33333333334093</v>
      </c>
      <c r="S129" s="62">
        <f ca="1">AVERAGE(OFFSET($R$3,0,0,'Données projet'!$E$9+1,1))-AVERAGE(OFFSET($H$3,0,0,'Données projet'!$E$9+1,1))</f>
        <v>452.54136967045082</v>
      </c>
      <c r="T129" s="62">
        <f t="shared" si="88"/>
        <v>269.67340993773422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188.27729416754508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188.27729416754508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3.4583536034915599E-13</v>
      </c>
      <c r="BF129" s="14">
        <f t="shared" si="91"/>
        <v>4.4967326049770697E-12</v>
      </c>
      <c r="BG129" s="22">
        <f t="shared" si="61"/>
        <v>8.4341392062765094E-12</v>
      </c>
      <c r="BH129" s="62">
        <f t="shared" si="62"/>
        <v>293.33333333334173</v>
      </c>
      <c r="BI129" s="62">
        <f ca="1">AVERAGE(OFFSET($BH$3,0,0,'Données projet'!$E$11+1,1))-AVERAGE(OFFSET($H$3,0,0,'Données projet'!$E$11+1,1))</f>
        <v>502.06005292569733</v>
      </c>
      <c r="BJ129" s="62">
        <f t="shared" si="92"/>
        <v>297.06786598620607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211.00041587742123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211.00041587742123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-2.8421709430404007E-14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-5.1431925385259088E-14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204.787338911576</v>
      </c>
      <c r="CZ129" s="62">
        <f t="shared" si="96"/>
        <v>287.24932051638558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6.9941396446896178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6.9941396446896178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8.5265128291212022E-14</v>
      </c>
      <c r="DP129" s="18">
        <f>DO129*VLOOKUP('Données projet'!$B$14,Paramètres!$A$1:$I$89,3,0)*VLOOKUP('Données projet'!$B$14,Paramètres!$A$1:$I$89,5,0)</f>
        <v>8.1138296081917361E-14</v>
      </c>
      <c r="DQ129" s="14">
        <f t="shared" si="97"/>
        <v>1.2489471326210353E-12</v>
      </c>
      <c r="DR129" s="22">
        <f t="shared" si="70"/>
        <v>2.3165654549909759E-12</v>
      </c>
      <c r="DS129" s="62">
        <f t="shared" si="71"/>
        <v>293.33333333333564</v>
      </c>
      <c r="DT129" s="62">
        <f ca="1">AVERAGE(OFFSET($DS$3,0,0,'Données projet'!$E$14+1,1))-AVERAGE(OFFSET($H$3,0,0,'Données projet'!$E$14+1,1))</f>
        <v>309.55876703480277</v>
      </c>
      <c r="DU129" s="62">
        <f t="shared" si="98"/>
        <v>122.43799205838684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116.38458901792481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116.38458901792481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-3.4106051316484809E-13</v>
      </c>
      <c r="EK129" s="18">
        <f>EJ129*VLOOKUP('Données projet'!$B$15,Paramètres!$A$1:$I$89,3,0)*VLOOKUP('Données projet'!$B$15,Paramètres!$A$1:$I$89,5,0)</f>
        <v>-1.5961632016114892E-13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301.04834785168049</v>
      </c>
      <c r="EP129" s="62">
        <f t="shared" si="100"/>
        <v>164.1450425611464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160.01234954228141</v>
      </c>
      <c r="EW129" s="23">
        <f>EXP(-LN(2)/25)*EW128+(1-EXP(-LN(2)/25))/(LN(2)/25)*Calculateur!ER129*Calculateur!ET129*VLOOKUP('Données projet'!$B$15,Paramètres!$A$1:$I$89,3,0)*0.475*44/12</f>
        <v>32.713764035248133</v>
      </c>
      <c r="EX129" s="23">
        <f>EXP(-LN(2)/2)*EX128+(1-EXP(-LN(2)/2))/(LN(2)/2)*ER129*EU129*VLOOKUP('Données projet'!$B$15,Paramètres!$A$1:$I$89,3,0)*0.475*44/12</f>
        <v>3.9902878759845497</v>
      </c>
      <c r="EY129" s="24">
        <f t="shared" si="75"/>
        <v>196.7164014535141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-2.8421709430404007E-13</v>
      </c>
      <c r="FF129" s="18">
        <f>FE129*VLOOKUP('Données projet'!$B$16,Paramètres!$A$1:$I$89,3,0)*VLOOKUP('Données projet'!$B$16,Paramètres!$A$1:$I$89,5,0)</f>
        <v>-2.5715962692629546E-13</v>
      </c>
      <c r="FG129" s="14" t="e">
        <f t="shared" si="101"/>
        <v>#NUM!</v>
      </c>
      <c r="FH129" s="22" t="e">
        <f t="shared" si="76"/>
        <v>#NUM!</v>
      </c>
      <c r="FI129" s="62" t="e">
        <f t="shared" si="77"/>
        <v>#NUM!</v>
      </c>
      <c r="FJ129" s="62">
        <f ca="1">AVERAGE(OFFSET($FI$3,0,0,'Données projet'!$E$16+1,1))-AVERAGE(OFFSET($H$3,0,0,'Données projet'!$E$16+1,1))</f>
        <v>330.53726676433649</v>
      </c>
      <c r="FK129" s="62">
        <f t="shared" si="102"/>
        <v>228.01260676706528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103.9928047726987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103.9928047726987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-2.8421709430404007E-13</v>
      </c>
      <c r="GA129" s="18">
        <f>FZ129*VLOOKUP('Données projet'!$B$17,Paramètres!$A$1:$I$89,3,0)*VLOOKUP('Données projet'!$B$17,Paramètres!$A$1:$I$89,5,0)</f>
        <v>-3.2366642699344083E-13</v>
      </c>
      <c r="GB129" s="14" t="e">
        <f t="shared" si="103"/>
        <v>#NUM!</v>
      </c>
      <c r="GC129" s="22" t="e">
        <f t="shared" si="79"/>
        <v>#NUM!</v>
      </c>
      <c r="GD129" s="62" t="e">
        <f t="shared" si="80"/>
        <v>#NUM!</v>
      </c>
      <c r="GE129" s="62">
        <f ca="1">AVERAGE(OFFSET($GD$3,0,0,'Données projet'!$E$17+1,1))-AVERAGE(OFFSET($H$3,0,0,'Données projet'!$E$17+1,1))</f>
        <v>405.71017054131318</v>
      </c>
      <c r="GF129" s="62">
        <f t="shared" si="104"/>
        <v>276.12900965322166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130.88749566218976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130.88749566218976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-2.8421709430404007E-13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3.0859155231155454E-13</v>
      </c>
      <c r="P130" s="14">
        <f t="shared" si="87"/>
        <v>4.0660414022430783E-12</v>
      </c>
      <c r="Q130" s="22">
        <f t="shared" si="107"/>
        <v>7.619152395849318E-12</v>
      </c>
      <c r="R130" s="62">
        <f t="shared" si="55"/>
        <v>293.33333333334093</v>
      </c>
      <c r="S130" s="62">
        <f ca="1">AVERAGE(OFFSET($R$3,0,0,'Données projet'!$E$9+1,1))-AVERAGE(OFFSET($H$3,0,0,'Données projet'!$E$9+1,1))</f>
        <v>452.54136967045082</v>
      </c>
      <c r="T130" s="62">
        <f t="shared" si="88"/>
        <v>269.67340993773422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184.58529126672968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184.58529126672968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3.4583536034915599E-13</v>
      </c>
      <c r="BF130" s="14">
        <f t="shared" si="91"/>
        <v>4.4967326049770697E-12</v>
      </c>
      <c r="BG130" s="22">
        <f t="shared" si="61"/>
        <v>8.4341392062765094E-12</v>
      </c>
      <c r="BH130" s="62">
        <f t="shared" si="62"/>
        <v>293.33333333334173</v>
      </c>
      <c r="BI130" s="62">
        <f ca="1">AVERAGE(OFFSET($BH$3,0,0,'Données projet'!$E$11+1,1))-AVERAGE(OFFSET($H$3,0,0,'Données projet'!$E$11+1,1))</f>
        <v>502.06005292569733</v>
      </c>
      <c r="BJ130" s="62">
        <f t="shared" si="92"/>
        <v>297.06786598620607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206.86282641961085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206.86282641961085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-2.8421709430404007E-14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-5.1431925385259088E-14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204.787338911576</v>
      </c>
      <c r="CZ130" s="62">
        <f t="shared" si="96"/>
        <v>287.24932051638558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6.8569888322612051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6.8569888322612051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8.5265128291212022E-14</v>
      </c>
      <c r="DP130" s="18">
        <f>DO130*VLOOKUP('Données projet'!$B$14,Paramètres!$A$1:$I$89,3,0)*VLOOKUP('Données projet'!$B$14,Paramètres!$A$1:$I$89,5,0)</f>
        <v>8.1138296081917361E-14</v>
      </c>
      <c r="DQ130" s="14">
        <f t="shared" si="97"/>
        <v>1.2489471326210353E-12</v>
      </c>
      <c r="DR130" s="22">
        <f t="shared" si="70"/>
        <v>2.3165654549909759E-12</v>
      </c>
      <c r="DS130" s="62">
        <f t="shared" si="71"/>
        <v>293.33333333333564</v>
      </c>
      <c r="DT130" s="62">
        <f ca="1">AVERAGE(OFFSET($DS$3,0,0,'Données projet'!$E$14+1,1))-AVERAGE(OFFSET($H$3,0,0,'Données projet'!$E$14+1,1))</f>
        <v>309.55876703480277</v>
      </c>
      <c r="DU130" s="62">
        <f t="shared" si="98"/>
        <v>122.43799205838684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114.10235821487316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114.10235821487316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-3.4106051316484809E-13</v>
      </c>
      <c r="EK130" s="18">
        <f>EJ130*VLOOKUP('Données projet'!$B$15,Paramètres!$A$1:$I$89,3,0)*VLOOKUP('Données projet'!$B$15,Paramètres!$A$1:$I$89,5,0)</f>
        <v>-1.5961632016114892E-13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301.04834785168049</v>
      </c>
      <c r="EP130" s="62">
        <f t="shared" si="100"/>
        <v>164.1450425611464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156.8746049656535</v>
      </c>
      <c r="EW130" s="23">
        <f>EXP(-LN(2)/25)*EW129+(1-EXP(-LN(2)/25))/(LN(2)/25)*Calculateur!ER130*Calculateur!ET130*VLOOKUP('Données projet'!$B$15,Paramètres!$A$1:$I$89,3,0)*0.475*44/12</f>
        <v>31.819204437362192</v>
      </c>
      <c r="EX130" s="23">
        <f>EXP(-LN(2)/2)*EX129+(1-EXP(-LN(2)/2))/(LN(2)/2)*ER130*EU130*VLOOKUP('Données projet'!$B$15,Paramètres!$A$1:$I$89,3,0)*0.475*44/12</f>
        <v>2.8215596159951408</v>
      </c>
      <c r="EY130" s="24">
        <f t="shared" si="75"/>
        <v>191.51536901901085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-2.8421709430404007E-13</v>
      </c>
      <c r="FF130" s="18">
        <f>FE130*VLOOKUP('Données projet'!$B$16,Paramètres!$A$1:$I$89,3,0)*VLOOKUP('Données projet'!$B$16,Paramètres!$A$1:$I$89,5,0)</f>
        <v>-2.5715962692629546E-13</v>
      </c>
      <c r="FG130" s="14" t="e">
        <f t="shared" si="101"/>
        <v>#NUM!</v>
      </c>
      <c r="FH130" s="22" t="e">
        <f t="shared" si="76"/>
        <v>#NUM!</v>
      </c>
      <c r="FI130" s="62" t="e">
        <f t="shared" si="77"/>
        <v>#NUM!</v>
      </c>
      <c r="FJ130" s="62">
        <f ca="1">AVERAGE(OFFSET($FI$3,0,0,'Données projet'!$E$16+1,1))-AVERAGE(OFFSET($H$3,0,0,'Données projet'!$E$16+1,1))</f>
        <v>330.53726676433649</v>
      </c>
      <c r="FK130" s="62">
        <f t="shared" si="102"/>
        <v>228.01260676706528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101.95356930045386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101.95356930045386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-2.8421709430404007E-13</v>
      </c>
      <c r="GA130" s="18">
        <f>FZ130*VLOOKUP('Données projet'!$B$17,Paramètres!$A$1:$I$89,3,0)*VLOOKUP('Données projet'!$B$17,Paramètres!$A$1:$I$89,5,0)</f>
        <v>-3.2366642699344083E-13</v>
      </c>
      <c r="GB130" s="14" t="e">
        <f t="shared" si="103"/>
        <v>#NUM!</v>
      </c>
      <c r="GC130" s="22" t="e">
        <f t="shared" si="79"/>
        <v>#NUM!</v>
      </c>
      <c r="GD130" s="62" t="e">
        <f t="shared" si="80"/>
        <v>#NUM!</v>
      </c>
      <c r="GE130" s="62">
        <f ca="1">AVERAGE(OFFSET($GD$3,0,0,'Données projet'!$E$17+1,1))-AVERAGE(OFFSET($H$3,0,0,'Données projet'!$E$17+1,1))</f>
        <v>405.71017054131318</v>
      </c>
      <c r="GF130" s="62">
        <f t="shared" si="104"/>
        <v>276.12900965322166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128.32087170574368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128.32087170574368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-2.8421709430404007E-13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3.0859155231155454E-13</v>
      </c>
      <c r="P131" s="14">
        <f t="shared" si="87"/>
        <v>4.0660414022430783E-12</v>
      </c>
      <c r="Q131" s="22">
        <f t="shared" ref="Q131:Q153" si="108">(O131+P131)*0.475*44/12</f>
        <v>7.619152395849318E-12</v>
      </c>
      <c r="R131" s="62">
        <f t="shared" ref="R131:R194" si="109">Q131+(I131+J131)*44/12</f>
        <v>293.33333333334093</v>
      </c>
      <c r="S131" s="62">
        <f ca="1">AVERAGE(OFFSET($R$3,0,0,'Données projet'!$E$9+1,1))-AVERAGE(OFFSET($H$3,0,0,'Données projet'!$E$9+1,1))</f>
        <v>452.54136967045082</v>
      </c>
      <c r="T131" s="62">
        <f t="shared" si="88"/>
        <v>269.67340993773422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180.96568629089984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180.96568629089984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3.4583536034915599E-13</v>
      </c>
      <c r="BF131" s="14">
        <f t="shared" si="91"/>
        <v>4.4967326049770697E-12</v>
      </c>
      <c r="BG131" s="22">
        <f t="shared" si="61"/>
        <v>8.4341392062765094E-12</v>
      </c>
      <c r="BH131" s="62">
        <f t="shared" si="62"/>
        <v>293.33333333334173</v>
      </c>
      <c r="BI131" s="62">
        <f ca="1">AVERAGE(OFFSET($BH$3,0,0,'Données projet'!$E$11+1,1))-AVERAGE(OFFSET($H$3,0,0,'Données projet'!$E$11+1,1))</f>
        <v>502.06005292569733</v>
      </c>
      <c r="BJ131" s="62">
        <f t="shared" si="92"/>
        <v>297.06786598620607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202.80637256738777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202.80637256738777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-2.8421709430404007E-14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-5.1431925385259088E-14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204.787338911576</v>
      </c>
      <c r="CZ131" s="62">
        <f t="shared" si="96"/>
        <v>287.24932051638558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6.7225274636107777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6.7225274636107777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8.5265128291212022E-14</v>
      </c>
      <c r="DP131" s="18">
        <f>DO131*VLOOKUP('Données projet'!$B$14,Paramètres!$A$1:$I$89,3,0)*VLOOKUP('Données projet'!$B$14,Paramètres!$A$1:$I$89,5,0)</f>
        <v>8.1138296081917361E-14</v>
      </c>
      <c r="DQ131" s="14">
        <f t="shared" si="97"/>
        <v>1.2489471326210353E-12</v>
      </c>
      <c r="DR131" s="22">
        <f t="shared" si="70"/>
        <v>2.3165654549909759E-12</v>
      </c>
      <c r="DS131" s="62">
        <f t="shared" si="71"/>
        <v>293.33333333333564</v>
      </c>
      <c r="DT131" s="62">
        <f ca="1">AVERAGE(OFFSET($DS$3,0,0,'Données projet'!$E$14+1,1))-AVERAGE(OFFSET($H$3,0,0,'Données projet'!$E$14+1,1))</f>
        <v>309.55876703480277</v>
      </c>
      <c r="DU131" s="62">
        <f t="shared" si="98"/>
        <v>122.43799205838684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111.86488056584602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111.86488056584602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-3.4106051316484809E-13</v>
      </c>
      <c r="EK131" s="18">
        <f>EJ131*VLOOKUP('Données projet'!$B$15,Paramètres!$A$1:$I$89,3,0)*VLOOKUP('Données projet'!$B$15,Paramètres!$A$1:$I$89,5,0)</f>
        <v>-1.5961632016114892E-13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301.04834785168049</v>
      </c>
      <c r="EP131" s="62">
        <f t="shared" si="100"/>
        <v>164.1450425611464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153.79838964633805</v>
      </c>
      <c r="EW131" s="23">
        <f>EXP(-LN(2)/25)*EW130+(1-EXP(-LN(2)/25))/(LN(2)/25)*Calculateur!ER131*Calculateur!ET131*VLOOKUP('Données projet'!$B$15,Paramètres!$A$1:$I$89,3,0)*0.475*44/12</f>
        <v>30.949106618723285</v>
      </c>
      <c r="EX131" s="23">
        <f>EXP(-LN(2)/2)*EX130+(1-EXP(-LN(2)/2))/(LN(2)/2)*ER131*EU131*VLOOKUP('Données projet'!$B$15,Paramètres!$A$1:$I$89,3,0)*0.475*44/12</f>
        <v>1.9951439379922753</v>
      </c>
      <c r="EY131" s="24">
        <f t="shared" si="75"/>
        <v>186.74264020305361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-2.8421709430404007E-13</v>
      </c>
      <c r="FF131" s="18">
        <f>FE131*VLOOKUP('Données projet'!$B$16,Paramètres!$A$1:$I$89,3,0)*VLOOKUP('Données projet'!$B$16,Paramètres!$A$1:$I$89,5,0)</f>
        <v>-2.5715962692629546E-13</v>
      </c>
      <c r="FG131" s="14" t="e">
        <f t="shared" si="101"/>
        <v>#NUM!</v>
      </c>
      <c r="FH131" s="22" t="e">
        <f t="shared" si="76"/>
        <v>#NUM!</v>
      </c>
      <c r="FI131" s="62" t="e">
        <f t="shared" si="77"/>
        <v>#NUM!</v>
      </c>
      <c r="FJ131" s="62">
        <f ca="1">AVERAGE(OFFSET($FI$3,0,0,'Données projet'!$E$16+1,1))-AVERAGE(OFFSET($H$3,0,0,'Données projet'!$E$16+1,1))</f>
        <v>330.53726676433649</v>
      </c>
      <c r="FK131" s="62">
        <f t="shared" si="102"/>
        <v>228.01260676706528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99.954321992008929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99.954321992008929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-2.8421709430404007E-13</v>
      </c>
      <c r="GA131" s="18">
        <f>FZ131*VLOOKUP('Données projet'!$B$17,Paramètres!$A$1:$I$89,3,0)*VLOOKUP('Données projet'!$B$17,Paramètres!$A$1:$I$89,5,0)</f>
        <v>-3.2366642699344083E-13</v>
      </c>
      <c r="GB131" s="14" t="e">
        <f t="shared" si="103"/>
        <v>#NUM!</v>
      </c>
      <c r="GC131" s="22" t="e">
        <f t="shared" si="79"/>
        <v>#NUM!</v>
      </c>
      <c r="GD131" s="62" t="e">
        <f t="shared" si="80"/>
        <v>#NUM!</v>
      </c>
      <c r="GE131" s="62">
        <f ca="1">AVERAGE(OFFSET($GD$3,0,0,'Données projet'!$E$17+1,1))-AVERAGE(OFFSET($H$3,0,0,'Données projet'!$E$17+1,1))</f>
        <v>405.71017054131318</v>
      </c>
      <c r="GF131" s="62">
        <f t="shared" si="104"/>
        <v>276.12900965322166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125.80457767959747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125.80457767959747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-2.8421709430404007E-13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3.0859155231155454E-13</v>
      </c>
      <c r="P132" s="14">
        <f t="shared" si="87"/>
        <v>4.0660414022430783E-12</v>
      </c>
      <c r="Q132" s="22">
        <f t="shared" si="108"/>
        <v>7.619152395849318E-12</v>
      </c>
      <c r="R132" s="62">
        <f t="shared" si="109"/>
        <v>293.33333333334093</v>
      </c>
      <c r="S132" s="62">
        <f ca="1">AVERAGE(OFFSET($R$3,0,0,'Données projet'!$E$9+1,1))-AVERAGE(OFFSET($H$3,0,0,'Données projet'!$E$9+1,1))</f>
        <v>452.54136967045082</v>
      </c>
      <c r="T132" s="62">
        <f t="shared" si="88"/>
        <v>269.67340993773422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177.41705956090499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177.41705956090499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3.4583536034915599E-13</v>
      </c>
      <c r="BF132" s="14">
        <f t="shared" si="91"/>
        <v>4.4967326049770697E-12</v>
      </c>
      <c r="BG132" s="22">
        <f t="shared" ref="BG132:BG153" si="115">(BE132+BF132)*0.475*44/12</f>
        <v>8.4341392062765094E-12</v>
      </c>
      <c r="BH132" s="62">
        <f t="shared" ref="BH132:BH195" si="116">BG132+(AY132+AZ132)*44/12</f>
        <v>293.33333333334173</v>
      </c>
      <c r="BI132" s="62">
        <f ca="1">AVERAGE(OFFSET($BH$3,0,0,'Données projet'!$E$11+1,1))-AVERAGE(OFFSET($H$3,0,0,'Données projet'!$E$11+1,1))</f>
        <v>502.06005292569733</v>
      </c>
      <c r="BJ132" s="62">
        <f t="shared" si="92"/>
        <v>297.06786598620607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198.82946330101424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198.82946330101424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-2.8421709430404007E-14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-5.1431925385259088E-14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204.787338911576</v>
      </c>
      <c r="CZ132" s="62">
        <f t="shared" si="96"/>
        <v>287.24932051638558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6.5907028003862482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6.5907028003862482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8.5265128291212022E-14</v>
      </c>
      <c r="DP132" s="18">
        <f>DO132*VLOOKUP('Données projet'!$B$14,Paramètres!$A$1:$I$89,3,0)*VLOOKUP('Données projet'!$B$14,Paramètres!$A$1:$I$89,5,0)</f>
        <v>8.1138296081917361E-14</v>
      </c>
      <c r="DQ132" s="14">
        <f t="shared" si="97"/>
        <v>1.2489471326210353E-12</v>
      </c>
      <c r="DR132" s="22">
        <f t="shared" ref="DR132:DR153" si="124">(DP132+DQ132)*0.475*44/12</f>
        <v>2.3165654549909759E-12</v>
      </c>
      <c r="DS132" s="62">
        <f t="shared" ref="DS132:DS195" si="125">DR132+(DJ132+DK132)*44/12</f>
        <v>293.33333333333564</v>
      </c>
      <c r="DT132" s="62">
        <f ca="1">AVERAGE(OFFSET($DS$3,0,0,'Données projet'!$E$14+1,1))-AVERAGE(OFFSET($H$3,0,0,'Données projet'!$E$14+1,1))</f>
        <v>309.55876703480277</v>
      </c>
      <c r="DU132" s="62">
        <f t="shared" si="98"/>
        <v>122.43799205838684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109.6712784887897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109.6712784887897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-3.4106051316484809E-13</v>
      </c>
      <c r="EK132" s="18">
        <f>EJ132*VLOOKUP('Données projet'!$B$15,Paramètres!$A$1:$I$89,3,0)*VLOOKUP('Données projet'!$B$15,Paramètres!$A$1:$I$89,5,0)</f>
        <v>-1.5961632016114892E-13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301.04834785168049</v>
      </c>
      <c r="EP132" s="62">
        <f t="shared" si="100"/>
        <v>164.1450425611464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150.78249703312829</v>
      </c>
      <c r="EW132" s="23">
        <f>EXP(-LN(2)/25)*EW131+(1-EXP(-LN(2)/25))/(LN(2)/25)*Calculateur!ER132*Calculateur!ET132*VLOOKUP('Données projet'!$B$15,Paramètres!$A$1:$I$89,3,0)*0.475*44/12</f>
        <v>30.102801670691516</v>
      </c>
      <c r="EX132" s="23">
        <f>EXP(-LN(2)/2)*EX131+(1-EXP(-LN(2)/2))/(LN(2)/2)*ER132*EU132*VLOOKUP('Données projet'!$B$15,Paramètres!$A$1:$I$89,3,0)*0.475*44/12</f>
        <v>1.4107798079975706</v>
      </c>
      <c r="EY132" s="24">
        <f t="shared" ref="EY132:EY153" si="129">SUM(EV132:EX132)</f>
        <v>182.29607851181737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-2.8421709430404007E-13</v>
      </c>
      <c r="FF132" s="18">
        <f>FE132*VLOOKUP('Données projet'!$B$16,Paramètres!$A$1:$I$89,3,0)*VLOOKUP('Données projet'!$B$16,Paramètres!$A$1:$I$89,5,0)</f>
        <v>-2.5715962692629546E-13</v>
      </c>
      <c r="FG132" s="14" t="e">
        <f t="shared" si="101"/>
        <v>#NUM!</v>
      </c>
      <c r="FH132" s="22" t="e">
        <f t="shared" ref="FH132:FH153" si="130">(FF132+FG132)*0.475*44/12</f>
        <v>#NUM!</v>
      </c>
      <c r="FI132" s="62" t="e">
        <f t="shared" ref="FI132:FI195" si="131">FH132+(EZ132+FA132)*44/12</f>
        <v>#NUM!</v>
      </c>
      <c r="FJ132" s="62">
        <f ca="1">AVERAGE(OFFSET($FI$3,0,0,'Données projet'!$E$16+1,1))-AVERAGE(OFFSET($H$3,0,0,'Données projet'!$E$16+1,1))</f>
        <v>330.53726676433649</v>
      </c>
      <c r="FK132" s="62">
        <f t="shared" si="102"/>
        <v>228.01260676706528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97.99427870386215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97.99427870386215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-2.8421709430404007E-13</v>
      </c>
      <c r="GA132" s="18">
        <f>FZ132*VLOOKUP('Données projet'!$B$17,Paramètres!$A$1:$I$89,3,0)*VLOOKUP('Données projet'!$B$17,Paramètres!$A$1:$I$89,5,0)</f>
        <v>-3.2366642699344083E-13</v>
      </c>
      <c r="GB132" s="14" t="e">
        <f t="shared" si="103"/>
        <v>#NUM!</v>
      </c>
      <c r="GC132" s="22" t="e">
        <f t="shared" ref="GC132:GC153" si="133">(GA132+GB132)*0.475*44/12</f>
        <v>#NUM!</v>
      </c>
      <c r="GD132" s="62" t="e">
        <f t="shared" ref="GD132:GD195" si="134">GC132+(FU132+FV132)*44/12</f>
        <v>#NUM!</v>
      </c>
      <c r="GE132" s="62">
        <f ca="1">AVERAGE(OFFSET($GD$3,0,0,'Données projet'!$E$17+1,1))-AVERAGE(OFFSET($H$3,0,0,'Données projet'!$E$17+1,1))</f>
        <v>405.71017054131318</v>
      </c>
      <c r="GF132" s="62">
        <f t="shared" si="104"/>
        <v>276.12900965322166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123.33762664451618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123.33762664451618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-2.8421709430404007E-13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3.0859155231155454E-13</v>
      </c>
      <c r="P133" s="14">
        <f t="shared" ref="P133:P196" si="141">EXP(-1.0587+0.8836*LN(O133)+0.284)</f>
        <v>4.0660414022430783E-12</v>
      </c>
      <c r="Q133" s="22">
        <f t="shared" si="108"/>
        <v>7.619152395849318E-12</v>
      </c>
      <c r="R133" s="62">
        <f t="shared" si="109"/>
        <v>293.33333333334093</v>
      </c>
      <c r="S133" s="62">
        <f ca="1">AVERAGE(OFFSET($R$3,0,0,'Données projet'!$E$9+1,1))-AVERAGE(OFFSET($H$3,0,0,'Données projet'!$E$9+1,1))</f>
        <v>452.54136967045082</v>
      </c>
      <c r="T133" s="62">
        <f t="shared" ref="T133:T196" si="142">$T$3</f>
        <v>269.67340993773422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173.93801923663676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173.93801923663676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3.4583536034915599E-13</v>
      </c>
      <c r="BF133" s="14">
        <f t="shared" ref="BF133:BF153" si="145">EXP(-1.0587+0.8836*LN(BE133)+0.284)</f>
        <v>4.4967326049770697E-12</v>
      </c>
      <c r="BG133" s="22">
        <f t="shared" si="115"/>
        <v>8.4341392062765094E-12</v>
      </c>
      <c r="BH133" s="62">
        <f t="shared" si="116"/>
        <v>293.33333333334173</v>
      </c>
      <c r="BI133" s="62">
        <f ca="1">AVERAGE(OFFSET($BH$3,0,0,'Données projet'!$E$11+1,1))-AVERAGE(OFFSET($H$3,0,0,'Données projet'!$E$11+1,1))</f>
        <v>502.06005292569733</v>
      </c>
      <c r="BJ133" s="62">
        <f t="shared" ref="BJ133:BJ196" si="146">$BJ$3</f>
        <v>297.06786598620607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194.93053879967914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194.93053879967914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-2.8421709430404007E-14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-5.1431925385259088E-14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204.787338911576</v>
      </c>
      <c r="CZ133" s="62">
        <f t="shared" ref="CZ133:CZ196" si="150">$CZ$3</f>
        <v>287.24932051638558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6.461463138402447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6.461463138402447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8.5265128291212022E-14</v>
      </c>
      <c r="DP133" s="18">
        <f>DO133*VLOOKUP('Données projet'!$B$14,Paramètres!$A$1:$I$89,3,0)*VLOOKUP('Données projet'!$B$14,Paramètres!$A$1:$I$89,5,0)</f>
        <v>8.1138296081917361E-14</v>
      </c>
      <c r="DQ133" s="14">
        <f t="shared" ref="DQ133:DQ153" si="151">EXP(-1.0587+0.8836*LN(DP133)+0.284)</f>
        <v>1.2489471326210353E-12</v>
      </c>
      <c r="DR133" s="22">
        <f t="shared" si="124"/>
        <v>2.3165654549909759E-12</v>
      </c>
      <c r="DS133" s="62">
        <f t="shared" si="125"/>
        <v>293.33333333333564</v>
      </c>
      <c r="DT133" s="62">
        <f ca="1">AVERAGE(OFFSET($DS$3,0,0,'Données projet'!$E$14+1,1))-AVERAGE(OFFSET($H$3,0,0,'Données projet'!$E$14+1,1))</f>
        <v>309.55876703480277</v>
      </c>
      <c r="DU133" s="62">
        <f t="shared" ref="DU133:DU196" si="152">$DU$3</f>
        <v>122.43799205838684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107.52069161049928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107.52069161049928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-3.4106051316484809E-13</v>
      </c>
      <c r="EK133" s="18">
        <f>EJ133*VLOOKUP('Données projet'!$B$15,Paramètres!$A$1:$I$89,3,0)*VLOOKUP('Données projet'!$B$15,Paramètres!$A$1:$I$89,5,0)</f>
        <v>-1.5961632016114892E-13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301.04834785168049</v>
      </c>
      <c r="EP133" s="62">
        <f t="shared" ref="EP133:EP196" si="154">$EP$3</f>
        <v>164.1450425611464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147.82574423455074</v>
      </c>
      <c r="EW133" s="23">
        <f>EXP(-LN(2)/25)*EW132+(1-EXP(-LN(2)/25))/(LN(2)/25)*Calculateur!ER133*Calculateur!ET133*VLOOKUP('Données projet'!$B$15,Paramètres!$A$1:$I$89,3,0)*0.475*44/12</f>
        <v>29.279638975968918</v>
      </c>
      <c r="EX133" s="23">
        <f>EXP(-LN(2)/2)*EX132+(1-EXP(-LN(2)/2))/(LN(2)/2)*ER133*EU133*VLOOKUP('Données projet'!$B$15,Paramètres!$A$1:$I$89,3,0)*0.475*44/12</f>
        <v>0.99757196899613776</v>
      </c>
      <c r="EY133" s="24">
        <f t="shared" si="129"/>
        <v>178.10295517951579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-2.8421709430404007E-13</v>
      </c>
      <c r="FF133" s="18">
        <f>FE133*VLOOKUP('Données projet'!$B$16,Paramètres!$A$1:$I$89,3,0)*VLOOKUP('Données projet'!$B$16,Paramètres!$A$1:$I$89,5,0)</f>
        <v>-2.5715962692629546E-13</v>
      </c>
      <c r="FG133" s="14" t="e">
        <f t="shared" ref="FG133:FG153" si="155">EXP(-1.0587+0.8836*LN(FF133)+0.284)</f>
        <v>#NUM!</v>
      </c>
      <c r="FH133" s="22" t="e">
        <f t="shared" si="130"/>
        <v>#NUM!</v>
      </c>
      <c r="FI133" s="62" t="e">
        <f t="shared" si="131"/>
        <v>#NUM!</v>
      </c>
      <c r="FJ133" s="62">
        <f ca="1">AVERAGE(OFFSET($FI$3,0,0,'Données projet'!$E$16+1,1))-AVERAGE(OFFSET($H$3,0,0,'Données projet'!$E$16+1,1))</f>
        <v>330.53726676433649</v>
      </c>
      <c r="FK133" s="62">
        <f t="shared" ref="FK133:FK196" si="156">$FK$3</f>
        <v>228.01260676706528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96.072670669087572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96.072670669087572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-2.8421709430404007E-13</v>
      </c>
      <c r="GA133" s="18">
        <f>FZ133*VLOOKUP('Données projet'!$B$17,Paramètres!$A$1:$I$89,3,0)*VLOOKUP('Données projet'!$B$17,Paramètres!$A$1:$I$89,5,0)</f>
        <v>-3.2366642699344083E-13</v>
      </c>
      <c r="GB133" s="14" t="e">
        <f t="shared" ref="GB133:GB153" si="157">EXP(-1.0587+0.8836*LN(GA133)+0.284)</f>
        <v>#NUM!</v>
      </c>
      <c r="GC133" s="22" t="e">
        <f t="shared" si="133"/>
        <v>#NUM!</v>
      </c>
      <c r="GD133" s="62" t="e">
        <f t="shared" si="134"/>
        <v>#NUM!</v>
      </c>
      <c r="GE133" s="62">
        <f ca="1">AVERAGE(OFFSET($GD$3,0,0,'Données projet'!$E$17+1,1))-AVERAGE(OFFSET($H$3,0,0,'Données projet'!$E$17+1,1))</f>
        <v>405.71017054131318</v>
      </c>
      <c r="GF133" s="62">
        <f t="shared" ref="GF133:GF196" si="158">$GF$3</f>
        <v>276.12900965322166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120.91905101454127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120.91905101454127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-2.8421709430404007E-13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3.0859155231155454E-13</v>
      </c>
      <c r="P134" s="14">
        <f t="shared" si="141"/>
        <v>4.0660414022430783E-12</v>
      </c>
      <c r="Q134" s="22">
        <f t="shared" si="108"/>
        <v>7.619152395849318E-12</v>
      </c>
      <c r="R134" s="62">
        <f t="shared" si="109"/>
        <v>293.33333333334093</v>
      </c>
      <c r="S134" s="62">
        <f ca="1">AVERAGE(OFFSET($R$3,0,0,'Données projet'!$E$9+1,1))-AVERAGE(OFFSET($H$3,0,0,'Données projet'!$E$9+1,1))</f>
        <v>452.54136967045082</v>
      </c>
      <c r="T134" s="62">
        <f t="shared" si="142"/>
        <v>269.67340993773422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170.52720077112235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170.52720077112235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3.4583536034915599E-13</v>
      </c>
      <c r="BF134" s="14">
        <f t="shared" si="145"/>
        <v>4.4967326049770697E-12</v>
      </c>
      <c r="BG134" s="22">
        <f t="shared" si="115"/>
        <v>8.4341392062765094E-12</v>
      </c>
      <c r="BH134" s="62">
        <f t="shared" si="116"/>
        <v>293.33333333334173</v>
      </c>
      <c r="BI134" s="62">
        <f ca="1">AVERAGE(OFFSET($BH$3,0,0,'Données projet'!$E$11+1,1))-AVERAGE(OFFSET($H$3,0,0,'Données projet'!$E$11+1,1))</f>
        <v>502.06005292569733</v>
      </c>
      <c r="BJ134" s="62">
        <f t="shared" si="146"/>
        <v>297.06786598620607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191.1080698297061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191.1080698297061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-2.8421709430404007E-14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-5.1431925385259088E-14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204.787338911576</v>
      </c>
      <c r="CZ134" s="62">
        <f t="shared" si="150"/>
        <v>287.24932051638558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6.3347577873617382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6.3347577873617382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8.5265128291212022E-14</v>
      </c>
      <c r="DP134" s="18">
        <f>DO134*VLOOKUP('Données projet'!$B$14,Paramètres!$A$1:$I$89,3,0)*VLOOKUP('Données projet'!$B$14,Paramètres!$A$1:$I$89,5,0)</f>
        <v>8.1138296081917361E-14</v>
      </c>
      <c r="DQ134" s="14">
        <f t="shared" si="151"/>
        <v>1.2489471326210353E-12</v>
      </c>
      <c r="DR134" s="22">
        <f t="shared" si="124"/>
        <v>2.3165654549909759E-12</v>
      </c>
      <c r="DS134" s="62">
        <f t="shared" si="125"/>
        <v>293.33333333333564</v>
      </c>
      <c r="DT134" s="62">
        <f ca="1">AVERAGE(OFFSET($DS$3,0,0,'Données projet'!$E$14+1,1))-AVERAGE(OFFSET($H$3,0,0,'Données projet'!$E$14+1,1))</f>
        <v>309.55876703480277</v>
      </c>
      <c r="DU134" s="62">
        <f t="shared" si="152"/>
        <v>122.43799205838684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105.41227642916367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105.41227642916367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-3.4106051316484809E-13</v>
      </c>
      <c r="EK134" s="18">
        <f>EJ134*VLOOKUP('Données projet'!$B$15,Paramètres!$A$1:$I$89,3,0)*VLOOKUP('Données projet'!$B$15,Paramètres!$A$1:$I$89,5,0)</f>
        <v>-1.5961632016114892E-13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301.04834785168049</v>
      </c>
      <c r="EP134" s="62">
        <f t="shared" si="154"/>
        <v>164.1450425611464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144.92697155491214</v>
      </c>
      <c r="EW134" s="23">
        <f>EXP(-LN(2)/25)*EW133+(1-EXP(-LN(2)/25))/(LN(2)/25)*Calculateur!ER134*Calculateur!ET134*VLOOKUP('Données projet'!$B$15,Paramètres!$A$1:$I$89,3,0)*0.475*44/12</f>
        <v>28.478985708421753</v>
      </c>
      <c r="EX134" s="23">
        <f>EXP(-LN(2)/2)*EX133+(1-EXP(-LN(2)/2))/(LN(2)/2)*ER134*EU134*VLOOKUP('Données projet'!$B$15,Paramètres!$A$1:$I$89,3,0)*0.475*44/12</f>
        <v>0.70538990399878543</v>
      </c>
      <c r="EY134" s="24">
        <f t="shared" si="129"/>
        <v>174.1113471673327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-2.8421709430404007E-13</v>
      </c>
      <c r="FF134" s="18">
        <f>FE134*VLOOKUP('Données projet'!$B$16,Paramètres!$A$1:$I$89,3,0)*VLOOKUP('Données projet'!$B$16,Paramètres!$A$1:$I$89,5,0)</f>
        <v>-2.5715962692629546E-13</v>
      </c>
      <c r="FG134" s="14" t="e">
        <f t="shared" si="155"/>
        <v>#NUM!</v>
      </c>
      <c r="FH134" s="22" t="e">
        <f t="shared" si="130"/>
        <v>#NUM!</v>
      </c>
      <c r="FI134" s="62" t="e">
        <f t="shared" si="131"/>
        <v>#NUM!</v>
      </c>
      <c r="FJ134" s="62">
        <f ca="1">AVERAGE(OFFSET($FI$3,0,0,'Données projet'!$E$16+1,1))-AVERAGE(OFFSET($H$3,0,0,'Données projet'!$E$16+1,1))</f>
        <v>330.53726676433649</v>
      </c>
      <c r="FK134" s="62">
        <f t="shared" si="156"/>
        <v>228.01260676706528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94.188744195809747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94.188744195809747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-2.8421709430404007E-13</v>
      </c>
      <c r="GA134" s="18">
        <f>FZ134*VLOOKUP('Données projet'!$B$17,Paramètres!$A$1:$I$89,3,0)*VLOOKUP('Données projet'!$B$17,Paramètres!$A$1:$I$89,5,0)</f>
        <v>-3.2366642699344083E-13</v>
      </c>
      <c r="GB134" s="14" t="e">
        <f t="shared" si="157"/>
        <v>#NUM!</v>
      </c>
      <c r="GC134" s="22" t="e">
        <f t="shared" si="133"/>
        <v>#NUM!</v>
      </c>
      <c r="GD134" s="62" t="e">
        <f t="shared" si="134"/>
        <v>#NUM!</v>
      </c>
      <c r="GE134" s="62">
        <f ca="1">AVERAGE(OFFSET($GD$3,0,0,'Données projet'!$E$17+1,1))-AVERAGE(OFFSET($H$3,0,0,'Données projet'!$E$17+1,1))</f>
        <v>405.71017054131318</v>
      </c>
      <c r="GF134" s="62">
        <f t="shared" si="158"/>
        <v>276.12900965322166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118.5479021774847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118.5479021774847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-2.8421709430404007E-13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3.0859155231155454E-13</v>
      </c>
      <c r="P135" s="14">
        <f t="shared" si="141"/>
        <v>4.0660414022430783E-12</v>
      </c>
      <c r="Q135" s="22">
        <f t="shared" si="108"/>
        <v>7.619152395849318E-12</v>
      </c>
      <c r="R135" s="62">
        <f t="shared" si="109"/>
        <v>293.33333333334093</v>
      </c>
      <c r="S135" s="62">
        <f ca="1">AVERAGE(OFFSET($R$3,0,0,'Données projet'!$E$9+1,1))-AVERAGE(OFFSET($H$3,0,0,'Données projet'!$E$9+1,1))</f>
        <v>452.54136967045082</v>
      </c>
      <c r="T135" s="62">
        <f t="shared" si="142"/>
        <v>269.67340993773422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167.18326637532286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167.18326637532286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3.4583536034915599E-13</v>
      </c>
      <c r="BF135" s="14">
        <f t="shared" si="145"/>
        <v>4.4967326049770697E-12</v>
      </c>
      <c r="BG135" s="22">
        <f t="shared" si="115"/>
        <v>8.4341392062765094E-12</v>
      </c>
      <c r="BH135" s="62">
        <f t="shared" si="116"/>
        <v>293.33333333334173</v>
      </c>
      <c r="BI135" s="62">
        <f ca="1">AVERAGE(OFFSET($BH$3,0,0,'Données projet'!$E$11+1,1))-AVERAGE(OFFSET($H$3,0,0,'Données projet'!$E$11+1,1))</f>
        <v>502.06005292569733</v>
      </c>
      <c r="BJ135" s="62">
        <f t="shared" si="146"/>
        <v>297.06786598620607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187.36055714475839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187.36055714475839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-2.8421709430404007E-14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-5.1431925385259088E-14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204.787338911576</v>
      </c>
      <c r="CZ135" s="62">
        <f t="shared" si="150"/>
        <v>287.24932051638558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6.2105370509723041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6.2105370509723041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8.5265128291212022E-14</v>
      </c>
      <c r="DP135" s="18">
        <f>DO135*VLOOKUP('Données projet'!$B$14,Paramètres!$A$1:$I$89,3,0)*VLOOKUP('Données projet'!$B$14,Paramètres!$A$1:$I$89,5,0)</f>
        <v>8.1138296081917361E-14</v>
      </c>
      <c r="DQ135" s="14">
        <f t="shared" si="151"/>
        <v>1.2489471326210353E-12</v>
      </c>
      <c r="DR135" s="22">
        <f t="shared" si="124"/>
        <v>2.3165654549909759E-12</v>
      </c>
      <c r="DS135" s="62">
        <f t="shared" si="125"/>
        <v>293.33333333333564</v>
      </c>
      <c r="DT135" s="62">
        <f ca="1">AVERAGE(OFFSET($DS$3,0,0,'Données projet'!$E$14+1,1))-AVERAGE(OFFSET($H$3,0,0,'Données projet'!$E$14+1,1))</f>
        <v>309.55876703480277</v>
      </c>
      <c r="DU135" s="62">
        <f t="shared" si="152"/>
        <v>122.43799205838684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103.34520598352778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103.34520598352778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-3.4106051316484809E-13</v>
      </c>
      <c r="EK135" s="18">
        <f>EJ135*VLOOKUP('Données projet'!$B$15,Paramètres!$A$1:$I$89,3,0)*VLOOKUP('Données projet'!$B$15,Paramètres!$A$1:$I$89,5,0)</f>
        <v>-1.5961632016114892E-13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301.04834785168049</v>
      </c>
      <c r="EP135" s="62">
        <f t="shared" si="154"/>
        <v>164.1450425611464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142.08504203944452</v>
      </c>
      <c r="EW135" s="23">
        <f>EXP(-LN(2)/25)*EW134+(1-EXP(-LN(2)/25))/(LN(2)/25)*Calculateur!ER135*Calculateur!ET135*VLOOKUP('Données projet'!$B$15,Paramètres!$A$1:$I$89,3,0)*0.475*44/12</f>
        <v>27.700226346580191</v>
      </c>
      <c r="EX135" s="23">
        <f>EXP(-LN(2)/2)*EX134+(1-EXP(-LN(2)/2))/(LN(2)/2)*ER135*EU135*VLOOKUP('Données projet'!$B$15,Paramètres!$A$1:$I$89,3,0)*0.475*44/12</f>
        <v>0.49878598449806899</v>
      </c>
      <c r="EY135" s="24">
        <f t="shared" si="129"/>
        <v>170.28405437052277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-2.8421709430404007E-13</v>
      </c>
      <c r="FF135" s="18">
        <f>FE135*VLOOKUP('Données projet'!$B$16,Paramètres!$A$1:$I$89,3,0)*VLOOKUP('Données projet'!$B$16,Paramètres!$A$1:$I$89,5,0)</f>
        <v>-2.5715962692629546E-13</v>
      </c>
      <c r="FG135" s="14" t="e">
        <f t="shared" si="155"/>
        <v>#NUM!</v>
      </c>
      <c r="FH135" s="22" t="e">
        <f t="shared" si="130"/>
        <v>#NUM!</v>
      </c>
      <c r="FI135" s="62" t="e">
        <f t="shared" si="131"/>
        <v>#NUM!</v>
      </c>
      <c r="FJ135" s="62">
        <f ca="1">AVERAGE(OFFSET($FI$3,0,0,'Données projet'!$E$16+1,1))-AVERAGE(OFFSET($H$3,0,0,'Données projet'!$E$16+1,1))</f>
        <v>330.53726676433649</v>
      </c>
      <c r="FK135" s="62">
        <f t="shared" si="156"/>
        <v>228.01260676706528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92.341760371591221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92.341760371591221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-2.8421709430404007E-13</v>
      </c>
      <c r="GA135" s="18">
        <f>FZ135*VLOOKUP('Données projet'!$B$17,Paramètres!$A$1:$I$89,3,0)*VLOOKUP('Données projet'!$B$17,Paramètres!$A$1:$I$89,5,0)</f>
        <v>-3.2366642699344083E-13</v>
      </c>
      <c r="GB135" s="14" t="e">
        <f t="shared" si="157"/>
        <v>#NUM!</v>
      </c>
      <c r="GC135" s="22" t="e">
        <f t="shared" si="133"/>
        <v>#NUM!</v>
      </c>
      <c r="GD135" s="62" t="e">
        <f t="shared" si="134"/>
        <v>#NUM!</v>
      </c>
      <c r="GE135" s="62">
        <f ca="1">AVERAGE(OFFSET($GD$3,0,0,'Données projet'!$E$17+1,1))-AVERAGE(OFFSET($H$3,0,0,'Données projet'!$E$17+1,1))</f>
        <v>405.71017054131318</v>
      </c>
      <c r="GF135" s="62">
        <f t="shared" si="158"/>
        <v>276.12900965322166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116.22325012286483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116.22325012286483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-2.8421709430404007E-13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3.0859155231155454E-13</v>
      </c>
      <c r="P136" s="14">
        <f t="shared" si="141"/>
        <v>4.0660414022430783E-12</v>
      </c>
      <c r="Q136" s="22">
        <f t="shared" si="108"/>
        <v>7.619152395849318E-12</v>
      </c>
      <c r="R136" s="62">
        <f t="shared" si="109"/>
        <v>293.33333333334093</v>
      </c>
      <c r="S136" s="62">
        <f ca="1">AVERAGE(OFFSET($R$3,0,0,'Données projet'!$E$9+1,1))-AVERAGE(OFFSET($H$3,0,0,'Données projet'!$E$9+1,1))</f>
        <v>452.54136967045082</v>
      </c>
      <c r="T136" s="62">
        <f t="shared" si="142"/>
        <v>269.67340993773422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163.90490449342639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163.90490449342639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3.4583536034915599E-13</v>
      </c>
      <c r="BF136" s="14">
        <f t="shared" si="145"/>
        <v>4.4967326049770697E-12</v>
      </c>
      <c r="BG136" s="22">
        <f t="shared" si="115"/>
        <v>8.4341392062765094E-12</v>
      </c>
      <c r="BH136" s="62">
        <f t="shared" si="116"/>
        <v>293.33333333334173</v>
      </c>
      <c r="BI136" s="62">
        <f ca="1">AVERAGE(OFFSET($BH$3,0,0,'Données projet'!$E$11+1,1))-AVERAGE(OFFSET($H$3,0,0,'Données projet'!$E$11+1,1))</f>
        <v>502.06005292569733</v>
      </c>
      <c r="BJ136" s="62">
        <f t="shared" si="146"/>
        <v>297.06786598620607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183.68653089780545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183.68653089780545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-2.8421709430404007E-14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-5.1431925385259088E-14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204.787338911576</v>
      </c>
      <c r="CZ136" s="62">
        <f t="shared" si="150"/>
        <v>287.24932051638558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6.0887522074562987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6.0887522074562987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8.5265128291212022E-14</v>
      </c>
      <c r="DP136" s="18">
        <f>DO136*VLOOKUP('Données projet'!$B$14,Paramètres!$A$1:$I$89,3,0)*VLOOKUP('Données projet'!$B$14,Paramètres!$A$1:$I$89,5,0)</f>
        <v>8.1138296081917361E-14</v>
      </c>
      <c r="DQ136" s="14">
        <f t="shared" si="151"/>
        <v>1.2489471326210353E-12</v>
      </c>
      <c r="DR136" s="22">
        <f t="shared" si="124"/>
        <v>2.3165654549909759E-12</v>
      </c>
      <c r="DS136" s="62">
        <f t="shared" si="125"/>
        <v>293.33333333333564</v>
      </c>
      <c r="DT136" s="62">
        <f ca="1">AVERAGE(OFFSET($DS$3,0,0,'Données projet'!$E$14+1,1))-AVERAGE(OFFSET($H$3,0,0,'Données projet'!$E$14+1,1))</f>
        <v>309.55876703480277</v>
      </c>
      <c r="DU136" s="62">
        <f t="shared" si="152"/>
        <v>122.43799205838684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101.31866952854232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101.31866952854232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-3.4106051316484809E-13</v>
      </c>
      <c r="EK136" s="18">
        <f>EJ136*VLOOKUP('Données projet'!$B$15,Paramètres!$A$1:$I$89,3,0)*VLOOKUP('Données projet'!$B$15,Paramètres!$A$1:$I$89,5,0)</f>
        <v>-1.5961632016114892E-13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301.04834785168049</v>
      </c>
      <c r="EP136" s="62">
        <f t="shared" si="154"/>
        <v>164.1450425611464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139.29884102836937</v>
      </c>
      <c r="EW136" s="23">
        <f>EXP(-LN(2)/25)*EW135+(1-EXP(-LN(2)/25))/(LN(2)/25)*Calculateur!ER136*Calculateur!ET136*VLOOKUP('Données projet'!$B$15,Paramètres!$A$1:$I$89,3,0)*0.475*44/12</f>
        <v>26.942762200441361</v>
      </c>
      <c r="EX136" s="23">
        <f>EXP(-LN(2)/2)*EX135+(1-EXP(-LN(2)/2))/(LN(2)/2)*ER136*EU136*VLOOKUP('Données projet'!$B$15,Paramètres!$A$1:$I$89,3,0)*0.475*44/12</f>
        <v>0.35269495199939277</v>
      </c>
      <c r="EY136" s="24">
        <f t="shared" si="129"/>
        <v>166.59429818081011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-2.8421709430404007E-13</v>
      </c>
      <c r="FF136" s="18">
        <f>FE136*VLOOKUP('Données projet'!$B$16,Paramètres!$A$1:$I$89,3,0)*VLOOKUP('Données projet'!$B$16,Paramètres!$A$1:$I$89,5,0)</f>
        <v>-2.5715962692629546E-13</v>
      </c>
      <c r="FG136" s="14" t="e">
        <f t="shared" si="155"/>
        <v>#NUM!</v>
      </c>
      <c r="FH136" s="22" t="e">
        <f t="shared" si="130"/>
        <v>#NUM!</v>
      </c>
      <c r="FI136" s="62" t="e">
        <f t="shared" si="131"/>
        <v>#NUM!</v>
      </c>
      <c r="FJ136" s="62">
        <f ca="1">AVERAGE(OFFSET($FI$3,0,0,'Données projet'!$E$16+1,1))-AVERAGE(OFFSET($H$3,0,0,'Données projet'!$E$16+1,1))</f>
        <v>330.53726676433649</v>
      </c>
      <c r="FK136" s="62">
        <f t="shared" si="156"/>
        <v>228.01260676706528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90.530994773616712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90.530994773616712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-2.8421709430404007E-13</v>
      </c>
      <c r="GA136" s="18">
        <f>FZ136*VLOOKUP('Données projet'!$B$17,Paramètres!$A$1:$I$89,3,0)*VLOOKUP('Données projet'!$B$17,Paramètres!$A$1:$I$89,5,0)</f>
        <v>-3.2366642699344083E-13</v>
      </c>
      <c r="GB136" s="14" t="e">
        <f t="shared" si="157"/>
        <v>#NUM!</v>
      </c>
      <c r="GC136" s="22" t="e">
        <f t="shared" si="133"/>
        <v>#NUM!</v>
      </c>
      <c r="GD136" s="62" t="e">
        <f t="shared" si="134"/>
        <v>#NUM!</v>
      </c>
      <c r="GE136" s="62">
        <f ca="1">AVERAGE(OFFSET($GD$3,0,0,'Données projet'!$E$17+1,1))-AVERAGE(OFFSET($H$3,0,0,'Données projet'!$E$17+1,1))</f>
        <v>405.71017054131318</v>
      </c>
      <c r="GF136" s="62">
        <f t="shared" si="158"/>
        <v>276.12900965322166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113.94418307713829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113.94418307713829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-2.8421709430404007E-13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3.0859155231155454E-13</v>
      </c>
      <c r="P137" s="14">
        <f t="shared" si="141"/>
        <v>4.0660414022430783E-12</v>
      </c>
      <c r="Q137" s="22">
        <f t="shared" si="108"/>
        <v>7.619152395849318E-12</v>
      </c>
      <c r="R137" s="62">
        <f t="shared" si="109"/>
        <v>293.33333333334093</v>
      </c>
      <c r="S137" s="62">
        <f ca="1">AVERAGE(OFFSET($R$3,0,0,'Données projet'!$E$9+1,1))-AVERAGE(OFFSET($H$3,0,0,'Données projet'!$E$9+1,1))</f>
        <v>452.54136967045082</v>
      </c>
      <c r="T137" s="62">
        <f t="shared" si="142"/>
        <v>269.67340993773422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160.69082928843062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160.69082928843062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3.4583536034915599E-13</v>
      </c>
      <c r="BF137" s="14">
        <f t="shared" si="145"/>
        <v>4.4967326049770697E-12</v>
      </c>
      <c r="BG137" s="22">
        <f t="shared" si="115"/>
        <v>8.4341392062765094E-12</v>
      </c>
      <c r="BH137" s="62">
        <f t="shared" si="116"/>
        <v>293.33333333334173</v>
      </c>
      <c r="BI137" s="62">
        <f ca="1">AVERAGE(OFFSET($BH$3,0,0,'Données projet'!$E$11+1,1))-AVERAGE(OFFSET($H$3,0,0,'Données projet'!$E$11+1,1))</f>
        <v>502.06005292569733</v>
      </c>
      <c r="BJ137" s="62">
        <f t="shared" si="146"/>
        <v>297.06786598620607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180.08455006462054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180.08455006462054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-2.8421709430404007E-14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-5.1431925385259088E-14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204.787338911576</v>
      </c>
      <c r="CZ137" s="62">
        <f t="shared" si="150"/>
        <v>287.24932051638558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5.9693554904402228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5.9693554904402228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8.5265128291212022E-14</v>
      </c>
      <c r="DP137" s="18">
        <f>DO137*VLOOKUP('Données projet'!$B$14,Paramètres!$A$1:$I$89,3,0)*VLOOKUP('Données projet'!$B$14,Paramètres!$A$1:$I$89,5,0)</f>
        <v>8.1138296081917361E-14</v>
      </c>
      <c r="DQ137" s="14">
        <f t="shared" si="151"/>
        <v>1.2489471326210353E-12</v>
      </c>
      <c r="DR137" s="22">
        <f t="shared" si="124"/>
        <v>2.3165654549909759E-12</v>
      </c>
      <c r="DS137" s="62">
        <f t="shared" si="125"/>
        <v>293.33333333333564</v>
      </c>
      <c r="DT137" s="62">
        <f ca="1">AVERAGE(OFFSET($DS$3,0,0,'Données projet'!$E$14+1,1))-AVERAGE(OFFSET($H$3,0,0,'Données projet'!$E$14+1,1))</f>
        <v>309.55876703480277</v>
      </c>
      <c r="DU137" s="62">
        <f t="shared" si="152"/>
        <v>122.43799205838684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99.331872217373942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99.331872217373942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-3.4106051316484809E-13</v>
      </c>
      <c r="EK137" s="18">
        <f>EJ137*VLOOKUP('Données projet'!$B$15,Paramètres!$A$1:$I$89,3,0)*VLOOKUP('Données projet'!$B$15,Paramètres!$A$1:$I$89,5,0)</f>
        <v>-1.5961632016114892E-13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301.04834785168049</v>
      </c>
      <c r="EP137" s="62">
        <f t="shared" si="154"/>
        <v>164.1450425611464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136.56727571970657</v>
      </c>
      <c r="EW137" s="23">
        <f>EXP(-LN(2)/25)*EW136+(1-EXP(-LN(2)/25))/(LN(2)/25)*Calculateur!ER137*Calculateur!ET137*VLOOKUP('Données projet'!$B$15,Paramètres!$A$1:$I$89,3,0)*0.475*44/12</f>
        <v>26.206010951212008</v>
      </c>
      <c r="EX137" s="23">
        <f>EXP(-LN(2)/2)*EX136+(1-EXP(-LN(2)/2))/(LN(2)/2)*ER137*EU137*VLOOKUP('Données projet'!$B$15,Paramètres!$A$1:$I$89,3,0)*0.475*44/12</f>
        <v>0.24939299224903452</v>
      </c>
      <c r="EY137" s="24">
        <f t="shared" si="129"/>
        <v>163.02267966316762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-2.8421709430404007E-13</v>
      </c>
      <c r="FF137" s="18">
        <f>FE137*VLOOKUP('Données projet'!$B$16,Paramètres!$A$1:$I$89,3,0)*VLOOKUP('Données projet'!$B$16,Paramètres!$A$1:$I$89,5,0)</f>
        <v>-2.5715962692629546E-13</v>
      </c>
      <c r="FG137" s="14" t="e">
        <f t="shared" si="155"/>
        <v>#NUM!</v>
      </c>
      <c r="FH137" s="22" t="e">
        <f t="shared" si="130"/>
        <v>#NUM!</v>
      </c>
      <c r="FI137" s="62" t="e">
        <f t="shared" si="131"/>
        <v>#NUM!</v>
      </c>
      <c r="FJ137" s="62">
        <f ca="1">AVERAGE(OFFSET($FI$3,0,0,'Données projet'!$E$16+1,1))-AVERAGE(OFFSET($H$3,0,0,'Données projet'!$E$16+1,1))</f>
        <v>330.53726676433649</v>
      </c>
      <c r="FK137" s="62">
        <f t="shared" si="156"/>
        <v>228.01260676706528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88.75573718456053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88.75573718456053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-2.8421709430404007E-13</v>
      </c>
      <c r="GA137" s="18">
        <f>FZ137*VLOOKUP('Données projet'!$B$17,Paramètres!$A$1:$I$89,3,0)*VLOOKUP('Données projet'!$B$17,Paramètres!$A$1:$I$89,5,0)</f>
        <v>-3.2366642699344083E-13</v>
      </c>
      <c r="GB137" s="14" t="e">
        <f t="shared" si="157"/>
        <v>#NUM!</v>
      </c>
      <c r="GC137" s="22" t="e">
        <f t="shared" si="133"/>
        <v>#NUM!</v>
      </c>
      <c r="GD137" s="62" t="e">
        <f t="shared" si="134"/>
        <v>#NUM!</v>
      </c>
      <c r="GE137" s="62">
        <f ca="1">AVERAGE(OFFSET($GD$3,0,0,'Données projet'!$E$17+1,1))-AVERAGE(OFFSET($H$3,0,0,'Données projet'!$E$17+1,1))</f>
        <v>405.71017054131318</v>
      </c>
      <c r="GF137" s="62">
        <f t="shared" si="158"/>
        <v>276.12900965322166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111.70980714608483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111.70980714608483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-2.8421709430404007E-13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3.0859155231155454E-13</v>
      </c>
      <c r="P138" s="14">
        <f t="shared" si="141"/>
        <v>4.0660414022430783E-12</v>
      </c>
      <c r="Q138" s="22">
        <f t="shared" si="108"/>
        <v>7.619152395849318E-12</v>
      </c>
      <c r="R138" s="62">
        <f t="shared" si="109"/>
        <v>293.33333333334093</v>
      </c>
      <c r="S138" s="62">
        <f ca="1">AVERAGE(OFFSET($R$3,0,0,'Données projet'!$E$9+1,1))-AVERAGE(OFFSET($H$3,0,0,'Données projet'!$E$9+1,1))</f>
        <v>452.54136967045082</v>
      </c>
      <c r="T138" s="62">
        <f t="shared" si="142"/>
        <v>269.67340993773422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157.5397801378125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157.5397801378125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3.4583536034915599E-13</v>
      </c>
      <c r="BF138" s="14">
        <f t="shared" si="145"/>
        <v>4.4967326049770697E-12</v>
      </c>
      <c r="BG138" s="22">
        <f t="shared" si="115"/>
        <v>8.4341392062765094E-12</v>
      </c>
      <c r="BH138" s="62">
        <f t="shared" si="116"/>
        <v>293.33333333334173</v>
      </c>
      <c r="BI138" s="62">
        <f ca="1">AVERAGE(OFFSET($BH$3,0,0,'Données projet'!$E$11+1,1))-AVERAGE(OFFSET($H$3,0,0,'Données projet'!$E$11+1,1))</f>
        <v>502.06005292569733</v>
      </c>
      <c r="BJ138" s="62">
        <f t="shared" si="146"/>
        <v>297.06786598620607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176.553201878583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176.553201878583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-2.8421709430404007E-14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-5.1431925385259088E-14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204.787338911576</v>
      </c>
      <c r="CZ138" s="62">
        <f t="shared" si="150"/>
        <v>287.24932051638558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5.8523000702200259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5.8523000702200259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8.5265128291212022E-14</v>
      </c>
      <c r="DP138" s="18">
        <f>DO138*VLOOKUP('Données projet'!$B$14,Paramètres!$A$1:$I$89,3,0)*VLOOKUP('Données projet'!$B$14,Paramètres!$A$1:$I$89,5,0)</f>
        <v>8.1138296081917361E-14</v>
      </c>
      <c r="DQ138" s="14">
        <f t="shared" si="151"/>
        <v>1.2489471326210353E-12</v>
      </c>
      <c r="DR138" s="22">
        <f t="shared" si="124"/>
        <v>2.3165654549909759E-12</v>
      </c>
      <c r="DS138" s="62">
        <f t="shared" si="125"/>
        <v>293.33333333333564</v>
      </c>
      <c r="DT138" s="62">
        <f ca="1">AVERAGE(OFFSET($DS$3,0,0,'Données projet'!$E$14+1,1))-AVERAGE(OFFSET($H$3,0,0,'Données projet'!$E$14+1,1))</f>
        <v>309.55876703480277</v>
      </c>
      <c r="DU138" s="62">
        <f t="shared" si="152"/>
        <v>122.43799205838684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97.384034789650869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97.384034789650869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-3.4106051316484809E-13</v>
      </c>
      <c r="EK138" s="18">
        <f>EJ138*VLOOKUP('Données projet'!$B$15,Paramètres!$A$1:$I$89,3,0)*VLOOKUP('Données projet'!$B$15,Paramètres!$A$1:$I$89,5,0)</f>
        <v>-1.5961632016114892E-13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301.04834785168049</v>
      </c>
      <c r="EP138" s="62">
        <f t="shared" si="154"/>
        <v>164.1450425611464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133.88927474065633</v>
      </c>
      <c r="EW138" s="23">
        <f>EXP(-LN(2)/25)*EW137+(1-EXP(-LN(2)/25))/(LN(2)/25)*Calculateur!ER138*Calculateur!ET138*VLOOKUP('Données projet'!$B$15,Paramètres!$A$1:$I$89,3,0)*0.475*44/12</f>
        <v>25.489406203636893</v>
      </c>
      <c r="EX138" s="23">
        <f>EXP(-LN(2)/2)*EX137+(1-EXP(-LN(2)/2))/(LN(2)/2)*ER138*EU138*VLOOKUP('Données projet'!$B$15,Paramètres!$A$1:$I$89,3,0)*0.475*44/12</f>
        <v>0.17634747599969641</v>
      </c>
      <c r="EY138" s="24">
        <f t="shared" si="129"/>
        <v>159.55502842029293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-2.8421709430404007E-13</v>
      </c>
      <c r="FF138" s="18">
        <f>FE138*VLOOKUP('Données projet'!$B$16,Paramètres!$A$1:$I$89,3,0)*VLOOKUP('Données projet'!$B$16,Paramètres!$A$1:$I$89,5,0)</f>
        <v>-2.5715962692629546E-13</v>
      </c>
      <c r="FG138" s="14" t="e">
        <f t="shared" si="155"/>
        <v>#NUM!</v>
      </c>
      <c r="FH138" s="22" t="e">
        <f t="shared" si="130"/>
        <v>#NUM!</v>
      </c>
      <c r="FI138" s="62" t="e">
        <f t="shared" si="131"/>
        <v>#NUM!</v>
      </c>
      <c r="FJ138" s="62">
        <f ca="1">AVERAGE(OFFSET($FI$3,0,0,'Données projet'!$E$16+1,1))-AVERAGE(OFFSET($H$3,0,0,'Données projet'!$E$16+1,1))</f>
        <v>330.53726676433649</v>
      </c>
      <c r="FK138" s="62">
        <f t="shared" si="156"/>
        <v>228.01260676706528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87.015291314025532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87.015291314025532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-2.8421709430404007E-13</v>
      </c>
      <c r="GA138" s="18">
        <f>FZ138*VLOOKUP('Données projet'!$B$17,Paramètres!$A$1:$I$89,3,0)*VLOOKUP('Données projet'!$B$17,Paramètres!$A$1:$I$89,5,0)</f>
        <v>-3.2366642699344083E-13</v>
      </c>
      <c r="GB138" s="14" t="e">
        <f t="shared" si="157"/>
        <v>#NUM!</v>
      </c>
      <c r="GC138" s="22" t="e">
        <f t="shared" si="133"/>
        <v>#NUM!</v>
      </c>
      <c r="GD138" s="62" t="e">
        <f t="shared" si="134"/>
        <v>#NUM!</v>
      </c>
      <c r="GE138" s="62">
        <f ca="1">AVERAGE(OFFSET($GD$3,0,0,'Données projet'!$E$17+1,1))-AVERAGE(OFFSET($H$3,0,0,'Données projet'!$E$17+1,1))</f>
        <v>405.71017054131318</v>
      </c>
      <c r="GF138" s="62">
        <f t="shared" si="158"/>
        <v>276.12900965322166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109.51924596420457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109.51924596420457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-2.8421709430404007E-13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3.0859155231155454E-13</v>
      </c>
      <c r="P139" s="14">
        <f t="shared" si="141"/>
        <v>4.0660414022430783E-12</v>
      </c>
      <c r="Q139" s="22">
        <f t="shared" si="108"/>
        <v>7.619152395849318E-12</v>
      </c>
      <c r="R139" s="62">
        <f t="shared" si="109"/>
        <v>293.33333333334093</v>
      </c>
      <c r="S139" s="62">
        <f ca="1">AVERAGE(OFFSET($R$3,0,0,'Données projet'!$E$9+1,1))-AVERAGE(OFFSET($H$3,0,0,'Données projet'!$E$9+1,1))</f>
        <v>452.54136967045082</v>
      </c>
      <c r="T139" s="62">
        <f t="shared" si="142"/>
        <v>269.67340993773422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154.45052113908781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154.45052113908781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3.4583536034915599E-13</v>
      </c>
      <c r="BF139" s="14">
        <f t="shared" si="145"/>
        <v>4.4967326049770697E-12</v>
      </c>
      <c r="BG139" s="22">
        <f t="shared" si="115"/>
        <v>8.4341392062765094E-12</v>
      </c>
      <c r="BH139" s="62">
        <f t="shared" si="116"/>
        <v>293.33333333334173</v>
      </c>
      <c r="BI139" s="62">
        <f ca="1">AVERAGE(OFFSET($BH$3,0,0,'Données projet'!$E$11+1,1))-AVERAGE(OFFSET($H$3,0,0,'Données projet'!$E$11+1,1))</f>
        <v>502.06005292569733</v>
      </c>
      <c r="BJ139" s="62">
        <f t="shared" si="146"/>
        <v>297.06786598620607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173.09110127656393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173.09110127656393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-2.8421709430404007E-14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-5.1431925385259088E-14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204.787338911576</v>
      </c>
      <c r="CZ139" s="62">
        <f t="shared" si="150"/>
        <v>287.24932051638558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5.7375400353935904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5.7375400353935904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8.5265128291212022E-14</v>
      </c>
      <c r="DP139" s="18">
        <f>DO139*VLOOKUP('Données projet'!$B$14,Paramètres!$A$1:$I$89,3,0)*VLOOKUP('Données projet'!$B$14,Paramètres!$A$1:$I$89,5,0)</f>
        <v>8.1138296081917361E-14</v>
      </c>
      <c r="DQ139" s="14">
        <f t="shared" si="151"/>
        <v>1.2489471326210353E-12</v>
      </c>
      <c r="DR139" s="22">
        <f t="shared" si="124"/>
        <v>2.3165654549909759E-12</v>
      </c>
      <c r="DS139" s="62">
        <f t="shared" si="125"/>
        <v>293.33333333333564</v>
      </c>
      <c r="DT139" s="62">
        <f ca="1">AVERAGE(OFFSET($DS$3,0,0,'Données projet'!$E$14+1,1))-AVERAGE(OFFSET($H$3,0,0,'Données projet'!$E$14+1,1))</f>
        <v>309.55876703480277</v>
      </c>
      <c r="DU139" s="62">
        <f t="shared" si="152"/>
        <v>122.43799205838684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95.474393265821931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95.474393265821931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-3.4106051316484809E-13</v>
      </c>
      <c r="EK139" s="18">
        <f>EJ139*VLOOKUP('Données projet'!$B$15,Paramètres!$A$1:$I$89,3,0)*VLOOKUP('Données projet'!$B$15,Paramètres!$A$1:$I$89,5,0)</f>
        <v>-1.5961632016114892E-13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301.04834785168049</v>
      </c>
      <c r="EP139" s="62">
        <f t="shared" si="154"/>
        <v>164.1450425611464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131.26378772738596</v>
      </c>
      <c r="EW139" s="23">
        <f>EXP(-LN(2)/25)*EW138+(1-EXP(-LN(2)/25))/(LN(2)/25)*Calculateur!ER139*Calculateur!ET139*VLOOKUP('Données projet'!$B$15,Paramètres!$A$1:$I$89,3,0)*0.475*44/12</f>
        <v>24.792397050568827</v>
      </c>
      <c r="EX139" s="23">
        <f>EXP(-LN(2)/2)*EX138+(1-EXP(-LN(2)/2))/(LN(2)/2)*ER139*EU139*VLOOKUP('Données projet'!$B$15,Paramètres!$A$1:$I$89,3,0)*0.475*44/12</f>
        <v>0.12469649612451728</v>
      </c>
      <c r="EY139" s="24">
        <f t="shared" si="129"/>
        <v>156.18088127407933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-2.8421709430404007E-13</v>
      </c>
      <c r="FF139" s="18">
        <f>FE139*VLOOKUP('Données projet'!$B$16,Paramètres!$A$1:$I$89,3,0)*VLOOKUP('Données projet'!$B$16,Paramètres!$A$1:$I$89,5,0)</f>
        <v>-2.5715962692629546E-13</v>
      </c>
      <c r="FG139" s="14" t="e">
        <f t="shared" si="155"/>
        <v>#NUM!</v>
      </c>
      <c r="FH139" s="22" t="e">
        <f t="shared" si="130"/>
        <v>#NUM!</v>
      </c>
      <c r="FI139" s="62" t="e">
        <f t="shared" si="131"/>
        <v>#NUM!</v>
      </c>
      <c r="FJ139" s="62">
        <f ca="1">AVERAGE(OFFSET($FI$3,0,0,'Données projet'!$E$16+1,1))-AVERAGE(OFFSET($H$3,0,0,'Données projet'!$E$16+1,1))</f>
        <v>330.53726676433649</v>
      </c>
      <c r="FK139" s="62">
        <f t="shared" si="156"/>
        <v>228.01260676706528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85.308974525444569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85.308974525444569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-2.8421709430404007E-13</v>
      </c>
      <c r="GA139" s="18">
        <f>FZ139*VLOOKUP('Données projet'!$B$17,Paramètres!$A$1:$I$89,3,0)*VLOOKUP('Données projet'!$B$17,Paramètres!$A$1:$I$89,5,0)</f>
        <v>-3.2366642699344083E-13</v>
      </c>
      <c r="GB139" s="14" t="e">
        <f t="shared" si="157"/>
        <v>#NUM!</v>
      </c>
      <c r="GC139" s="22" t="e">
        <f t="shared" si="133"/>
        <v>#NUM!</v>
      </c>
      <c r="GD139" s="62" t="e">
        <f t="shared" si="134"/>
        <v>#NUM!</v>
      </c>
      <c r="GE139" s="62">
        <f ca="1">AVERAGE(OFFSET($GD$3,0,0,'Données projet'!$E$17+1,1))-AVERAGE(OFFSET($H$3,0,0,'Données projet'!$E$17+1,1))</f>
        <v>405.71017054131318</v>
      </c>
      <c r="GF139" s="62">
        <f t="shared" si="158"/>
        <v>276.12900965322166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107.37164035099059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107.37164035099059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-2.8421709430404007E-13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3.0859155231155454E-13</v>
      </c>
      <c r="P140" s="14">
        <f t="shared" si="141"/>
        <v>4.0660414022430783E-12</v>
      </c>
      <c r="Q140" s="22">
        <f t="shared" si="108"/>
        <v>7.619152395849318E-12</v>
      </c>
      <c r="R140" s="62">
        <f t="shared" si="109"/>
        <v>293.33333333334093</v>
      </c>
      <c r="S140" s="62">
        <f ca="1">AVERAGE(OFFSET($R$3,0,0,'Données projet'!$E$9+1,1))-AVERAGE(OFFSET($H$3,0,0,'Données projet'!$E$9+1,1))</f>
        <v>452.54136967045082</v>
      </c>
      <c r="T140" s="62">
        <f t="shared" si="142"/>
        <v>269.67340993773422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151.42184062506618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151.42184062506618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3.4583536034915599E-13</v>
      </c>
      <c r="BF140" s="14">
        <f t="shared" si="145"/>
        <v>4.4967326049770697E-12</v>
      </c>
      <c r="BG140" s="22">
        <f t="shared" si="115"/>
        <v>8.4341392062765094E-12</v>
      </c>
      <c r="BH140" s="62">
        <f t="shared" si="116"/>
        <v>293.33333333334173</v>
      </c>
      <c r="BI140" s="62">
        <f ca="1">AVERAGE(OFFSET($BH$3,0,0,'Données projet'!$E$11+1,1))-AVERAGE(OFFSET($H$3,0,0,'Données projet'!$E$11+1,1))</f>
        <v>502.06005292569733</v>
      </c>
      <c r="BJ140" s="62">
        <f t="shared" si="146"/>
        <v>297.06786598620607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169.69689035567762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169.69689035567762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-2.8421709430404007E-14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-5.1431925385259088E-14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204.787338911576</v>
      </c>
      <c r="CZ140" s="62">
        <f t="shared" si="150"/>
        <v>287.24932051638558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5.6250303748533916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5.6250303748533916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8.5265128291212022E-14</v>
      </c>
      <c r="DP140" s="18">
        <f>DO140*VLOOKUP('Données projet'!$B$14,Paramètres!$A$1:$I$89,3,0)*VLOOKUP('Données projet'!$B$14,Paramètres!$A$1:$I$89,5,0)</f>
        <v>8.1138296081917361E-14</v>
      </c>
      <c r="DQ140" s="14">
        <f t="shared" si="151"/>
        <v>1.2489471326210353E-12</v>
      </c>
      <c r="DR140" s="22">
        <f t="shared" si="124"/>
        <v>2.3165654549909759E-12</v>
      </c>
      <c r="DS140" s="62">
        <f t="shared" si="125"/>
        <v>293.33333333333564</v>
      </c>
      <c r="DT140" s="62">
        <f ca="1">AVERAGE(OFFSET($DS$3,0,0,'Données projet'!$E$14+1,1))-AVERAGE(OFFSET($H$3,0,0,'Données projet'!$E$14+1,1))</f>
        <v>309.55876703480277</v>
      </c>
      <c r="DU140" s="62">
        <f t="shared" si="152"/>
        <v>122.43799205838684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93.602198647508956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93.602198647508956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-3.4106051316484809E-13</v>
      </c>
      <c r="EK140" s="18">
        <f>EJ140*VLOOKUP('Données projet'!$B$15,Paramètres!$A$1:$I$89,3,0)*VLOOKUP('Données projet'!$B$15,Paramètres!$A$1:$I$89,5,0)</f>
        <v>-1.5961632016114892E-13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301.04834785168049</v>
      </c>
      <c r="EP140" s="62">
        <f t="shared" si="154"/>
        <v>164.1450425611464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128.68978491305688</v>
      </c>
      <c r="EW140" s="23">
        <f>EXP(-LN(2)/25)*EW139+(1-EXP(-LN(2)/25))/(LN(2)/25)*Calculateur!ER140*Calculateur!ET140*VLOOKUP('Données projet'!$B$15,Paramètres!$A$1:$I$89,3,0)*0.475*44/12</f>
        <v>24.114447649445523</v>
      </c>
      <c r="EX140" s="23">
        <f>EXP(-LN(2)/2)*EX139+(1-EXP(-LN(2)/2))/(LN(2)/2)*ER140*EU140*VLOOKUP('Données projet'!$B$15,Paramètres!$A$1:$I$89,3,0)*0.475*44/12</f>
        <v>8.817373799984822E-2</v>
      </c>
      <c r="EY140" s="24">
        <f t="shared" si="129"/>
        <v>152.89240630050227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-2.8421709430404007E-13</v>
      </c>
      <c r="FF140" s="18">
        <f>FE140*VLOOKUP('Données projet'!$B$16,Paramètres!$A$1:$I$89,3,0)*VLOOKUP('Données projet'!$B$16,Paramètres!$A$1:$I$89,5,0)</f>
        <v>-2.5715962692629546E-13</v>
      </c>
      <c r="FG140" s="14" t="e">
        <f t="shared" si="155"/>
        <v>#NUM!</v>
      </c>
      <c r="FH140" s="22" t="e">
        <f t="shared" si="130"/>
        <v>#NUM!</v>
      </c>
      <c r="FI140" s="62" t="e">
        <f t="shared" si="131"/>
        <v>#NUM!</v>
      </c>
      <c r="FJ140" s="62">
        <f ca="1">AVERAGE(OFFSET($FI$3,0,0,'Données projet'!$E$16+1,1))-AVERAGE(OFFSET($H$3,0,0,'Données projet'!$E$16+1,1))</f>
        <v>330.53726676433649</v>
      </c>
      <c r="FK140" s="62">
        <f t="shared" si="156"/>
        <v>228.01260676706528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83.636117568337198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83.636117568337198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-2.8421709430404007E-13</v>
      </c>
      <c r="GA140" s="18">
        <f>FZ140*VLOOKUP('Données projet'!$B$17,Paramètres!$A$1:$I$89,3,0)*VLOOKUP('Données projet'!$B$17,Paramètres!$A$1:$I$89,5,0)</f>
        <v>-3.2366642699344083E-13</v>
      </c>
      <c r="GB140" s="14" t="e">
        <f t="shared" si="157"/>
        <v>#NUM!</v>
      </c>
      <c r="GC140" s="22" t="e">
        <f t="shared" si="133"/>
        <v>#NUM!</v>
      </c>
      <c r="GD140" s="62" t="e">
        <f t="shared" si="134"/>
        <v>#NUM!</v>
      </c>
      <c r="GE140" s="62">
        <f ca="1">AVERAGE(OFFSET($GD$3,0,0,'Données projet'!$E$17+1,1))-AVERAGE(OFFSET($H$3,0,0,'Données projet'!$E$17+1,1))</f>
        <v>405.71017054131318</v>
      </c>
      <c r="GF140" s="62">
        <f t="shared" si="158"/>
        <v>276.12900965322166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105.26614797394166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105.26614797394166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-2.8421709430404007E-13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3.0859155231155454E-13</v>
      </c>
      <c r="P141" s="14">
        <f t="shared" si="141"/>
        <v>4.0660414022430783E-12</v>
      </c>
      <c r="Q141" s="22">
        <f t="shared" si="108"/>
        <v>7.619152395849318E-12</v>
      </c>
      <c r="R141" s="62">
        <f t="shared" si="109"/>
        <v>293.33333333334093</v>
      </c>
      <c r="S141" s="62">
        <f ca="1">AVERAGE(OFFSET($R$3,0,0,'Données projet'!$E$9+1,1))-AVERAGE(OFFSET($H$3,0,0,'Données projet'!$E$9+1,1))</f>
        <v>452.54136967045082</v>
      </c>
      <c r="T141" s="62">
        <f t="shared" si="142"/>
        <v>269.67340993773422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148.45255068861181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148.45255068861181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3.4583536034915599E-13</v>
      </c>
      <c r="BF141" s="14">
        <f t="shared" si="145"/>
        <v>4.4967326049770697E-12</v>
      </c>
      <c r="BG141" s="22">
        <f t="shared" si="115"/>
        <v>8.4341392062765094E-12</v>
      </c>
      <c r="BH141" s="62">
        <f t="shared" si="116"/>
        <v>293.33333333334173</v>
      </c>
      <c r="BI141" s="62">
        <f ca="1">AVERAGE(OFFSET($BH$3,0,0,'Données projet'!$E$11+1,1))-AVERAGE(OFFSET($H$3,0,0,'Données projet'!$E$11+1,1))</f>
        <v>502.06005292569733</v>
      </c>
      <c r="BJ141" s="62">
        <f t="shared" si="146"/>
        <v>297.06786598620607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166.36923784068566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166.36923784068566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-2.8421709430404007E-14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-5.1431925385259088E-14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204.787338911576</v>
      </c>
      <c r="CZ141" s="62">
        <f t="shared" si="150"/>
        <v>287.24932051638558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5.5147269601322693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5.5147269601322693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8.5265128291212022E-14</v>
      </c>
      <c r="DP141" s="18">
        <f>DO141*VLOOKUP('Données projet'!$B$14,Paramètres!$A$1:$I$89,3,0)*VLOOKUP('Données projet'!$B$14,Paramètres!$A$1:$I$89,5,0)</f>
        <v>8.1138296081917361E-14</v>
      </c>
      <c r="DQ141" s="14">
        <f t="shared" si="151"/>
        <v>1.2489471326210353E-12</v>
      </c>
      <c r="DR141" s="22">
        <f t="shared" si="124"/>
        <v>2.3165654549909759E-12</v>
      </c>
      <c r="DS141" s="62">
        <f t="shared" si="125"/>
        <v>293.33333333333564</v>
      </c>
      <c r="DT141" s="62">
        <f ca="1">AVERAGE(OFFSET($DS$3,0,0,'Données projet'!$E$14+1,1))-AVERAGE(OFFSET($H$3,0,0,'Données projet'!$E$14+1,1))</f>
        <v>309.55876703480277</v>
      </c>
      <c r="DU141" s="62">
        <f t="shared" si="152"/>
        <v>122.43799205838684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91.766716623735149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91.766716623735149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-3.4106051316484809E-13</v>
      </c>
      <c r="EK141" s="18">
        <f>EJ141*VLOOKUP('Données projet'!$B$15,Paramètres!$A$1:$I$89,3,0)*VLOOKUP('Données projet'!$B$15,Paramètres!$A$1:$I$89,5,0)</f>
        <v>-1.5961632016114892E-13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301.04834785168049</v>
      </c>
      <c r="EP141" s="62">
        <f t="shared" si="154"/>
        <v>164.1450425611464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126.16625672393009</v>
      </c>
      <c r="EW141" s="23">
        <f>EXP(-LN(2)/25)*EW140+(1-EXP(-LN(2)/25))/(LN(2)/25)*Calculateur!ER141*Calculateur!ET141*VLOOKUP('Données projet'!$B$15,Paramètres!$A$1:$I$89,3,0)*0.475*44/12</f>
        <v>23.45503681034775</v>
      </c>
      <c r="EX141" s="23">
        <f>EXP(-LN(2)/2)*EX140+(1-EXP(-LN(2)/2))/(LN(2)/2)*ER141*EU141*VLOOKUP('Données projet'!$B$15,Paramètres!$A$1:$I$89,3,0)*0.475*44/12</f>
        <v>6.2348248062258652E-2</v>
      </c>
      <c r="EY141" s="24">
        <f t="shared" si="129"/>
        <v>149.68364178234009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-2.8421709430404007E-13</v>
      </c>
      <c r="FF141" s="18">
        <f>FE141*VLOOKUP('Données projet'!$B$16,Paramètres!$A$1:$I$89,3,0)*VLOOKUP('Données projet'!$B$16,Paramètres!$A$1:$I$89,5,0)</f>
        <v>-2.5715962692629546E-13</v>
      </c>
      <c r="FG141" s="14" t="e">
        <f t="shared" si="155"/>
        <v>#NUM!</v>
      </c>
      <c r="FH141" s="22" t="e">
        <f t="shared" si="130"/>
        <v>#NUM!</v>
      </c>
      <c r="FI141" s="62" t="e">
        <f t="shared" si="131"/>
        <v>#NUM!</v>
      </c>
      <c r="FJ141" s="62">
        <f ca="1">AVERAGE(OFFSET($FI$3,0,0,'Données projet'!$E$16+1,1))-AVERAGE(OFFSET($H$3,0,0,'Données projet'!$E$16+1,1))</f>
        <v>330.53726676433649</v>
      </c>
      <c r="FK141" s="62">
        <f t="shared" si="156"/>
        <v>228.01260676706528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81.99606431581671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81.99606431581671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-2.8421709430404007E-13</v>
      </c>
      <c r="GA141" s="18">
        <f>FZ141*VLOOKUP('Données projet'!$B$17,Paramètres!$A$1:$I$89,3,0)*VLOOKUP('Données projet'!$B$17,Paramètres!$A$1:$I$89,5,0)</f>
        <v>-3.2366642699344083E-13</v>
      </c>
      <c r="GB141" s="14" t="e">
        <f t="shared" si="157"/>
        <v>#NUM!</v>
      </c>
      <c r="GC141" s="22" t="e">
        <f t="shared" si="133"/>
        <v>#NUM!</v>
      </c>
      <c r="GD141" s="62" t="e">
        <f t="shared" si="134"/>
        <v>#NUM!</v>
      </c>
      <c r="GE141" s="62">
        <f ca="1">AVERAGE(OFFSET($GD$3,0,0,'Données projet'!$E$17+1,1))-AVERAGE(OFFSET($H$3,0,0,'Données projet'!$E$17+1,1))</f>
        <v>405.71017054131318</v>
      </c>
      <c r="GF141" s="62">
        <f t="shared" si="158"/>
        <v>276.12900965322166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103.2019430181831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103.2019430181831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-2.8421709430404007E-13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3.0859155231155454E-13</v>
      </c>
      <c r="P142" s="14">
        <f t="shared" si="141"/>
        <v>4.0660414022430783E-12</v>
      </c>
      <c r="Q142" s="22">
        <f t="shared" si="108"/>
        <v>7.619152395849318E-12</v>
      </c>
      <c r="R142" s="62">
        <f t="shared" si="109"/>
        <v>293.33333333334093</v>
      </c>
      <c r="S142" s="62">
        <f ca="1">AVERAGE(OFFSET($R$3,0,0,'Données projet'!$E$9+1,1))-AVERAGE(OFFSET($H$3,0,0,'Données projet'!$E$9+1,1))</f>
        <v>452.54136967045082</v>
      </c>
      <c r="T142" s="62">
        <f t="shared" si="142"/>
        <v>269.67340993773422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145.54148671672326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145.54148671672326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3.4583536034915599E-13</v>
      </c>
      <c r="BF142" s="14">
        <f t="shared" si="145"/>
        <v>4.4967326049770697E-12</v>
      </c>
      <c r="BG142" s="22">
        <f t="shared" si="115"/>
        <v>8.4341392062765094E-12</v>
      </c>
      <c r="BH142" s="62">
        <f t="shared" si="116"/>
        <v>293.33333333334173</v>
      </c>
      <c r="BI142" s="62">
        <f ca="1">AVERAGE(OFFSET($BH$3,0,0,'Données projet'!$E$11+1,1))-AVERAGE(OFFSET($H$3,0,0,'Données projet'!$E$11+1,1))</f>
        <v>502.06005292569733</v>
      </c>
      <c r="BJ142" s="62">
        <f t="shared" si="146"/>
        <v>297.06786598620607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163.10683856184505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163.10683856184505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-2.8421709430404007E-14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-5.1431925385259088E-14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204.787338911576</v>
      </c>
      <c r="CZ142" s="62">
        <f t="shared" si="150"/>
        <v>287.24932051638558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5.4065865280953878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5.4065865280953878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8.5265128291212022E-14</v>
      </c>
      <c r="DP142" s="18">
        <f>DO142*VLOOKUP('Données projet'!$B$14,Paramètres!$A$1:$I$89,3,0)*VLOOKUP('Données projet'!$B$14,Paramètres!$A$1:$I$89,5,0)</f>
        <v>8.1138296081917361E-14</v>
      </c>
      <c r="DQ142" s="14">
        <f t="shared" si="151"/>
        <v>1.2489471326210353E-12</v>
      </c>
      <c r="DR142" s="22">
        <f t="shared" si="124"/>
        <v>2.3165654549909759E-12</v>
      </c>
      <c r="DS142" s="62">
        <f t="shared" si="125"/>
        <v>293.33333333333564</v>
      </c>
      <c r="DT142" s="62">
        <f ca="1">AVERAGE(OFFSET($DS$3,0,0,'Données projet'!$E$14+1,1))-AVERAGE(OFFSET($H$3,0,0,'Données projet'!$E$14+1,1))</f>
        <v>309.55876703480277</v>
      </c>
      <c r="DU142" s="62">
        <f t="shared" si="152"/>
        <v>122.43799205838684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89.967227282914052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89.967227282914052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-3.4106051316484809E-13</v>
      </c>
      <c r="EK142" s="18">
        <f>EJ142*VLOOKUP('Données projet'!$B$15,Paramètres!$A$1:$I$89,3,0)*VLOOKUP('Données projet'!$B$15,Paramètres!$A$1:$I$89,5,0)</f>
        <v>-1.5961632016114892E-13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301.04834785168049</v>
      </c>
      <c r="EP142" s="62">
        <f t="shared" si="154"/>
        <v>164.1450425611464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123.69221338339186</v>
      </c>
      <c r="EW142" s="23">
        <f>EXP(-LN(2)/25)*EW141+(1-EXP(-LN(2)/25))/(LN(2)/25)*Calculateur!ER142*Calculateur!ET142*VLOOKUP('Données projet'!$B$15,Paramètres!$A$1:$I$89,3,0)*0.475*44/12</f>
        <v>22.813657595322013</v>
      </c>
      <c r="EX142" s="23">
        <f>EXP(-LN(2)/2)*EX141+(1-EXP(-LN(2)/2))/(LN(2)/2)*ER142*EU142*VLOOKUP('Données projet'!$B$15,Paramètres!$A$1:$I$89,3,0)*0.475*44/12</f>
        <v>4.4086868999924117E-2</v>
      </c>
      <c r="EY142" s="24">
        <f t="shared" si="129"/>
        <v>146.54995784771378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-2.8421709430404007E-13</v>
      </c>
      <c r="FF142" s="18">
        <f>FE142*VLOOKUP('Données projet'!$B$16,Paramètres!$A$1:$I$89,3,0)*VLOOKUP('Données projet'!$B$16,Paramètres!$A$1:$I$89,5,0)</f>
        <v>-2.5715962692629546E-13</v>
      </c>
      <c r="FG142" s="14" t="e">
        <f t="shared" si="155"/>
        <v>#NUM!</v>
      </c>
      <c r="FH142" s="22" t="e">
        <f t="shared" si="130"/>
        <v>#NUM!</v>
      </c>
      <c r="FI142" s="62" t="e">
        <f t="shared" si="131"/>
        <v>#NUM!</v>
      </c>
      <c r="FJ142" s="62">
        <f ca="1">AVERAGE(OFFSET($FI$3,0,0,'Données projet'!$E$16+1,1))-AVERAGE(OFFSET($H$3,0,0,'Données projet'!$E$16+1,1))</f>
        <v>330.53726676433649</v>
      </c>
      <c r="FK142" s="62">
        <f t="shared" si="156"/>
        <v>228.01260676706528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80.388171507244436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80.388171507244436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-2.8421709430404007E-13</v>
      </c>
      <c r="GA142" s="18">
        <f>FZ142*VLOOKUP('Données projet'!$B$17,Paramètres!$A$1:$I$89,3,0)*VLOOKUP('Données projet'!$B$17,Paramètres!$A$1:$I$89,5,0)</f>
        <v>-3.2366642699344083E-13</v>
      </c>
      <c r="GB142" s="14" t="e">
        <f t="shared" si="157"/>
        <v>#NUM!</v>
      </c>
      <c r="GC142" s="22" t="e">
        <f t="shared" si="133"/>
        <v>#NUM!</v>
      </c>
      <c r="GD142" s="62" t="e">
        <f t="shared" si="134"/>
        <v>#NUM!</v>
      </c>
      <c r="GE142" s="62">
        <f ca="1">AVERAGE(OFFSET($GD$3,0,0,'Données projet'!$E$17+1,1))-AVERAGE(OFFSET($H$3,0,0,'Données projet'!$E$17+1,1))</f>
        <v>405.71017054131318</v>
      </c>
      <c r="GF142" s="62">
        <f t="shared" si="158"/>
        <v>276.12900965322166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101.17821586256628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101.17821586256628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-2.8421709430404007E-13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3.0859155231155454E-13</v>
      </c>
      <c r="P143" s="14">
        <f t="shared" si="141"/>
        <v>4.0660414022430783E-12</v>
      </c>
      <c r="Q143" s="22">
        <f t="shared" si="108"/>
        <v>7.619152395849318E-12</v>
      </c>
      <c r="R143" s="62">
        <f t="shared" si="109"/>
        <v>293.33333333334093</v>
      </c>
      <c r="S143" s="62">
        <f ca="1">AVERAGE(OFFSET($R$3,0,0,'Données projet'!$E$9+1,1))-AVERAGE(OFFSET($H$3,0,0,'Données projet'!$E$9+1,1))</f>
        <v>452.54136967045082</v>
      </c>
      <c r="T143" s="62">
        <f t="shared" si="142"/>
        <v>269.67340993773422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142.68750693374975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142.68750693374975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3.4583536034915599E-13</v>
      </c>
      <c r="BF143" s="14">
        <f t="shared" si="145"/>
        <v>4.4967326049770697E-12</v>
      </c>
      <c r="BG143" s="22">
        <f t="shared" si="115"/>
        <v>8.4341392062765094E-12</v>
      </c>
      <c r="BH143" s="62">
        <f t="shared" si="116"/>
        <v>293.33333333334173</v>
      </c>
      <c r="BI143" s="62">
        <f ca="1">AVERAGE(OFFSET($BH$3,0,0,'Données projet'!$E$11+1,1))-AVERAGE(OFFSET($H$3,0,0,'Données projet'!$E$11+1,1))</f>
        <v>502.06005292569733</v>
      </c>
      <c r="BJ143" s="62">
        <f t="shared" si="146"/>
        <v>297.06786598620607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159.90841294299543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159.90841294299543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-2.8421709430404007E-14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-5.1431925385259088E-14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204.787338911576</v>
      </c>
      <c r="CZ143" s="62">
        <f t="shared" si="150"/>
        <v>287.24932051638558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5.3005666639715994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5.3005666639715994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8.5265128291212022E-14</v>
      </c>
      <c r="DP143" s="18">
        <f>DO143*VLOOKUP('Données projet'!$B$14,Paramètres!$A$1:$I$89,3,0)*VLOOKUP('Données projet'!$B$14,Paramètres!$A$1:$I$89,5,0)</f>
        <v>8.1138296081917361E-14</v>
      </c>
      <c r="DQ143" s="14">
        <f t="shared" si="151"/>
        <v>1.2489471326210353E-12</v>
      </c>
      <c r="DR143" s="22">
        <f t="shared" si="124"/>
        <v>2.3165654549909759E-12</v>
      </c>
      <c r="DS143" s="62">
        <f t="shared" si="125"/>
        <v>293.33333333333564</v>
      </c>
      <c r="DT143" s="62">
        <f ca="1">AVERAGE(OFFSET($DS$3,0,0,'Données projet'!$E$14+1,1))-AVERAGE(OFFSET($H$3,0,0,'Données projet'!$E$14+1,1))</f>
        <v>309.55876703480277</v>
      </c>
      <c r="DU143" s="62">
        <f t="shared" si="152"/>
        <v>122.43799205838684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88.203024830486328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88.203024830486328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-3.4106051316484809E-13</v>
      </c>
      <c r="EK143" s="18">
        <f>EJ143*VLOOKUP('Données projet'!$B$15,Paramètres!$A$1:$I$89,3,0)*VLOOKUP('Données projet'!$B$15,Paramètres!$A$1:$I$89,5,0)</f>
        <v>-1.5961632016114892E-13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301.04834785168049</v>
      </c>
      <c r="EP143" s="62">
        <f t="shared" si="154"/>
        <v>164.1450425611464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121.26668452374416</v>
      </c>
      <c r="EW143" s="23">
        <f>EXP(-LN(2)/25)*EW142+(1-EXP(-LN(2)/25))/(LN(2)/25)*Calculateur!ER143*Calculateur!ET143*VLOOKUP('Données projet'!$B$15,Paramètres!$A$1:$I$89,3,0)*0.475*44/12</f>
        <v>22.18981692865982</v>
      </c>
      <c r="EX143" s="23">
        <f>EXP(-LN(2)/2)*EX142+(1-EXP(-LN(2)/2))/(LN(2)/2)*ER143*EU143*VLOOKUP('Données projet'!$B$15,Paramètres!$A$1:$I$89,3,0)*0.475*44/12</f>
        <v>3.1174124031129329E-2</v>
      </c>
      <c r="EY143" s="24">
        <f t="shared" si="129"/>
        <v>143.48767557643512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-2.8421709430404007E-13</v>
      </c>
      <c r="FF143" s="18">
        <f>FE143*VLOOKUP('Données projet'!$B$16,Paramètres!$A$1:$I$89,3,0)*VLOOKUP('Données projet'!$B$16,Paramètres!$A$1:$I$89,5,0)</f>
        <v>-2.5715962692629546E-13</v>
      </c>
      <c r="FG143" s="14" t="e">
        <f t="shared" si="155"/>
        <v>#NUM!</v>
      </c>
      <c r="FH143" s="22" t="e">
        <f t="shared" si="130"/>
        <v>#NUM!</v>
      </c>
      <c r="FI143" s="62" t="e">
        <f t="shared" si="131"/>
        <v>#NUM!</v>
      </c>
      <c r="FJ143" s="62">
        <f ca="1">AVERAGE(OFFSET($FI$3,0,0,'Données projet'!$E$16+1,1))-AVERAGE(OFFSET($H$3,0,0,'Données projet'!$E$16+1,1))</f>
        <v>330.53726676433649</v>
      </c>
      <c r="FK143" s="62">
        <f t="shared" si="156"/>
        <v>228.01260676706528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78.811808495930492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78.811808495930492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-2.8421709430404007E-13</v>
      </c>
      <c r="GA143" s="18">
        <f>FZ143*VLOOKUP('Données projet'!$B$17,Paramètres!$A$1:$I$89,3,0)*VLOOKUP('Données projet'!$B$17,Paramètres!$A$1:$I$89,5,0)</f>
        <v>-3.2366642699344083E-13</v>
      </c>
      <c r="GB143" s="14" t="e">
        <f t="shared" si="157"/>
        <v>#NUM!</v>
      </c>
      <c r="GC143" s="22" t="e">
        <f t="shared" si="133"/>
        <v>#NUM!</v>
      </c>
      <c r="GD143" s="62" t="e">
        <f t="shared" si="134"/>
        <v>#NUM!</v>
      </c>
      <c r="GE143" s="62">
        <f ca="1">AVERAGE(OFFSET($GD$3,0,0,'Données projet'!$E$17+1,1))-AVERAGE(OFFSET($H$3,0,0,'Données projet'!$E$17+1,1))</f>
        <v>405.71017054131318</v>
      </c>
      <c r="GF143" s="62">
        <f t="shared" si="158"/>
        <v>276.12900965322166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99.194172762119408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99.194172762119408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-2.8421709430404007E-13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3.0859155231155454E-13</v>
      </c>
      <c r="P144" s="14">
        <f t="shared" si="141"/>
        <v>4.0660414022430783E-12</v>
      </c>
      <c r="Q144" s="22">
        <f t="shared" si="108"/>
        <v>7.619152395849318E-12</v>
      </c>
      <c r="R144" s="62">
        <f t="shared" si="109"/>
        <v>293.33333333334093</v>
      </c>
      <c r="S144" s="62">
        <f ca="1">AVERAGE(OFFSET($R$3,0,0,'Données projet'!$E$9+1,1))-AVERAGE(OFFSET($H$3,0,0,'Données projet'!$E$9+1,1))</f>
        <v>452.54136967045082</v>
      </c>
      <c r="T144" s="62">
        <f t="shared" si="142"/>
        <v>269.67340993773422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139.88949195356457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139.88949195356457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3.4583536034915599E-13</v>
      </c>
      <c r="BF144" s="14">
        <f t="shared" si="145"/>
        <v>4.4967326049770697E-12</v>
      </c>
      <c r="BG144" s="22">
        <f t="shared" si="115"/>
        <v>8.4341392062765094E-12</v>
      </c>
      <c r="BH144" s="62">
        <f t="shared" si="116"/>
        <v>293.33333333334173</v>
      </c>
      <c r="BI144" s="62">
        <f ca="1">AVERAGE(OFFSET($BH$3,0,0,'Données projet'!$E$11+1,1))-AVERAGE(OFFSET($H$3,0,0,'Données projet'!$E$11+1,1))</f>
        <v>502.06005292569733</v>
      </c>
      <c r="BJ144" s="62">
        <f t="shared" si="146"/>
        <v>297.06786598620607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156.77270649968446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156.77270649968446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-2.8421709430404007E-14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-5.1431925385259088E-14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204.787338911576</v>
      </c>
      <c r="CZ144" s="62">
        <f t="shared" si="150"/>
        <v>287.24932051638558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5.1966257847175461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5.1966257847175461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8.5265128291212022E-14</v>
      </c>
      <c r="DP144" s="18">
        <f>DO144*VLOOKUP('Données projet'!$B$14,Paramètres!$A$1:$I$89,3,0)*VLOOKUP('Données projet'!$B$14,Paramètres!$A$1:$I$89,5,0)</f>
        <v>8.1138296081917361E-14</v>
      </c>
      <c r="DQ144" s="14">
        <f t="shared" si="151"/>
        <v>1.2489471326210353E-12</v>
      </c>
      <c r="DR144" s="22">
        <f t="shared" si="124"/>
        <v>2.3165654549909759E-12</v>
      </c>
      <c r="DS144" s="62">
        <f t="shared" si="125"/>
        <v>293.33333333333564</v>
      </c>
      <c r="DT144" s="62">
        <f ca="1">AVERAGE(OFFSET($DS$3,0,0,'Données projet'!$E$14+1,1))-AVERAGE(OFFSET($H$3,0,0,'Données projet'!$E$14+1,1))</f>
        <v>309.55876703480277</v>
      </c>
      <c r="DU144" s="62">
        <f t="shared" si="152"/>
        <v>122.43799205838684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86.473417312093474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86.473417312093474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-3.4106051316484809E-13</v>
      </c>
      <c r="EK144" s="18">
        <f>EJ144*VLOOKUP('Données projet'!$B$15,Paramètres!$A$1:$I$89,3,0)*VLOOKUP('Données projet'!$B$15,Paramètres!$A$1:$I$89,5,0)</f>
        <v>-1.5961632016114892E-13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301.04834785168049</v>
      </c>
      <c r="EP144" s="62">
        <f t="shared" si="154"/>
        <v>164.1450425611464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118.88871880560762</v>
      </c>
      <c r="EW144" s="23">
        <f>EXP(-LN(2)/25)*EW143+(1-EXP(-LN(2)/25))/(LN(2)/25)*Calculateur!ER144*Calculateur!ET144*VLOOKUP('Données projet'!$B$15,Paramètres!$A$1:$I$89,3,0)*0.475*44/12</f>
        <v>21.58303521783386</v>
      </c>
      <c r="EX144" s="23">
        <f>EXP(-LN(2)/2)*EX143+(1-EXP(-LN(2)/2))/(LN(2)/2)*ER144*EU144*VLOOKUP('Données projet'!$B$15,Paramètres!$A$1:$I$89,3,0)*0.475*44/12</f>
        <v>2.2043434499962062E-2</v>
      </c>
      <c r="EY144" s="24">
        <f t="shared" si="129"/>
        <v>140.49379745794144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-2.8421709430404007E-13</v>
      </c>
      <c r="FF144" s="18">
        <f>FE144*VLOOKUP('Données projet'!$B$16,Paramètres!$A$1:$I$89,3,0)*VLOOKUP('Données projet'!$B$16,Paramètres!$A$1:$I$89,5,0)</f>
        <v>-2.5715962692629546E-13</v>
      </c>
      <c r="FG144" s="14" t="e">
        <f t="shared" si="155"/>
        <v>#NUM!</v>
      </c>
      <c r="FH144" s="22" t="e">
        <f t="shared" si="130"/>
        <v>#NUM!</v>
      </c>
      <c r="FI144" s="62" t="e">
        <f t="shared" si="131"/>
        <v>#NUM!</v>
      </c>
      <c r="FJ144" s="62">
        <f ca="1">AVERAGE(OFFSET($FI$3,0,0,'Données projet'!$E$16+1,1))-AVERAGE(OFFSET($H$3,0,0,'Données projet'!$E$16+1,1))</f>
        <v>330.53726676433649</v>
      </c>
      <c r="FK144" s="62">
        <f t="shared" si="156"/>
        <v>228.01260676706528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77.266357001781913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77.266357001781913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-2.8421709430404007E-13</v>
      </c>
      <c r="GA144" s="18">
        <f>FZ144*VLOOKUP('Données projet'!$B$17,Paramètres!$A$1:$I$89,3,0)*VLOOKUP('Données projet'!$B$17,Paramètres!$A$1:$I$89,5,0)</f>
        <v>-3.2366642699344083E-13</v>
      </c>
      <c r="GB144" s="14" t="e">
        <f t="shared" si="157"/>
        <v>#NUM!</v>
      </c>
      <c r="GC144" s="22" t="e">
        <f t="shared" si="133"/>
        <v>#NUM!</v>
      </c>
      <c r="GD144" s="62" t="e">
        <f t="shared" si="134"/>
        <v>#NUM!</v>
      </c>
      <c r="GE144" s="62">
        <f ca="1">AVERAGE(OFFSET($GD$3,0,0,'Données projet'!$E$17+1,1))-AVERAGE(OFFSET($H$3,0,0,'Données projet'!$E$17+1,1))</f>
        <v>405.71017054131318</v>
      </c>
      <c r="GF144" s="62">
        <f t="shared" si="158"/>
        <v>276.12900965322166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97.249035536725515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97.249035536725515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-2.8421709430404007E-13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3.0859155231155454E-13</v>
      </c>
      <c r="P145" s="14">
        <f t="shared" si="141"/>
        <v>4.0660414022430783E-12</v>
      </c>
      <c r="Q145" s="22">
        <f t="shared" si="108"/>
        <v>7.619152395849318E-12</v>
      </c>
      <c r="R145" s="62">
        <f t="shared" si="109"/>
        <v>293.33333333334093</v>
      </c>
      <c r="S145" s="62">
        <f ca="1">AVERAGE(OFFSET($R$3,0,0,'Données projet'!$E$9+1,1))-AVERAGE(OFFSET($H$3,0,0,'Données projet'!$E$9+1,1))</f>
        <v>452.54136967045082</v>
      </c>
      <c r="T145" s="62">
        <f t="shared" si="142"/>
        <v>269.67340993773422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137.14634434052022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137.14634434052022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3.4583536034915599E-13</v>
      </c>
      <c r="BF145" s="14">
        <f t="shared" si="145"/>
        <v>4.4967326049770697E-12</v>
      </c>
      <c r="BG145" s="22">
        <f t="shared" si="115"/>
        <v>8.4341392062765094E-12</v>
      </c>
      <c r="BH145" s="62">
        <f t="shared" si="116"/>
        <v>293.33333333334173</v>
      </c>
      <c r="BI145" s="62">
        <f ca="1">AVERAGE(OFFSET($BH$3,0,0,'Données projet'!$E$11+1,1))-AVERAGE(OFFSET($H$3,0,0,'Données projet'!$E$11+1,1))</f>
        <v>502.06005292569733</v>
      </c>
      <c r="BJ145" s="62">
        <f t="shared" si="146"/>
        <v>297.06786598620607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153.69848934713474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153.69848934713474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-2.8421709430404007E-14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-5.1431925385259088E-14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204.787338911576</v>
      </c>
      <c r="CZ145" s="62">
        <f t="shared" si="150"/>
        <v>287.24932051638558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5.0947231227079888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5.0947231227079888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8.5265128291212022E-14</v>
      </c>
      <c r="DP145" s="18">
        <f>DO145*VLOOKUP('Données projet'!$B$14,Paramètres!$A$1:$I$89,3,0)*VLOOKUP('Données projet'!$B$14,Paramètres!$A$1:$I$89,5,0)</f>
        <v>8.1138296081917361E-14</v>
      </c>
      <c r="DQ145" s="14">
        <f t="shared" si="151"/>
        <v>1.2489471326210353E-12</v>
      </c>
      <c r="DR145" s="22">
        <f t="shared" si="124"/>
        <v>2.3165654549909759E-12</v>
      </c>
      <c r="DS145" s="62">
        <f t="shared" si="125"/>
        <v>293.33333333333564</v>
      </c>
      <c r="DT145" s="62">
        <f ca="1">AVERAGE(OFFSET($DS$3,0,0,'Données projet'!$E$14+1,1))-AVERAGE(OFFSET($H$3,0,0,'Données projet'!$E$14+1,1))</f>
        <v>309.55876703480277</v>
      </c>
      <c r="DU145" s="62">
        <f t="shared" si="152"/>
        <v>122.43799205838684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84.777726342179889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84.777726342179889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-3.4106051316484809E-13</v>
      </c>
      <c r="EK145" s="18">
        <f>EJ145*VLOOKUP('Données projet'!$B$15,Paramètres!$A$1:$I$89,3,0)*VLOOKUP('Données projet'!$B$15,Paramètres!$A$1:$I$89,5,0)</f>
        <v>-1.5961632016114892E-13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301.04834785168049</v>
      </c>
      <c r="EP145" s="62">
        <f t="shared" si="154"/>
        <v>164.1450425611464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116.55738354478787</v>
      </c>
      <c r="EW145" s="23">
        <f>EXP(-LN(2)/25)*EW144+(1-EXP(-LN(2)/25))/(LN(2)/25)*Calculateur!ER145*Calculateur!ET145*VLOOKUP('Données projet'!$B$15,Paramètres!$A$1:$I$89,3,0)*0.475*44/12</f>
        <v>20.9928459847997</v>
      </c>
      <c r="EX145" s="23">
        <f>EXP(-LN(2)/2)*EX144+(1-EXP(-LN(2)/2))/(LN(2)/2)*ER145*EU145*VLOOKUP('Données projet'!$B$15,Paramètres!$A$1:$I$89,3,0)*0.475*44/12</f>
        <v>1.5587062015564668E-2</v>
      </c>
      <c r="EY145" s="24">
        <f t="shared" si="129"/>
        <v>137.56581659160312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-2.8421709430404007E-13</v>
      </c>
      <c r="FF145" s="18">
        <f>FE145*VLOOKUP('Données projet'!$B$16,Paramètres!$A$1:$I$89,3,0)*VLOOKUP('Données projet'!$B$16,Paramètres!$A$1:$I$89,5,0)</f>
        <v>-2.5715962692629546E-13</v>
      </c>
      <c r="FG145" s="14" t="e">
        <f t="shared" si="155"/>
        <v>#NUM!</v>
      </c>
      <c r="FH145" s="22" t="e">
        <f t="shared" si="130"/>
        <v>#NUM!</v>
      </c>
      <c r="FI145" s="62" t="e">
        <f t="shared" si="131"/>
        <v>#NUM!</v>
      </c>
      <c r="FJ145" s="62">
        <f ca="1">AVERAGE(OFFSET($FI$3,0,0,'Données projet'!$E$16+1,1))-AVERAGE(OFFSET($H$3,0,0,'Données projet'!$E$16+1,1))</f>
        <v>330.53726676433649</v>
      </c>
      <c r="FK145" s="62">
        <f t="shared" si="156"/>
        <v>228.01260676706528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75.751210868801252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75.751210868801252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-2.8421709430404007E-13</v>
      </c>
      <c r="GA145" s="18">
        <f>FZ145*VLOOKUP('Données projet'!$B$17,Paramètres!$A$1:$I$89,3,0)*VLOOKUP('Données projet'!$B$17,Paramètres!$A$1:$I$89,5,0)</f>
        <v>-3.2366642699344083E-13</v>
      </c>
      <c r="GB145" s="14" t="e">
        <f t="shared" si="157"/>
        <v>#NUM!</v>
      </c>
      <c r="GC145" s="22" t="e">
        <f t="shared" si="133"/>
        <v>#NUM!</v>
      </c>
      <c r="GD145" s="62" t="e">
        <f t="shared" si="134"/>
        <v>#NUM!</v>
      </c>
      <c r="GE145" s="62">
        <f ca="1">AVERAGE(OFFSET($GD$3,0,0,'Données projet'!$E$17+1,1))-AVERAGE(OFFSET($H$3,0,0,'Données projet'!$E$17+1,1))</f>
        <v>405.71017054131318</v>
      </c>
      <c r="GF145" s="62">
        <f t="shared" si="158"/>
        <v>276.12900965322166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95.342041265905024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95.342041265905024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-2.8421709430404007E-13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3.0859155231155454E-13</v>
      </c>
      <c r="P146" s="14">
        <f t="shared" si="141"/>
        <v>4.0660414022430783E-12</v>
      </c>
      <c r="Q146" s="22">
        <f t="shared" si="108"/>
        <v>7.619152395849318E-12</v>
      </c>
      <c r="R146" s="62">
        <f t="shared" si="109"/>
        <v>293.33333333334093</v>
      </c>
      <c r="S146" s="62">
        <f ca="1">AVERAGE(OFFSET($R$3,0,0,'Données projet'!$E$9+1,1))-AVERAGE(OFFSET($H$3,0,0,'Données projet'!$E$9+1,1))</f>
        <v>452.54136967045082</v>
      </c>
      <c r="T146" s="62">
        <f t="shared" si="142"/>
        <v>269.67340993773422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134.4569881790128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134.4569881790128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3.4583536034915599E-13</v>
      </c>
      <c r="BF146" s="14">
        <f t="shared" si="145"/>
        <v>4.4967326049770697E-12</v>
      </c>
      <c r="BG146" s="22">
        <f t="shared" si="115"/>
        <v>8.4341392062765094E-12</v>
      </c>
      <c r="BH146" s="62">
        <f t="shared" si="116"/>
        <v>293.33333333334173</v>
      </c>
      <c r="BI146" s="62">
        <f ca="1">AVERAGE(OFFSET($BH$3,0,0,'Données projet'!$E$11+1,1))-AVERAGE(OFFSET($H$3,0,0,'Données projet'!$E$11+1,1))</f>
        <v>502.06005292569733</v>
      </c>
      <c r="BJ146" s="62">
        <f t="shared" si="146"/>
        <v>297.06786598620607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150.68455571785921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150.68455571785921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-2.8421709430404007E-14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-5.1431925385259088E-14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204.787338911576</v>
      </c>
      <c r="CZ146" s="62">
        <f t="shared" si="150"/>
        <v>287.24932051638558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4.9948187097459522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4.9948187097459522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8.5265128291212022E-14</v>
      </c>
      <c r="DP146" s="18">
        <f>DO146*VLOOKUP('Données projet'!$B$14,Paramètres!$A$1:$I$89,3,0)*VLOOKUP('Données projet'!$B$14,Paramètres!$A$1:$I$89,5,0)</f>
        <v>8.1138296081917361E-14</v>
      </c>
      <c r="DQ146" s="14">
        <f t="shared" si="151"/>
        <v>1.2489471326210353E-12</v>
      </c>
      <c r="DR146" s="22">
        <f t="shared" si="124"/>
        <v>2.3165654549909759E-12</v>
      </c>
      <c r="DS146" s="62">
        <f t="shared" si="125"/>
        <v>293.33333333333564</v>
      </c>
      <c r="DT146" s="62">
        <f ca="1">AVERAGE(OFFSET($DS$3,0,0,'Données projet'!$E$14+1,1))-AVERAGE(OFFSET($H$3,0,0,'Données projet'!$E$14+1,1))</f>
        <v>309.55876703480277</v>
      </c>
      <c r="DU146" s="62">
        <f t="shared" si="152"/>
        <v>122.43799205838684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83.11528683791694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83.11528683791694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-3.4106051316484809E-13</v>
      </c>
      <c r="EK146" s="18">
        <f>EJ146*VLOOKUP('Données projet'!$B$15,Paramètres!$A$1:$I$89,3,0)*VLOOKUP('Données projet'!$B$15,Paramètres!$A$1:$I$89,5,0)</f>
        <v>-1.5961632016114892E-13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301.04834785168049</v>
      </c>
      <c r="EP146" s="62">
        <f t="shared" si="154"/>
        <v>164.1450425611464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114.2717643464587</v>
      </c>
      <c r="EW146" s="23">
        <f>EXP(-LN(2)/25)*EW145+(1-EXP(-LN(2)/25))/(LN(2)/25)*Calculateur!ER146*Calculateur!ET146*VLOOKUP('Données projet'!$B$15,Paramètres!$A$1:$I$89,3,0)*0.475*44/12</f>
        <v>20.418795507379564</v>
      </c>
      <c r="EX146" s="23">
        <f>EXP(-LN(2)/2)*EX145+(1-EXP(-LN(2)/2))/(LN(2)/2)*ER146*EU146*VLOOKUP('Données projet'!$B$15,Paramètres!$A$1:$I$89,3,0)*0.475*44/12</f>
        <v>1.1021717249981033E-2</v>
      </c>
      <c r="EY146" s="24">
        <f t="shared" si="129"/>
        <v>134.70158157108824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-2.8421709430404007E-13</v>
      </c>
      <c r="FF146" s="18">
        <f>FE146*VLOOKUP('Données projet'!$B$16,Paramètres!$A$1:$I$89,3,0)*VLOOKUP('Données projet'!$B$16,Paramètres!$A$1:$I$89,5,0)</f>
        <v>-2.5715962692629546E-13</v>
      </c>
      <c r="FG146" s="14" t="e">
        <f t="shared" si="155"/>
        <v>#NUM!</v>
      </c>
      <c r="FH146" s="22" t="e">
        <f t="shared" si="130"/>
        <v>#NUM!</v>
      </c>
      <c r="FI146" s="62" t="e">
        <f t="shared" si="131"/>
        <v>#NUM!</v>
      </c>
      <c r="FJ146" s="62">
        <f ca="1">AVERAGE(OFFSET($FI$3,0,0,'Données projet'!$E$16+1,1))-AVERAGE(OFFSET($H$3,0,0,'Données projet'!$E$16+1,1))</f>
        <v>330.53726676433649</v>
      </c>
      <c r="FK146" s="62">
        <f t="shared" si="156"/>
        <v>228.01260676706528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74.265775827340448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74.265775827340448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-2.8421709430404007E-13</v>
      </c>
      <c r="GA146" s="18">
        <f>FZ146*VLOOKUP('Données projet'!$B$17,Paramètres!$A$1:$I$89,3,0)*VLOOKUP('Données projet'!$B$17,Paramètres!$A$1:$I$89,5,0)</f>
        <v>-3.2366642699344083E-13</v>
      </c>
      <c r="GB146" s="14" t="e">
        <f t="shared" si="157"/>
        <v>#NUM!</v>
      </c>
      <c r="GC146" s="22" t="e">
        <f t="shared" si="133"/>
        <v>#NUM!</v>
      </c>
      <c r="GD146" s="62" t="e">
        <f t="shared" si="134"/>
        <v>#NUM!</v>
      </c>
      <c r="GE146" s="62">
        <f ca="1">AVERAGE(OFFSET($GD$3,0,0,'Données projet'!$E$17+1,1))-AVERAGE(OFFSET($H$3,0,0,'Données projet'!$E$17+1,1))</f>
        <v>405.71017054131318</v>
      </c>
      <c r="GF146" s="62">
        <f t="shared" si="158"/>
        <v>276.12900965322166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93.472441989583672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93.472441989583672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-2.8421709430404007E-13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3.0859155231155454E-13</v>
      </c>
      <c r="P147" s="14">
        <f t="shared" si="141"/>
        <v>4.0660414022430783E-12</v>
      </c>
      <c r="Q147" s="22">
        <f t="shared" si="108"/>
        <v>7.619152395849318E-12</v>
      </c>
      <c r="R147" s="62">
        <f t="shared" si="109"/>
        <v>293.33333333334093</v>
      </c>
      <c r="S147" s="62">
        <f ca="1">AVERAGE(OFFSET($R$3,0,0,'Données projet'!$E$9+1,1))-AVERAGE(OFFSET($H$3,0,0,'Données projet'!$E$9+1,1))</f>
        <v>452.54136967045082</v>
      </c>
      <c r="T147" s="62">
        <f t="shared" si="142"/>
        <v>269.67340993773422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131.82036865148726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131.82036865148726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3.4583536034915599E-13</v>
      </c>
      <c r="BF147" s="14">
        <f t="shared" si="145"/>
        <v>4.4967326049770697E-12</v>
      </c>
      <c r="BG147" s="22">
        <f t="shared" si="115"/>
        <v>8.4341392062765094E-12</v>
      </c>
      <c r="BH147" s="62">
        <f t="shared" si="116"/>
        <v>293.33333333334173</v>
      </c>
      <c r="BI147" s="62">
        <f ca="1">AVERAGE(OFFSET($BH$3,0,0,'Données projet'!$E$11+1,1))-AVERAGE(OFFSET($H$3,0,0,'Données projet'!$E$11+1,1))</f>
        <v>502.06005292569733</v>
      </c>
      <c r="BJ147" s="62">
        <f t="shared" si="146"/>
        <v>297.06786598620607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147.72972348873577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147.72972348873577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-2.8421709430404007E-14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-5.1431925385259088E-14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204.787338911576</v>
      </c>
      <c r="CZ147" s="62">
        <f t="shared" si="150"/>
        <v>287.24932051638558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4.8968733613864259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4.8968733613864259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8.5265128291212022E-14</v>
      </c>
      <c r="DP147" s="18">
        <f>DO147*VLOOKUP('Données projet'!$B$14,Paramètres!$A$1:$I$89,3,0)*VLOOKUP('Données projet'!$B$14,Paramètres!$A$1:$I$89,5,0)</f>
        <v>8.1138296081917361E-14</v>
      </c>
      <c r="DQ147" s="14">
        <f t="shared" si="151"/>
        <v>1.2489471326210353E-12</v>
      </c>
      <c r="DR147" s="22">
        <f t="shared" si="124"/>
        <v>2.3165654549909759E-12</v>
      </c>
      <c r="DS147" s="62">
        <f t="shared" si="125"/>
        <v>293.33333333333564</v>
      </c>
      <c r="DT147" s="62">
        <f ca="1">AVERAGE(OFFSET($DS$3,0,0,'Données projet'!$E$14+1,1))-AVERAGE(OFFSET($H$3,0,0,'Données projet'!$E$14+1,1))</f>
        <v>309.55876703480277</v>
      </c>
      <c r="DU147" s="62">
        <f t="shared" si="152"/>
        <v>122.43799205838684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81.485446758344608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81.485446758344608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-3.4106051316484809E-13</v>
      </c>
      <c r="EK147" s="18">
        <f>EJ147*VLOOKUP('Données projet'!$B$15,Paramètres!$A$1:$I$89,3,0)*VLOOKUP('Données projet'!$B$15,Paramètres!$A$1:$I$89,5,0)</f>
        <v>-1.5961632016114892E-13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301.04834785168049</v>
      </c>
      <c r="EP147" s="62">
        <f t="shared" si="154"/>
        <v>164.1450425611464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112.03096474651869</v>
      </c>
      <c r="EW147" s="23">
        <f>EXP(-LN(2)/25)*EW146+(1-EXP(-LN(2)/25))/(LN(2)/25)*Calculateur!ER147*Calculateur!ET147*VLOOKUP('Données projet'!$B$15,Paramètres!$A$1:$I$89,3,0)*0.475*44/12</f>
        <v>19.860442470452483</v>
      </c>
      <c r="EX147" s="23">
        <f>EXP(-LN(2)/2)*EX146+(1-EXP(-LN(2)/2))/(LN(2)/2)*ER147*EU147*VLOOKUP('Données projet'!$B$15,Paramètres!$A$1:$I$89,3,0)*0.475*44/12</f>
        <v>7.7935310077823349E-3</v>
      </c>
      <c r="EY147" s="24">
        <f t="shared" si="129"/>
        <v>131.89920074797897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-2.8421709430404007E-13</v>
      </c>
      <c r="FF147" s="18">
        <f>FE147*VLOOKUP('Données projet'!$B$16,Paramètres!$A$1:$I$89,3,0)*VLOOKUP('Données projet'!$B$16,Paramètres!$A$1:$I$89,5,0)</f>
        <v>-2.5715962692629546E-13</v>
      </c>
      <c r="FG147" s="14" t="e">
        <f t="shared" si="155"/>
        <v>#NUM!</v>
      </c>
      <c r="FH147" s="22" t="e">
        <f t="shared" si="130"/>
        <v>#NUM!</v>
      </c>
      <c r="FI147" s="62" t="e">
        <f t="shared" si="131"/>
        <v>#NUM!</v>
      </c>
      <c r="FJ147" s="62">
        <f ca="1">AVERAGE(OFFSET($FI$3,0,0,'Données projet'!$E$16+1,1))-AVERAGE(OFFSET($H$3,0,0,'Données projet'!$E$16+1,1))</f>
        <v>330.53726676433649</v>
      </c>
      <c r="FK147" s="62">
        <f t="shared" si="156"/>
        <v>228.01260676706528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72.809469261016787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72.809469261016787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-2.8421709430404007E-13</v>
      </c>
      <c r="GA147" s="18">
        <f>FZ147*VLOOKUP('Données projet'!$B$17,Paramètres!$A$1:$I$89,3,0)*VLOOKUP('Données projet'!$B$17,Paramètres!$A$1:$I$89,5,0)</f>
        <v>-3.2366642699344083E-13</v>
      </c>
      <c r="GB147" s="14" t="e">
        <f t="shared" si="157"/>
        <v>#NUM!</v>
      </c>
      <c r="GC147" s="22" t="e">
        <f t="shared" si="133"/>
        <v>#NUM!</v>
      </c>
      <c r="GD147" s="62" t="e">
        <f t="shared" si="134"/>
        <v>#NUM!</v>
      </c>
      <c r="GE147" s="62">
        <f ca="1">AVERAGE(OFFSET($GD$3,0,0,'Données projet'!$E$17+1,1))-AVERAGE(OFFSET($H$3,0,0,'Données projet'!$E$17+1,1))</f>
        <v>405.71017054131318</v>
      </c>
      <c r="GF147" s="62">
        <f t="shared" si="158"/>
        <v>276.12900965322166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91.639504414728023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91.639504414728023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-2.8421709430404007E-13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3.0859155231155454E-13</v>
      </c>
      <c r="P148" s="14">
        <f t="shared" si="141"/>
        <v>4.0660414022430783E-12</v>
      </c>
      <c r="Q148" s="22">
        <f t="shared" si="108"/>
        <v>7.619152395849318E-12</v>
      </c>
      <c r="R148" s="62">
        <f t="shared" si="109"/>
        <v>293.33333333334093</v>
      </c>
      <c r="S148" s="62">
        <f ca="1">AVERAGE(OFFSET($R$3,0,0,'Données projet'!$E$9+1,1))-AVERAGE(OFFSET($H$3,0,0,'Données projet'!$E$9+1,1))</f>
        <v>452.54136967045082</v>
      </c>
      <c r="T148" s="62">
        <f t="shared" si="142"/>
        <v>269.67340993773422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129.23545162471737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129.23545162471737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3.4583536034915599E-13</v>
      </c>
      <c r="BF148" s="14">
        <f t="shared" si="145"/>
        <v>4.4967326049770697E-12</v>
      </c>
      <c r="BG148" s="22">
        <f t="shared" si="115"/>
        <v>8.4341392062765094E-12</v>
      </c>
      <c r="BH148" s="62">
        <f t="shared" si="116"/>
        <v>293.33333333334173</v>
      </c>
      <c r="BI148" s="62">
        <f ca="1">AVERAGE(OFFSET($BH$3,0,0,'Données projet'!$E$11+1,1))-AVERAGE(OFFSET($H$3,0,0,'Données projet'!$E$11+1,1))</f>
        <v>502.06005292569733</v>
      </c>
      <c r="BJ148" s="62">
        <f t="shared" si="146"/>
        <v>297.06786598620607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144.83283371735573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144.83283371735573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-2.8421709430404007E-14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-5.1431925385259088E-14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204.787338911576</v>
      </c>
      <c r="CZ148" s="62">
        <f t="shared" si="150"/>
        <v>287.24932051638558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4.8008486615674668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4.8008486615674668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8.5265128291212022E-14</v>
      </c>
      <c r="DP148" s="18">
        <f>DO148*VLOOKUP('Données projet'!$B$14,Paramètres!$A$1:$I$89,3,0)*VLOOKUP('Données projet'!$B$14,Paramètres!$A$1:$I$89,5,0)</f>
        <v>8.1138296081917361E-14</v>
      </c>
      <c r="DQ148" s="14">
        <f t="shared" si="151"/>
        <v>1.2489471326210353E-12</v>
      </c>
      <c r="DR148" s="22">
        <f t="shared" si="124"/>
        <v>2.3165654549909759E-12</v>
      </c>
      <c r="DS148" s="62">
        <f t="shared" si="125"/>
        <v>293.33333333333564</v>
      </c>
      <c r="DT148" s="62">
        <f ca="1">AVERAGE(OFFSET($DS$3,0,0,'Données projet'!$E$14+1,1))-AVERAGE(OFFSET($H$3,0,0,'Données projet'!$E$14+1,1))</f>
        <v>309.55876703480277</v>
      </c>
      <c r="DU148" s="62">
        <f t="shared" si="152"/>
        <v>122.43799205838684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79.88756684862841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79.88756684862841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-3.4106051316484809E-13</v>
      </c>
      <c r="EK148" s="18">
        <f>EJ148*VLOOKUP('Données projet'!$B$15,Paramètres!$A$1:$I$89,3,0)*VLOOKUP('Données projet'!$B$15,Paramètres!$A$1:$I$89,5,0)</f>
        <v>-1.5961632016114892E-13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301.04834785168049</v>
      </c>
      <c r="EP148" s="62">
        <f t="shared" si="154"/>
        <v>164.1450425611464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109.83410585998071</v>
      </c>
      <c r="EW148" s="23">
        <f>EXP(-LN(2)/25)*EW147+(1-EXP(-LN(2)/25))/(LN(2)/25)*Calculateur!ER148*Calculateur!ET148*VLOOKUP('Données projet'!$B$15,Paramètres!$A$1:$I$89,3,0)*0.475*44/12</f>
        <v>19.317357626682682</v>
      </c>
      <c r="EX148" s="23">
        <f>EXP(-LN(2)/2)*EX147+(1-EXP(-LN(2)/2))/(LN(2)/2)*ER148*EU148*VLOOKUP('Données projet'!$B$15,Paramètres!$A$1:$I$89,3,0)*0.475*44/12</f>
        <v>5.5108586249905172E-3</v>
      </c>
      <c r="EY148" s="24">
        <f t="shared" si="129"/>
        <v>129.1569743452884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-2.8421709430404007E-13</v>
      </c>
      <c r="FF148" s="18">
        <f>FE148*VLOOKUP('Données projet'!$B$16,Paramètres!$A$1:$I$89,3,0)*VLOOKUP('Données projet'!$B$16,Paramètres!$A$1:$I$89,5,0)</f>
        <v>-2.5715962692629546E-13</v>
      </c>
      <c r="FG148" s="14" t="e">
        <f t="shared" si="155"/>
        <v>#NUM!</v>
      </c>
      <c r="FH148" s="22" t="e">
        <f t="shared" si="130"/>
        <v>#NUM!</v>
      </c>
      <c r="FI148" s="62" t="e">
        <f t="shared" si="131"/>
        <v>#NUM!</v>
      </c>
      <c r="FJ148" s="62">
        <f ca="1">AVERAGE(OFFSET($FI$3,0,0,'Données projet'!$E$16+1,1))-AVERAGE(OFFSET($H$3,0,0,'Données projet'!$E$16+1,1))</f>
        <v>330.53726676433649</v>
      </c>
      <c r="FK148" s="62">
        <f t="shared" si="156"/>
        <v>228.01260676706528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71.381719978199428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71.381719978199428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-2.8421709430404007E-13</v>
      </c>
      <c r="GA148" s="18">
        <f>FZ148*VLOOKUP('Données projet'!$B$17,Paramètres!$A$1:$I$89,3,0)*VLOOKUP('Données projet'!$B$17,Paramètres!$A$1:$I$89,5,0)</f>
        <v>-3.2366642699344083E-13</v>
      </c>
      <c r="GB148" s="14" t="e">
        <f t="shared" si="157"/>
        <v>#NUM!</v>
      </c>
      <c r="GC148" s="22" t="e">
        <f t="shared" si="133"/>
        <v>#NUM!</v>
      </c>
      <c r="GD148" s="62" t="e">
        <f t="shared" si="134"/>
        <v>#NUM!</v>
      </c>
      <c r="GE148" s="62">
        <f ca="1">AVERAGE(OFFSET($GD$3,0,0,'Données projet'!$E$17+1,1))-AVERAGE(OFFSET($H$3,0,0,'Données projet'!$E$17+1,1))</f>
        <v>405.71017054131318</v>
      </c>
      <c r="GF148" s="62">
        <f t="shared" si="158"/>
        <v>276.12900965322166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89.842509627733762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89.842509627733762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-2.8421709430404007E-13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3.0859155231155454E-13</v>
      </c>
      <c r="P149" s="14">
        <f t="shared" si="141"/>
        <v>4.0660414022430783E-12</v>
      </c>
      <c r="Q149" s="22">
        <f t="shared" si="108"/>
        <v>7.619152395849318E-12</v>
      </c>
      <c r="R149" s="62">
        <f t="shared" si="109"/>
        <v>293.33333333334093</v>
      </c>
      <c r="S149" s="62">
        <f ca="1">AVERAGE(OFFSET($R$3,0,0,'Données projet'!$E$9+1,1))-AVERAGE(OFFSET($H$3,0,0,'Données projet'!$E$9+1,1))</f>
        <v>452.54136967045082</v>
      </c>
      <c r="T149" s="62">
        <f t="shared" si="142"/>
        <v>269.67340993773422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126.70122324419874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126.70122324419874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3.4583536034915599E-13</v>
      </c>
      <c r="BF149" s="14">
        <f t="shared" si="145"/>
        <v>4.4967326049770697E-12</v>
      </c>
      <c r="BG149" s="22">
        <f t="shared" si="115"/>
        <v>8.4341392062765094E-12</v>
      </c>
      <c r="BH149" s="62">
        <f t="shared" si="116"/>
        <v>293.33333333334173</v>
      </c>
      <c r="BI149" s="62">
        <f ca="1">AVERAGE(OFFSET($BH$3,0,0,'Données projet'!$E$11+1,1))-AVERAGE(OFFSET($H$3,0,0,'Données projet'!$E$11+1,1))</f>
        <v>502.06005292569733</v>
      </c>
      <c r="BJ149" s="62">
        <f t="shared" si="146"/>
        <v>297.06786598620607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141.99275018746417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141.99275018746417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-2.8421709430404007E-14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-5.1431925385259088E-14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204.787338911576</v>
      </c>
      <c r="CZ149" s="62">
        <f t="shared" si="150"/>
        <v>287.24932051638558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4.7067069475426742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4.7067069475426742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8.5265128291212022E-14</v>
      </c>
      <c r="DP149" s="18">
        <f>DO149*VLOOKUP('Données projet'!$B$14,Paramètres!$A$1:$I$89,3,0)*VLOOKUP('Données projet'!$B$14,Paramètres!$A$1:$I$89,5,0)</f>
        <v>8.1138296081917361E-14</v>
      </c>
      <c r="DQ149" s="14">
        <f t="shared" si="151"/>
        <v>1.2489471326210353E-12</v>
      </c>
      <c r="DR149" s="22">
        <f t="shared" si="124"/>
        <v>2.3165654549909759E-12</v>
      </c>
      <c r="DS149" s="62">
        <f t="shared" si="125"/>
        <v>293.33333333333564</v>
      </c>
      <c r="DT149" s="62">
        <f ca="1">AVERAGE(OFFSET($DS$3,0,0,'Données projet'!$E$14+1,1))-AVERAGE(OFFSET($H$3,0,0,'Données projet'!$E$14+1,1))</f>
        <v>309.55876703480277</v>
      </c>
      <c r="DU149" s="62">
        <f t="shared" si="152"/>
        <v>122.43799205838684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78.321020389331238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78.321020389331238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-3.4106051316484809E-13</v>
      </c>
      <c r="EK149" s="18">
        <f>EJ149*VLOOKUP('Données projet'!$B$15,Paramètres!$A$1:$I$89,3,0)*VLOOKUP('Données projet'!$B$15,Paramètres!$A$1:$I$89,5,0)</f>
        <v>-1.5961632016114892E-13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301.04834785168049</v>
      </c>
      <c r="EP149" s="62">
        <f t="shared" si="154"/>
        <v>164.1450425611464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107.68032603625613</v>
      </c>
      <c r="EW149" s="23">
        <f>EXP(-LN(2)/25)*EW148+(1-EXP(-LN(2)/25))/(LN(2)/25)*Calculateur!ER149*Calculateur!ET149*VLOOKUP('Données projet'!$B$15,Paramètres!$A$1:$I$89,3,0)*0.475*44/12</f>
        <v>18.789123466525357</v>
      </c>
      <c r="EX149" s="23">
        <f>EXP(-LN(2)/2)*EX148+(1-EXP(-LN(2)/2))/(LN(2)/2)*ER149*EU149*VLOOKUP('Données projet'!$B$15,Paramètres!$A$1:$I$89,3,0)*0.475*44/12</f>
        <v>3.8967655038911679E-3</v>
      </c>
      <c r="EY149" s="24">
        <f t="shared" si="129"/>
        <v>126.47334626828538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-2.8421709430404007E-13</v>
      </c>
      <c r="FF149" s="18">
        <f>FE149*VLOOKUP('Données projet'!$B$16,Paramètres!$A$1:$I$89,3,0)*VLOOKUP('Données projet'!$B$16,Paramètres!$A$1:$I$89,5,0)</f>
        <v>-2.5715962692629546E-13</v>
      </c>
      <c r="FG149" s="14" t="e">
        <f t="shared" si="155"/>
        <v>#NUM!</v>
      </c>
      <c r="FH149" s="22" t="e">
        <f t="shared" si="130"/>
        <v>#NUM!</v>
      </c>
      <c r="FI149" s="62" t="e">
        <f t="shared" si="131"/>
        <v>#NUM!</v>
      </c>
      <c r="FJ149" s="62">
        <f ca="1">AVERAGE(OFFSET($FI$3,0,0,'Données projet'!$E$16+1,1))-AVERAGE(OFFSET($H$3,0,0,'Données projet'!$E$16+1,1))</f>
        <v>330.53726676433649</v>
      </c>
      <c r="FK149" s="62">
        <f t="shared" si="156"/>
        <v>228.01260676706528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69.981967987977043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69.981967987977043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-2.8421709430404007E-13</v>
      </c>
      <c r="GA149" s="18">
        <f>FZ149*VLOOKUP('Données projet'!$B$17,Paramètres!$A$1:$I$89,3,0)*VLOOKUP('Données projet'!$B$17,Paramètres!$A$1:$I$89,5,0)</f>
        <v>-3.2366642699344083E-13</v>
      </c>
      <c r="GB149" s="14" t="e">
        <f t="shared" si="157"/>
        <v>#NUM!</v>
      </c>
      <c r="GC149" s="22" t="e">
        <f t="shared" si="133"/>
        <v>#NUM!</v>
      </c>
      <c r="GD149" s="62" t="e">
        <f t="shared" si="134"/>
        <v>#NUM!</v>
      </c>
      <c r="GE149" s="62">
        <f ca="1">AVERAGE(OFFSET($GD$3,0,0,'Données projet'!$E$17+1,1))-AVERAGE(OFFSET($H$3,0,0,'Données projet'!$E$17+1,1))</f>
        <v>405.71017054131318</v>
      </c>
      <c r="GF149" s="62">
        <f t="shared" si="158"/>
        <v>276.12900965322166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88.080752812453866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88.080752812453866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-2.8421709430404007E-13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3.0859155231155454E-13</v>
      </c>
      <c r="P150" s="14">
        <f t="shared" si="141"/>
        <v>4.0660414022430783E-12</v>
      </c>
      <c r="Q150" s="22">
        <f t="shared" si="108"/>
        <v>7.619152395849318E-12</v>
      </c>
      <c r="R150" s="62">
        <f t="shared" si="109"/>
        <v>293.33333333334093</v>
      </c>
      <c r="S150" s="62">
        <f ca="1">AVERAGE(OFFSET($R$3,0,0,'Données projet'!$E$9+1,1))-AVERAGE(OFFSET($H$3,0,0,'Données projet'!$E$9+1,1))</f>
        <v>452.54136967045082</v>
      </c>
      <c r="T150" s="62">
        <f t="shared" si="142"/>
        <v>269.67340993773422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124.21668953649541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124.21668953649541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3.4583536034915599E-13</v>
      </c>
      <c r="BF150" s="14">
        <f t="shared" si="145"/>
        <v>4.4967326049770697E-12</v>
      </c>
      <c r="BG150" s="22">
        <f t="shared" si="115"/>
        <v>8.4341392062765094E-12</v>
      </c>
      <c r="BH150" s="62">
        <f t="shared" si="116"/>
        <v>293.33333333334173</v>
      </c>
      <c r="BI150" s="62">
        <f ca="1">AVERAGE(OFFSET($BH$3,0,0,'Données projet'!$E$11+1,1))-AVERAGE(OFFSET($H$3,0,0,'Données projet'!$E$11+1,1))</f>
        <v>502.06005292569733</v>
      </c>
      <c r="BJ150" s="62">
        <f t="shared" si="146"/>
        <v>297.06786598620607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139.20835896331388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139.20835896331388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-2.8421709430404007E-14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-5.1431925385259088E-14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204.787338911576</v>
      </c>
      <c r="CZ150" s="62">
        <f t="shared" si="150"/>
        <v>287.24932051638558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4.6144112951091314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4.6144112951091314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8.5265128291212022E-14</v>
      </c>
      <c r="DP150" s="18">
        <f>DO150*VLOOKUP('Données projet'!$B$14,Paramètres!$A$1:$I$89,3,0)*VLOOKUP('Données projet'!$B$14,Paramètres!$A$1:$I$89,5,0)</f>
        <v>8.1138296081917361E-14</v>
      </c>
      <c r="DQ150" s="14">
        <f t="shared" si="151"/>
        <v>1.2489471326210353E-12</v>
      </c>
      <c r="DR150" s="22">
        <f t="shared" si="124"/>
        <v>2.3165654549909759E-12</v>
      </c>
      <c r="DS150" s="62">
        <f t="shared" si="125"/>
        <v>293.33333333333564</v>
      </c>
      <c r="DT150" s="62">
        <f ca="1">AVERAGE(OFFSET($DS$3,0,0,'Données projet'!$E$14+1,1))-AVERAGE(OFFSET($H$3,0,0,'Données projet'!$E$14+1,1))</f>
        <v>309.55876703480277</v>
      </c>
      <c r="DU150" s="62">
        <f t="shared" si="152"/>
        <v>122.43799205838684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76.785192950601882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76.785192950601882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-3.4106051316484809E-13</v>
      </c>
      <c r="EK150" s="18">
        <f>EJ150*VLOOKUP('Données projet'!$B$15,Paramètres!$A$1:$I$89,3,0)*VLOOKUP('Données projet'!$B$15,Paramètres!$A$1:$I$89,5,0)</f>
        <v>-1.5961632016114892E-13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301.04834785168049</v>
      </c>
      <c r="EP150" s="62">
        <f t="shared" si="154"/>
        <v>164.1450425611464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105.56878052119882</v>
      </c>
      <c r="EW150" s="23">
        <f>EXP(-LN(2)/25)*EW149+(1-EXP(-LN(2)/25))/(LN(2)/25)*Calculateur!ER150*Calculateur!ET150*VLOOKUP('Données projet'!$B$15,Paramètres!$A$1:$I$89,3,0)*0.475*44/12</f>
        <v>18.275333897256161</v>
      </c>
      <c r="EX150" s="23">
        <f>EXP(-LN(2)/2)*EX149+(1-EXP(-LN(2)/2))/(LN(2)/2)*ER150*EU150*VLOOKUP('Données projet'!$B$15,Paramètres!$A$1:$I$89,3,0)*0.475*44/12</f>
        <v>2.755429312495259E-3</v>
      </c>
      <c r="EY150" s="24">
        <f t="shared" si="129"/>
        <v>123.84686984776748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-2.8421709430404007E-13</v>
      </c>
      <c r="FF150" s="18">
        <f>FE150*VLOOKUP('Données projet'!$B$16,Paramètres!$A$1:$I$89,3,0)*VLOOKUP('Données projet'!$B$16,Paramètres!$A$1:$I$89,5,0)</f>
        <v>-2.5715962692629546E-13</v>
      </c>
      <c r="FG150" s="14" t="e">
        <f t="shared" si="155"/>
        <v>#NUM!</v>
      </c>
      <c r="FH150" s="22" t="e">
        <f t="shared" si="130"/>
        <v>#NUM!</v>
      </c>
      <c r="FI150" s="62" t="e">
        <f t="shared" si="131"/>
        <v>#NUM!</v>
      </c>
      <c r="FJ150" s="62">
        <f ca="1">AVERAGE(OFFSET($FI$3,0,0,'Données projet'!$E$16+1,1))-AVERAGE(OFFSET($H$3,0,0,'Données projet'!$E$16+1,1))</f>
        <v>330.53726676433649</v>
      </c>
      <c r="FK150" s="62">
        <f t="shared" si="156"/>
        <v>228.01260676706528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68.609664280518516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68.609664280518516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-2.8421709430404007E-13</v>
      </c>
      <c r="GA150" s="18">
        <f>FZ150*VLOOKUP('Données projet'!$B$17,Paramètres!$A$1:$I$89,3,0)*VLOOKUP('Données projet'!$B$17,Paramètres!$A$1:$I$89,5,0)</f>
        <v>-3.2366642699344083E-13</v>
      </c>
      <c r="GB150" s="14" t="e">
        <f t="shared" si="157"/>
        <v>#NUM!</v>
      </c>
      <c r="GC150" s="22" t="e">
        <f t="shared" si="133"/>
        <v>#NUM!</v>
      </c>
      <c r="GD150" s="62" t="e">
        <f t="shared" si="134"/>
        <v>#NUM!</v>
      </c>
      <c r="GE150" s="62">
        <f ca="1">AVERAGE(OFFSET($GD$3,0,0,'Données projet'!$E$17+1,1))-AVERAGE(OFFSET($H$3,0,0,'Données projet'!$E$17+1,1))</f>
        <v>405.71017054131318</v>
      </c>
      <c r="GF150" s="62">
        <f t="shared" si="158"/>
        <v>276.12900965322166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86.353542973756063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86.353542973756063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-2.8421709430404007E-13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3.0859155231155454E-13</v>
      </c>
      <c r="P151" s="14">
        <f t="shared" si="141"/>
        <v>4.0660414022430783E-12</v>
      </c>
      <c r="Q151" s="22">
        <f t="shared" si="108"/>
        <v>7.619152395849318E-12</v>
      </c>
      <c r="R151" s="62">
        <f t="shared" si="109"/>
        <v>293.33333333334093</v>
      </c>
      <c r="S151" s="62">
        <f ca="1">AVERAGE(OFFSET($R$3,0,0,'Données projet'!$E$9+1,1))-AVERAGE(OFFSET($H$3,0,0,'Données projet'!$E$9+1,1))</f>
        <v>452.54136967045082</v>
      </c>
      <c r="T151" s="62">
        <f t="shared" si="142"/>
        <v>269.67340993773422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121.78087601938421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121.78087601938421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3.4583536034915599E-13</v>
      </c>
      <c r="BF151" s="14">
        <f t="shared" si="145"/>
        <v>4.4967326049770697E-12</v>
      </c>
      <c r="BG151" s="22">
        <f t="shared" si="115"/>
        <v>8.4341392062765094E-12</v>
      </c>
      <c r="BH151" s="62">
        <f t="shared" si="116"/>
        <v>293.33333333334173</v>
      </c>
      <c r="BI151" s="62">
        <f ca="1">AVERAGE(OFFSET($BH$3,0,0,'Données projet'!$E$11+1,1))-AVERAGE(OFFSET($H$3,0,0,'Données projet'!$E$11+1,1))</f>
        <v>502.06005292569733</v>
      </c>
      <c r="BJ151" s="62">
        <f t="shared" si="146"/>
        <v>297.06786598620607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136.47856795275823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136.47856795275823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-2.8421709430404007E-14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-5.1431925385259088E-14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204.787338911576</v>
      </c>
      <c r="CZ151" s="62">
        <f t="shared" si="150"/>
        <v>287.24932051638558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4.523925504125021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4.523925504125021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8.5265128291212022E-14</v>
      </c>
      <c r="DP151" s="18">
        <f>DO151*VLOOKUP('Données projet'!$B$14,Paramètres!$A$1:$I$89,3,0)*VLOOKUP('Données projet'!$B$14,Paramètres!$A$1:$I$89,5,0)</f>
        <v>8.1138296081917361E-14</v>
      </c>
      <c r="DQ151" s="14">
        <f t="shared" si="151"/>
        <v>1.2489471326210353E-12</v>
      </c>
      <c r="DR151" s="22">
        <f t="shared" si="124"/>
        <v>2.3165654549909759E-12</v>
      </c>
      <c r="DS151" s="62">
        <f t="shared" si="125"/>
        <v>293.33333333333564</v>
      </c>
      <c r="DT151" s="62">
        <f ca="1">AVERAGE(OFFSET($DS$3,0,0,'Données projet'!$E$14+1,1))-AVERAGE(OFFSET($H$3,0,0,'Données projet'!$E$14+1,1))</f>
        <v>309.55876703480277</v>
      </c>
      <c r="DU151" s="62">
        <f t="shared" si="152"/>
        <v>122.43799205838684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75.279482151183771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75.279482151183771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-3.4106051316484809E-13</v>
      </c>
      <c r="EK151" s="18">
        <f>EJ151*VLOOKUP('Données projet'!$B$15,Paramètres!$A$1:$I$89,3,0)*VLOOKUP('Données projet'!$B$15,Paramètres!$A$1:$I$89,5,0)</f>
        <v>-1.5961632016114892E-13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301.04834785168049</v>
      </c>
      <c r="EP151" s="62">
        <f t="shared" si="154"/>
        <v>164.1450425611464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103.49864112577619</v>
      </c>
      <c r="EW151" s="23">
        <f>EXP(-LN(2)/25)*EW150+(1-EXP(-LN(2)/25))/(LN(2)/25)*Calculateur!ER151*Calculateur!ET151*VLOOKUP('Données projet'!$B$15,Paramètres!$A$1:$I$89,3,0)*0.475*44/12</f>
        <v>17.775593930777649</v>
      </c>
      <c r="EX151" s="23">
        <f>EXP(-LN(2)/2)*EX150+(1-EXP(-LN(2)/2))/(LN(2)/2)*ER151*EU151*VLOOKUP('Données projet'!$B$15,Paramètres!$A$1:$I$89,3,0)*0.475*44/12</f>
        <v>1.9483827519455844E-3</v>
      </c>
      <c r="EY151" s="24">
        <f t="shared" si="129"/>
        <v>121.27618343930578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-2.8421709430404007E-13</v>
      </c>
      <c r="FF151" s="18">
        <f>FE151*VLOOKUP('Données projet'!$B$16,Paramètres!$A$1:$I$89,3,0)*VLOOKUP('Données projet'!$B$16,Paramètres!$A$1:$I$89,5,0)</f>
        <v>-2.5715962692629546E-13</v>
      </c>
      <c r="FG151" s="14" t="e">
        <f t="shared" si="155"/>
        <v>#NUM!</v>
      </c>
      <c r="FH151" s="22" t="e">
        <f t="shared" si="130"/>
        <v>#NUM!</v>
      </c>
      <c r="FI151" s="62" t="e">
        <f t="shared" si="131"/>
        <v>#NUM!</v>
      </c>
      <c r="FJ151" s="62">
        <f ca="1">AVERAGE(OFFSET($FI$3,0,0,'Données projet'!$E$16+1,1))-AVERAGE(OFFSET($H$3,0,0,'Données projet'!$E$16+1,1))</f>
        <v>330.53726676433649</v>
      </c>
      <c r="FK151" s="62">
        <f t="shared" si="156"/>
        <v>228.01260676706528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67.264270611740642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67.264270611740642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-2.8421709430404007E-13</v>
      </c>
      <c r="GA151" s="18">
        <f>FZ151*VLOOKUP('Données projet'!$B$17,Paramètres!$A$1:$I$89,3,0)*VLOOKUP('Données projet'!$B$17,Paramètres!$A$1:$I$89,5,0)</f>
        <v>-3.2366642699344083E-13</v>
      </c>
      <c r="GB151" s="14" t="e">
        <f t="shared" si="157"/>
        <v>#NUM!</v>
      </c>
      <c r="GC151" s="22" t="e">
        <f t="shared" si="133"/>
        <v>#NUM!</v>
      </c>
      <c r="GD151" s="62" t="e">
        <f t="shared" si="134"/>
        <v>#NUM!</v>
      </c>
      <c r="GE151" s="62">
        <f ca="1">AVERAGE(OFFSET($GD$3,0,0,'Données projet'!$E$17+1,1))-AVERAGE(OFFSET($H$3,0,0,'Données projet'!$E$17+1,1))</f>
        <v>405.71017054131318</v>
      </c>
      <c r="GF151" s="62">
        <f t="shared" si="158"/>
        <v>276.12900965322166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84.660202666501149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84.660202666501149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-2.8421709430404007E-13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3.0859155231155454E-13</v>
      </c>
      <c r="P152" s="14">
        <f t="shared" si="141"/>
        <v>4.0660414022430783E-12</v>
      </c>
      <c r="Q152" s="22">
        <f t="shared" si="108"/>
        <v>7.619152395849318E-12</v>
      </c>
      <c r="R152" s="62">
        <f t="shared" si="109"/>
        <v>293.33333333334093</v>
      </c>
      <c r="S152" s="62">
        <f ca="1">AVERAGE(OFFSET($R$3,0,0,'Données projet'!$E$9+1,1))-AVERAGE(OFFSET($H$3,0,0,'Données projet'!$E$9+1,1))</f>
        <v>452.54136967045082</v>
      </c>
      <c r="T152" s="62">
        <f t="shared" si="142"/>
        <v>269.67340993773422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119.39282731964401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119.39282731964401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3.4583536034915599E-13</v>
      </c>
      <c r="BF152" s="14">
        <f t="shared" si="145"/>
        <v>4.4967326049770697E-12</v>
      </c>
      <c r="BG152" s="22">
        <f t="shared" si="115"/>
        <v>8.4341392062765094E-12</v>
      </c>
      <c r="BH152" s="62">
        <f t="shared" si="116"/>
        <v>293.33333333334173</v>
      </c>
      <c r="BI152" s="62">
        <f ca="1">AVERAGE(OFFSET($BH$3,0,0,'Données projet'!$E$11+1,1))-AVERAGE(OFFSET($H$3,0,0,'Données projet'!$E$11+1,1))</f>
        <v>502.06005292569733</v>
      </c>
      <c r="BJ152" s="62">
        <f t="shared" si="146"/>
        <v>297.06786598620607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133.80230647891145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133.80230647891145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-2.8421709430404007E-14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-5.1431925385259088E-14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204.787338911576</v>
      </c>
      <c r="CZ152" s="62">
        <f t="shared" si="150"/>
        <v>287.24932051638558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4.4352140843112267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4.4352140843112267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8.5265128291212022E-14</v>
      </c>
      <c r="DP152" s="18">
        <f>DO152*VLOOKUP('Données projet'!$B$14,Paramètres!$A$1:$I$89,3,0)*VLOOKUP('Données projet'!$B$14,Paramètres!$A$1:$I$89,5,0)</f>
        <v>8.1138296081917361E-14</v>
      </c>
      <c r="DQ152" s="14">
        <f t="shared" si="151"/>
        <v>1.2489471326210353E-12</v>
      </c>
      <c r="DR152" s="22">
        <f t="shared" si="124"/>
        <v>2.3165654549909759E-12</v>
      </c>
      <c r="DS152" s="62">
        <f t="shared" si="125"/>
        <v>293.33333333333564</v>
      </c>
      <c r="DT152" s="62">
        <f ca="1">AVERAGE(OFFSET($DS$3,0,0,'Données projet'!$E$14+1,1))-AVERAGE(OFFSET($H$3,0,0,'Données projet'!$E$14+1,1))</f>
        <v>309.55876703480277</v>
      </c>
      <c r="DU152" s="62">
        <f t="shared" si="152"/>
        <v>122.43799205838684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73.803297422149342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73.803297422149342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-3.4106051316484809E-13</v>
      </c>
      <c r="EK152" s="18">
        <f>EJ152*VLOOKUP('Données projet'!$B$15,Paramètres!$A$1:$I$89,3,0)*VLOOKUP('Données projet'!$B$15,Paramètres!$A$1:$I$89,5,0)</f>
        <v>-1.5961632016114892E-13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301.04834785168049</v>
      </c>
      <c r="EP152" s="62">
        <f t="shared" si="154"/>
        <v>164.1450425611464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101.46909590123744</v>
      </c>
      <c r="EW152" s="23">
        <f>EXP(-LN(2)/25)*EW151+(1-EXP(-LN(2)/25))/(LN(2)/25)*Calculateur!ER152*Calculateur!ET152*VLOOKUP('Données projet'!$B$15,Paramètres!$A$1:$I$89,3,0)*0.475*44/12</f>
        <v>17.289519379962677</v>
      </c>
      <c r="EX152" s="23">
        <f>EXP(-LN(2)/2)*EX151+(1-EXP(-LN(2)/2))/(LN(2)/2)*ER152*EU152*VLOOKUP('Données projet'!$B$15,Paramètres!$A$1:$I$89,3,0)*0.475*44/12</f>
        <v>1.3777146562476297E-3</v>
      </c>
      <c r="EY152" s="24">
        <f t="shared" si="129"/>
        <v>118.75999299585636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-2.8421709430404007E-13</v>
      </c>
      <c r="FF152" s="18">
        <f>FE152*VLOOKUP('Données projet'!$B$16,Paramètres!$A$1:$I$89,3,0)*VLOOKUP('Données projet'!$B$16,Paramètres!$A$1:$I$89,5,0)</f>
        <v>-2.5715962692629546E-13</v>
      </c>
      <c r="FG152" s="14" t="e">
        <f t="shared" si="155"/>
        <v>#NUM!</v>
      </c>
      <c r="FH152" s="22" t="e">
        <f t="shared" si="130"/>
        <v>#NUM!</v>
      </c>
      <c r="FI152" s="62" t="e">
        <f t="shared" si="131"/>
        <v>#NUM!</v>
      </c>
      <c r="FJ152" s="62">
        <f ca="1">AVERAGE(OFFSET($FI$3,0,0,'Données projet'!$E$16+1,1))-AVERAGE(OFFSET($H$3,0,0,'Données projet'!$E$16+1,1))</f>
        <v>330.53726676433649</v>
      </c>
      <c r="FK152" s="62">
        <f t="shared" si="156"/>
        <v>228.01260676706528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65.945259292198386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65.945259292198386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-2.8421709430404007E-13</v>
      </c>
      <c r="GA152" s="18">
        <f>FZ152*VLOOKUP('Données projet'!$B$17,Paramètres!$A$1:$I$89,3,0)*VLOOKUP('Données projet'!$B$17,Paramètres!$A$1:$I$89,5,0)</f>
        <v>-3.2366642699344083E-13</v>
      </c>
      <c r="GB152" s="14" t="e">
        <f t="shared" si="157"/>
        <v>#NUM!</v>
      </c>
      <c r="GC152" s="22" t="e">
        <f t="shared" si="133"/>
        <v>#NUM!</v>
      </c>
      <c r="GD152" s="62" t="e">
        <f t="shared" si="134"/>
        <v>#NUM!</v>
      </c>
      <c r="GE152" s="62">
        <f ca="1">AVERAGE(OFFSET($GD$3,0,0,'Données projet'!$E$17+1,1))-AVERAGE(OFFSET($H$3,0,0,'Données projet'!$E$17+1,1))</f>
        <v>405.71017054131318</v>
      </c>
      <c r="GF152" s="62">
        <f t="shared" si="158"/>
        <v>276.12900965322166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83.000067729835891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83.000067729835891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-2.8421709430404007E-13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3.0859155231155454E-13</v>
      </c>
      <c r="P153" s="14">
        <f t="shared" si="141"/>
        <v>4.0660414022430783E-12</v>
      </c>
      <c r="Q153" s="22">
        <f t="shared" si="108"/>
        <v>7.619152395849318E-12</v>
      </c>
      <c r="R153" s="62">
        <f t="shared" si="109"/>
        <v>293.33333333334093</v>
      </c>
      <c r="S153" s="62">
        <f ca="1">AVERAGE(OFFSET($R$3,0,0,'Données projet'!$E$9+1,1))-AVERAGE(OFFSET($H$3,0,0,'Données projet'!$E$9+1,1))</f>
        <v>452.54136967045082</v>
      </c>
      <c r="T153" s="62">
        <f t="shared" si="142"/>
        <v>269.67340993773422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117.05160679833985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117.05160679833985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3.4583536034915599E-13</v>
      </c>
      <c r="BF153" s="14">
        <f t="shared" si="145"/>
        <v>4.4967326049770697E-12</v>
      </c>
      <c r="BG153" s="22">
        <f t="shared" si="115"/>
        <v>8.4341392062765094E-12</v>
      </c>
      <c r="BH153" s="62">
        <f t="shared" si="116"/>
        <v>293.33333333334173</v>
      </c>
      <c r="BI153" s="62">
        <f ca="1">AVERAGE(OFFSET($BH$3,0,0,'Données projet'!$E$11+1,1))-AVERAGE(OFFSET($H$3,0,0,'Données projet'!$E$11+1,1))</f>
        <v>502.06005292569733</v>
      </c>
      <c r="BJ153" s="62">
        <f t="shared" si="146"/>
        <v>297.06786598620607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131.17852486020848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131.17852486020848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-2.8421709430404007E-14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-5.1431925385259088E-14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204.787338911576</v>
      </c>
      <c r="CZ153" s="62">
        <f t="shared" si="150"/>
        <v>287.24932051638558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4.3482422413313575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4.3482422413313575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8.5265128291212022E-14</v>
      </c>
      <c r="DP153" s="18">
        <f>DO153*VLOOKUP('Données projet'!$B$14,Paramètres!$A$1:$I$89,3,0)*VLOOKUP('Données projet'!$B$14,Paramètres!$A$1:$I$89,5,0)</f>
        <v>8.1138296081917361E-14</v>
      </c>
      <c r="DQ153" s="14">
        <f t="shared" si="151"/>
        <v>1.2489471326210353E-12</v>
      </c>
      <c r="DR153" s="22">
        <f t="shared" si="124"/>
        <v>2.3165654549909759E-12</v>
      </c>
      <c r="DS153" s="62">
        <f t="shared" si="125"/>
        <v>293.33333333333564</v>
      </c>
      <c r="DT153" s="62">
        <f ca="1">AVERAGE(OFFSET($DS$3,0,0,'Données projet'!$E$14+1,1))-AVERAGE(OFFSET($H$3,0,0,'Données projet'!$E$14+1,1))</f>
        <v>309.55876703480277</v>
      </c>
      <c r="DU153" s="62">
        <f t="shared" si="152"/>
        <v>122.43799205838684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72.356059775267497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72.356059775267497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-3.4106051316484809E-13</v>
      </c>
      <c r="EK153" s="18">
        <f>EJ153*VLOOKUP('Données projet'!$B$15,Paramètres!$A$1:$I$89,3,0)*VLOOKUP('Données projet'!$B$15,Paramètres!$A$1:$I$89,5,0)</f>
        <v>-1.5961632016114892E-13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301.04834785168049</v>
      </c>
      <c r="EP153" s="62">
        <f t="shared" si="154"/>
        <v>164.1450425611464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99.479348820651538</v>
      </c>
      <c r="EW153" s="23">
        <f>EXP(-LN(2)/25)*EW152+(1-EXP(-LN(2)/25))/(LN(2)/25)*Calculateur!ER153*Calculateur!ET153*VLOOKUP('Données projet'!$B$15,Paramètres!$A$1:$I$89,3,0)*0.475*44/12</f>
        <v>16.816736563301291</v>
      </c>
      <c r="EX153" s="23">
        <f>EXP(-LN(2)/2)*EX152+(1-EXP(-LN(2)/2))/(LN(2)/2)*ER153*EU153*VLOOKUP('Données projet'!$B$15,Paramètres!$A$1:$I$89,3,0)*0.475*44/12</f>
        <v>9.741913759727923E-4</v>
      </c>
      <c r="EY153" s="24">
        <f t="shared" si="129"/>
        <v>116.2970595753288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-2.8421709430404007E-13</v>
      </c>
      <c r="FF153" s="18">
        <f>FE153*VLOOKUP('Données projet'!$B$16,Paramètres!$A$1:$I$89,3,0)*VLOOKUP('Données projet'!$B$16,Paramètres!$A$1:$I$89,5,0)</f>
        <v>-2.5715962692629546E-13</v>
      </c>
      <c r="FG153" s="14" t="e">
        <f t="shared" si="155"/>
        <v>#NUM!</v>
      </c>
      <c r="FH153" s="22" t="e">
        <f t="shared" si="130"/>
        <v>#NUM!</v>
      </c>
      <c r="FI153" s="62" t="e">
        <f t="shared" si="131"/>
        <v>#NUM!</v>
      </c>
      <c r="FJ153" s="62">
        <f ca="1">AVERAGE(OFFSET($FI$3,0,0,'Données projet'!$E$16+1,1))-AVERAGE(OFFSET($H$3,0,0,'Données projet'!$E$16+1,1))</f>
        <v>330.53726676433649</v>
      </c>
      <c r="FK153" s="62">
        <f t="shared" si="156"/>
        <v>228.01260676706528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64.652112980114893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64.652112980114893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-2.8421709430404007E-13</v>
      </c>
      <c r="GA153" s="18">
        <f>FZ153*VLOOKUP('Données projet'!$B$17,Paramètres!$A$1:$I$89,3,0)*VLOOKUP('Données projet'!$B$17,Paramètres!$A$1:$I$89,5,0)</f>
        <v>-3.2366642699344083E-13</v>
      </c>
      <c r="GB153" s="14" t="e">
        <f t="shared" si="157"/>
        <v>#NUM!</v>
      </c>
      <c r="GC153" s="22" t="e">
        <f t="shared" si="133"/>
        <v>#NUM!</v>
      </c>
      <c r="GD153" s="62" t="e">
        <f t="shared" si="134"/>
        <v>#NUM!</v>
      </c>
      <c r="GE153" s="62">
        <f ca="1">AVERAGE(OFFSET($GD$3,0,0,'Données projet'!$E$17+1,1))-AVERAGE(OFFSET($H$3,0,0,'Données projet'!$E$17+1,1))</f>
        <v>405.71017054131318</v>
      </c>
      <c r="GF153" s="62">
        <f t="shared" si="158"/>
        <v>276.12900965322166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81.372487026696319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81.372487026696319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-2.8421709430404007E-13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3.0859155231155454E-13</v>
      </c>
      <c r="P154" s="14">
        <f t="shared" si="141"/>
        <v>4.0660414022430783E-12</v>
      </c>
      <c r="Q154" s="22">
        <f t="shared" ref="Q154:Q203" si="162">(O154+P154)*0.475*44/12</f>
        <v>7.619152395849318E-12</v>
      </c>
      <c r="R154" s="62">
        <f t="shared" si="109"/>
        <v>293.33333333334093</v>
      </c>
      <c r="S154" s="62">
        <f ca="1">AVERAGE(OFFSET($R$3,0,0,'Données projet'!$E$9+1,1))-AVERAGE(OFFSET($H$3,0,0,'Données projet'!$E$9+1,1))</f>
        <v>452.54136967045082</v>
      </c>
      <c r="T154" s="62">
        <f t="shared" si="142"/>
        <v>269.67340993773422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114.75629618345494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114.75629618345494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3.4583536034915599E-13</v>
      </c>
      <c r="BF154" s="14">
        <f t="shared" ref="BF154:BF203" si="167">EXP(-1.0587+0.8836*LN(BE154)+0.284)</f>
        <v>4.4967326049770697E-12</v>
      </c>
      <c r="BG154" s="22">
        <f t="shared" ref="BG154:BG203" si="168">(BE154+BF154)*0.475*44/12</f>
        <v>8.4341392062765094E-12</v>
      </c>
      <c r="BH154" s="62">
        <f t="shared" si="116"/>
        <v>293.33333333334173</v>
      </c>
      <c r="BI154" s="62">
        <f ca="1">AVERAGE(OFFSET($BH$3,0,0,'Données projet'!$E$11+1,1))-AVERAGE(OFFSET($H$3,0,0,'Données projet'!$E$11+1,1))</f>
        <v>502.06005292569733</v>
      </c>
      <c r="BJ154" s="62">
        <f t="shared" si="146"/>
        <v>297.06786598620607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128.60619399869952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128.60619399869952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-2.8421709430404007E-14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-5.1431925385259088E-14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204.787338911576</v>
      </c>
      <c r="CZ154" s="62">
        <f t="shared" si="150"/>
        <v>287.24932051638558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4.262975863144737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4.262975863144737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8.5265128291212022E-14</v>
      </c>
      <c r="DP154" s="18">
        <f>DO154*VLOOKUP('Données projet'!$B$14,Paramètres!$A$1:$I$89,3,0)*VLOOKUP('Données projet'!$B$14,Paramètres!$A$1:$I$89,5,0)</f>
        <v>8.1138296081917361E-14</v>
      </c>
      <c r="DQ154" s="14">
        <f t="shared" ref="DQ154:DQ203" si="176">EXP(-1.0587+0.8836*LN(DP154)+0.284)</f>
        <v>1.2489471326210353E-12</v>
      </c>
      <c r="DR154" s="22">
        <f t="shared" ref="DR154:DR203" si="177">(DP154+DQ154)*0.475*44/12</f>
        <v>2.3165654549909759E-12</v>
      </c>
      <c r="DS154" s="62">
        <f t="shared" si="125"/>
        <v>293.33333333333564</v>
      </c>
      <c r="DT154" s="62">
        <f ca="1">AVERAGE(OFFSET($DS$3,0,0,'Données projet'!$E$14+1,1))-AVERAGE(OFFSET($H$3,0,0,'Données projet'!$E$14+1,1))</f>
        <v>309.55876703480277</v>
      </c>
      <c r="DU154" s="62">
        <f t="shared" si="152"/>
        <v>122.43799205838684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70.937201575913207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70.937201575913207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-3.4106051316484809E-13</v>
      </c>
      <c r="EK154" s="18">
        <f>EJ154*VLOOKUP('Données projet'!$B$15,Paramètres!$A$1:$I$89,3,0)*VLOOKUP('Données projet'!$B$15,Paramètres!$A$1:$I$89,5,0)</f>
        <v>-1.5961632016114892E-13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301.04834785168049</v>
      </c>
      <c r="EP154" s="62">
        <f t="shared" si="154"/>
        <v>164.1450425611464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97.528619466690046</v>
      </c>
      <c r="EW154" s="23">
        <f>EXP(-LN(2)/25)*EW153+(1-EXP(-LN(2)/25))/(LN(2)/25)*Calculateur!ER154*Calculateur!ET154*VLOOKUP('Données projet'!$B$15,Paramètres!$A$1:$I$89,3,0)*0.475*44/12</f>
        <v>16.356882017624077</v>
      </c>
      <c r="EX154" s="23">
        <f>EXP(-LN(2)/2)*EX153+(1-EXP(-LN(2)/2))/(LN(2)/2)*ER154*EU154*VLOOKUP('Données projet'!$B$15,Paramètres!$A$1:$I$89,3,0)*0.475*44/12</f>
        <v>6.8885732812381498E-4</v>
      </c>
      <c r="EY154" s="24">
        <f t="shared" ref="EY154:EY203" si="181">SUM(EV154:EX154)</f>
        <v>113.88619034164225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-2.8421709430404007E-13</v>
      </c>
      <c r="FF154" s="18">
        <f>FE154*VLOOKUP('Données projet'!$B$16,Paramètres!$A$1:$I$89,3,0)*VLOOKUP('Données projet'!$B$16,Paramètres!$A$1:$I$89,5,0)</f>
        <v>-2.5715962692629546E-13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330.53726676433649</v>
      </c>
      <c r="FK154" s="62">
        <f t="shared" si="156"/>
        <v>228.01260676706528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63.384324478469985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63.384324478469985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-2.8421709430404007E-13</v>
      </c>
      <c r="GA154" s="18">
        <f>FZ154*VLOOKUP('Données projet'!$B$17,Paramètres!$A$1:$I$89,3,0)*VLOOKUP('Données projet'!$B$17,Paramètres!$A$1:$I$89,5,0)</f>
        <v>-3.2366642699344083E-13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405.71017054131318</v>
      </c>
      <c r="GF154" s="62">
        <f t="shared" si="158"/>
        <v>276.12900965322166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79.776822188419104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79.776822188419104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-2.8421709430404007E-13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3.0859155231155454E-13</v>
      </c>
      <c r="P155" s="14">
        <f t="shared" si="141"/>
        <v>4.0660414022430783E-12</v>
      </c>
      <c r="Q155" s="22">
        <f t="shared" si="162"/>
        <v>7.619152395849318E-12</v>
      </c>
      <c r="R155" s="62">
        <f t="shared" si="109"/>
        <v>293.33333333334093</v>
      </c>
      <c r="S155" s="62">
        <f ca="1">AVERAGE(OFFSET($R$3,0,0,'Données projet'!$E$9+1,1))-AVERAGE(OFFSET($H$3,0,0,'Données projet'!$E$9+1,1))</f>
        <v>452.54136967045082</v>
      </c>
      <c r="T155" s="62">
        <f t="shared" si="142"/>
        <v>269.67340993773422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112.50599520972668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112.50599520972668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3.4583536034915599E-13</v>
      </c>
      <c r="BF155" s="14">
        <f t="shared" si="167"/>
        <v>4.4967326049770697E-12</v>
      </c>
      <c r="BG155" s="22">
        <f t="shared" si="168"/>
        <v>8.4341392062765094E-12</v>
      </c>
      <c r="BH155" s="62">
        <f t="shared" si="116"/>
        <v>293.33333333334173</v>
      </c>
      <c r="BI155" s="62">
        <f ca="1">AVERAGE(OFFSET($BH$3,0,0,'Données projet'!$E$11+1,1))-AVERAGE(OFFSET($H$3,0,0,'Données projet'!$E$11+1,1))</f>
        <v>502.06005292569733</v>
      </c>
      <c r="BJ155" s="62">
        <f t="shared" si="146"/>
        <v>297.06786598620607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126.08430497641785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126.08430497641785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-2.8421709430404007E-14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-5.1431925385259088E-14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204.787338911576</v>
      </c>
      <c r="CZ155" s="62">
        <f t="shared" si="150"/>
        <v>287.24932051638558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4.179381506627001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4.179381506627001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8.5265128291212022E-14</v>
      </c>
      <c r="DP155" s="18">
        <f>DO155*VLOOKUP('Données projet'!$B$14,Paramètres!$A$1:$I$89,3,0)*VLOOKUP('Données projet'!$B$14,Paramètres!$A$1:$I$89,5,0)</f>
        <v>8.1138296081917361E-14</v>
      </c>
      <c r="DQ155" s="14">
        <f t="shared" si="176"/>
        <v>1.2489471326210353E-12</v>
      </c>
      <c r="DR155" s="22">
        <f t="shared" si="177"/>
        <v>2.3165654549909759E-12</v>
      </c>
      <c r="DS155" s="62">
        <f t="shared" si="125"/>
        <v>293.33333333333564</v>
      </c>
      <c r="DT155" s="62">
        <f ca="1">AVERAGE(OFFSET($DS$3,0,0,'Données projet'!$E$14+1,1))-AVERAGE(OFFSET($H$3,0,0,'Données projet'!$E$14+1,1))</f>
        <v>309.55876703480277</v>
      </c>
      <c r="DU155" s="62">
        <f t="shared" si="152"/>
        <v>122.43799205838684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69.546166320430203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69.546166320430203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-3.4106051316484809E-13</v>
      </c>
      <c r="EK155" s="18">
        <f>EJ155*VLOOKUP('Données projet'!$B$15,Paramètres!$A$1:$I$89,3,0)*VLOOKUP('Données projet'!$B$15,Paramètres!$A$1:$I$89,5,0)</f>
        <v>-1.5961632016114892E-13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301.04834785168049</v>
      </c>
      <c r="EP155" s="62">
        <f t="shared" si="154"/>
        <v>164.1450425611464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95.616142725532313</v>
      </c>
      <c r="EW155" s="23">
        <f>EXP(-LN(2)/25)*EW154+(1-EXP(-LN(2)/25))/(LN(2)/25)*Calculateur!ER155*Calculateur!ET155*VLOOKUP('Données projet'!$B$15,Paramètres!$A$1:$I$89,3,0)*0.475*44/12</f>
        <v>15.909602218681105</v>
      </c>
      <c r="EX155" s="23">
        <f>EXP(-LN(2)/2)*EX154+(1-EXP(-LN(2)/2))/(LN(2)/2)*ER155*EU155*VLOOKUP('Données projet'!$B$15,Paramètres!$A$1:$I$89,3,0)*0.475*44/12</f>
        <v>4.8709568798639626E-4</v>
      </c>
      <c r="EY155" s="24">
        <f t="shared" si="181"/>
        <v>111.5262320399014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-2.8421709430404007E-13</v>
      </c>
      <c r="FF155" s="18">
        <f>FE155*VLOOKUP('Données projet'!$B$16,Paramètres!$A$1:$I$89,3,0)*VLOOKUP('Données projet'!$B$16,Paramètres!$A$1:$I$89,5,0)</f>
        <v>-2.5715962692629546E-13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330.53726676433649</v>
      </c>
      <c r="FK155" s="62">
        <f t="shared" si="156"/>
        <v>228.01260676706528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62.141396536067703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62.141396536067703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-2.8421709430404007E-13</v>
      </c>
      <c r="GA155" s="18">
        <f>FZ155*VLOOKUP('Données projet'!$B$17,Paramètres!$A$1:$I$89,3,0)*VLOOKUP('Données projet'!$B$17,Paramètres!$A$1:$I$89,5,0)</f>
        <v>-3.2366642699344083E-13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405.71017054131318</v>
      </c>
      <c r="GF155" s="62">
        <f t="shared" si="158"/>
        <v>276.12900965322166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78.212447364361054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78.212447364361054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-2.8421709430404007E-13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3.0859155231155454E-13</v>
      </c>
      <c r="P156" s="14">
        <f t="shared" si="141"/>
        <v>4.0660414022430783E-12</v>
      </c>
      <c r="Q156" s="22">
        <f t="shared" si="162"/>
        <v>7.619152395849318E-12</v>
      </c>
      <c r="R156" s="62">
        <f t="shared" si="109"/>
        <v>293.33333333334093</v>
      </c>
      <c r="S156" s="62">
        <f ca="1">AVERAGE(OFFSET($R$3,0,0,'Données projet'!$E$9+1,1))-AVERAGE(OFFSET($H$3,0,0,'Données projet'!$E$9+1,1))</f>
        <v>452.54136967045082</v>
      </c>
      <c r="T156" s="62">
        <f t="shared" si="142"/>
        <v>269.67340993773422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110.29982126554516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110.29982126554516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3.4583536034915599E-13</v>
      </c>
      <c r="BF156" s="14">
        <f t="shared" si="167"/>
        <v>4.4967326049770697E-12</v>
      </c>
      <c r="BG156" s="22">
        <f t="shared" si="168"/>
        <v>8.4341392062765094E-12</v>
      </c>
      <c r="BH156" s="62">
        <f t="shared" si="116"/>
        <v>293.33333333334173</v>
      </c>
      <c r="BI156" s="62">
        <f ca="1">AVERAGE(OFFSET($BH$3,0,0,'Données projet'!$E$11+1,1))-AVERAGE(OFFSET($H$3,0,0,'Données projet'!$E$11+1,1))</f>
        <v>502.06005292569733</v>
      </c>
      <c r="BJ156" s="62">
        <f t="shared" si="146"/>
        <v>297.06786598620607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123.61186865966272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123.61186865966272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-2.8421709430404007E-14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-5.1431925385259088E-14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204.787338911576</v>
      </c>
      <c r="CZ156" s="62">
        <f t="shared" si="150"/>
        <v>287.24932051638558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4.0974263844530547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4.0974263844530547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8.5265128291212022E-14</v>
      </c>
      <c r="DP156" s="18">
        <f>DO156*VLOOKUP('Données projet'!$B$14,Paramètres!$A$1:$I$89,3,0)*VLOOKUP('Données projet'!$B$14,Paramètres!$A$1:$I$89,5,0)</f>
        <v>8.1138296081917361E-14</v>
      </c>
      <c r="DQ156" s="14">
        <f t="shared" si="176"/>
        <v>1.2489471326210353E-12</v>
      </c>
      <c r="DR156" s="22">
        <f t="shared" si="177"/>
        <v>2.3165654549909759E-12</v>
      </c>
      <c r="DS156" s="62">
        <f t="shared" si="125"/>
        <v>293.33333333333564</v>
      </c>
      <c r="DT156" s="62">
        <f ca="1">AVERAGE(OFFSET($DS$3,0,0,'Données projet'!$E$14+1,1))-AVERAGE(OFFSET($H$3,0,0,'Données projet'!$E$14+1,1))</f>
        <v>309.55876703480277</v>
      </c>
      <c r="DU156" s="62">
        <f t="shared" si="152"/>
        <v>122.43799205838684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68.182408417859492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68.182408417859492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-3.4106051316484809E-13</v>
      </c>
      <c r="EK156" s="18">
        <f>EJ156*VLOOKUP('Données projet'!$B$15,Paramètres!$A$1:$I$89,3,0)*VLOOKUP('Données projet'!$B$15,Paramètres!$A$1:$I$89,5,0)</f>
        <v>-1.5961632016114892E-13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301.04834785168049</v>
      </c>
      <c r="EP156" s="62">
        <f t="shared" si="154"/>
        <v>164.1450425611464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93.741168486773063</v>
      </c>
      <c r="EW156" s="23">
        <f>EXP(-LN(2)/25)*EW155+(1-EXP(-LN(2)/25))/(LN(2)/25)*Calculateur!ER156*Calculateur!ET156*VLOOKUP('Données projet'!$B$15,Paramètres!$A$1:$I$89,3,0)*0.475*44/12</f>
        <v>15.474553309361651</v>
      </c>
      <c r="EX156" s="23">
        <f>EXP(-LN(2)/2)*EX155+(1-EXP(-LN(2)/2))/(LN(2)/2)*ER156*EU156*VLOOKUP('Données projet'!$B$15,Paramètres!$A$1:$I$89,3,0)*0.475*44/12</f>
        <v>3.4442866406190754E-4</v>
      </c>
      <c r="EY156" s="24">
        <f t="shared" si="181"/>
        <v>109.21606622479878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-2.8421709430404007E-13</v>
      </c>
      <c r="FF156" s="18">
        <f>FE156*VLOOKUP('Données projet'!$B$16,Paramètres!$A$1:$I$89,3,0)*VLOOKUP('Données projet'!$B$16,Paramètres!$A$1:$I$89,5,0)</f>
        <v>-2.5715962692629546E-13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330.53726676433649</v>
      </c>
      <c r="FK156" s="62">
        <f t="shared" si="156"/>
        <v>228.01260676706528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60.922841652504736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60.922841652504736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-2.8421709430404007E-13</v>
      </c>
      <c r="GA156" s="18">
        <f>FZ156*VLOOKUP('Données projet'!$B$17,Paramètres!$A$1:$I$89,3,0)*VLOOKUP('Données projet'!$B$17,Paramètres!$A$1:$I$89,5,0)</f>
        <v>-3.2366642699344083E-13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405.71017054131318</v>
      </c>
      <c r="GF156" s="62">
        <f t="shared" si="158"/>
        <v>276.12900965322166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76.678748976428366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76.678748976428366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-2.8421709430404007E-13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3.0859155231155454E-13</v>
      </c>
      <c r="P157" s="14">
        <f t="shared" si="141"/>
        <v>4.0660414022430783E-12</v>
      </c>
      <c r="Q157" s="22">
        <f t="shared" si="162"/>
        <v>7.619152395849318E-12</v>
      </c>
      <c r="R157" s="62">
        <f t="shared" si="109"/>
        <v>293.33333333334093</v>
      </c>
      <c r="S157" s="62">
        <f ca="1">AVERAGE(OFFSET($R$3,0,0,'Données projet'!$E$9+1,1))-AVERAGE(OFFSET($H$3,0,0,'Données projet'!$E$9+1,1))</f>
        <v>452.54136967045082</v>
      </c>
      <c r="T157" s="62">
        <f t="shared" si="142"/>
        <v>269.67340993773422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108.13690904677581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108.13690904677581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3.4583536034915599E-13</v>
      </c>
      <c r="BF157" s="14">
        <f t="shared" si="167"/>
        <v>4.4967326049770697E-12</v>
      </c>
      <c r="BG157" s="22">
        <f t="shared" si="168"/>
        <v>8.4341392062765094E-12</v>
      </c>
      <c r="BH157" s="62">
        <f t="shared" si="116"/>
        <v>293.33333333334173</v>
      </c>
      <c r="BI157" s="62">
        <f ca="1">AVERAGE(OFFSET($BH$3,0,0,'Données projet'!$E$11+1,1))-AVERAGE(OFFSET($H$3,0,0,'Données projet'!$E$11+1,1))</f>
        <v>502.06005292569733</v>
      </c>
      <c r="BJ157" s="62">
        <f t="shared" si="146"/>
        <v>297.06786598620607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121.18791531104191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121.18791531104191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-2.8421709430404007E-14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-5.1431925385259088E-14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204.787338911576</v>
      </c>
      <c r="CZ157" s="62">
        <f t="shared" si="150"/>
        <v>287.24932051638558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4.0170783522372506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4.0170783522372506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8.5265128291212022E-14</v>
      </c>
      <c r="DP157" s="18">
        <f>DO157*VLOOKUP('Données projet'!$B$14,Paramètres!$A$1:$I$89,3,0)*VLOOKUP('Données projet'!$B$14,Paramètres!$A$1:$I$89,5,0)</f>
        <v>8.1138296081917361E-14</v>
      </c>
      <c r="DQ157" s="14">
        <f t="shared" si="176"/>
        <v>1.2489471326210353E-12</v>
      </c>
      <c r="DR157" s="22">
        <f t="shared" si="177"/>
        <v>2.3165654549909759E-12</v>
      </c>
      <c r="DS157" s="62">
        <f t="shared" si="125"/>
        <v>293.33333333333564</v>
      </c>
      <c r="DT157" s="62">
        <f ca="1">AVERAGE(OFFSET($DS$3,0,0,'Données projet'!$E$14+1,1))-AVERAGE(OFFSET($H$3,0,0,'Données projet'!$E$14+1,1))</f>
        <v>309.55876703480277</v>
      </c>
      <c r="DU157" s="62">
        <f t="shared" si="152"/>
        <v>122.43799205838684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66.845392975948016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66.845392975948016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-3.4106051316484809E-13</v>
      </c>
      <c r="EK157" s="18">
        <f>EJ157*VLOOKUP('Données projet'!$B$15,Paramètres!$A$1:$I$89,3,0)*VLOOKUP('Données projet'!$B$15,Paramètres!$A$1:$I$89,5,0)</f>
        <v>-1.5961632016114892E-13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301.04834785168049</v>
      </c>
      <c r="EP157" s="62">
        <f t="shared" si="154"/>
        <v>164.1450425611464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91.902961349214507</v>
      </c>
      <c r="EW157" s="23">
        <f>EXP(-LN(2)/25)*EW156+(1-EXP(-LN(2)/25))/(LN(2)/25)*Calculateur!ER157*Calculateur!ET157*VLOOKUP('Données projet'!$B$15,Paramètres!$A$1:$I$89,3,0)*0.475*44/12</f>
        <v>15.051400835345765</v>
      </c>
      <c r="EX157" s="23">
        <f>EXP(-LN(2)/2)*EX156+(1-EXP(-LN(2)/2))/(LN(2)/2)*ER157*EU157*VLOOKUP('Données projet'!$B$15,Paramètres!$A$1:$I$89,3,0)*0.475*44/12</f>
        <v>2.4354784399319816E-4</v>
      </c>
      <c r="EY157" s="24">
        <f t="shared" si="181"/>
        <v>106.95460573240426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-2.8421709430404007E-13</v>
      </c>
      <c r="FF157" s="18">
        <f>FE157*VLOOKUP('Données projet'!$B$16,Paramètres!$A$1:$I$89,3,0)*VLOOKUP('Données projet'!$B$16,Paramètres!$A$1:$I$89,5,0)</f>
        <v>-2.5715962692629546E-13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330.53726676433649</v>
      </c>
      <c r="FK157" s="62">
        <f t="shared" si="156"/>
        <v>228.01260676706528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59.728181886963355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59.728181886963355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-2.8421709430404007E-13</v>
      </c>
      <c r="GA157" s="18">
        <f>FZ157*VLOOKUP('Données projet'!$B$17,Paramètres!$A$1:$I$89,3,0)*VLOOKUP('Données projet'!$B$17,Paramètres!$A$1:$I$89,5,0)</f>
        <v>-3.2366642699344083E-13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405.71017054131318</v>
      </c>
      <c r="GF157" s="62">
        <f t="shared" si="158"/>
        <v>276.12900965322166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75.175125478419389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75.175125478419389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-2.8421709430404007E-13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3.0859155231155454E-13</v>
      </c>
      <c r="P158" s="14">
        <f t="shared" si="141"/>
        <v>4.0660414022430783E-12</v>
      </c>
      <c r="Q158" s="22">
        <f t="shared" si="162"/>
        <v>7.619152395849318E-12</v>
      </c>
      <c r="R158" s="62">
        <f t="shared" si="109"/>
        <v>293.33333333334093</v>
      </c>
      <c r="S158" s="62">
        <f ca="1">AVERAGE(OFFSET($R$3,0,0,'Données projet'!$E$9+1,1))-AVERAGE(OFFSET($H$3,0,0,'Données projet'!$E$9+1,1))</f>
        <v>452.54136967045082</v>
      </c>
      <c r="T158" s="62">
        <f t="shared" si="142"/>
        <v>269.67340993773422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106.01641021737035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106.01641021737035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3.4583536034915599E-13</v>
      </c>
      <c r="BF158" s="14">
        <f t="shared" si="167"/>
        <v>4.4967326049770697E-12</v>
      </c>
      <c r="BG158" s="22">
        <f t="shared" si="168"/>
        <v>8.4341392062765094E-12</v>
      </c>
      <c r="BH158" s="62">
        <f t="shared" si="116"/>
        <v>293.33333333334173</v>
      </c>
      <c r="BI158" s="62">
        <f ca="1">AVERAGE(OFFSET($BH$3,0,0,'Données projet'!$E$11+1,1))-AVERAGE(OFFSET($H$3,0,0,'Données projet'!$E$11+1,1))</f>
        <v>502.06005292569733</v>
      </c>
      <c r="BJ158" s="62">
        <f t="shared" si="146"/>
        <v>297.06786598620607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118.81149420912199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118.81149420912199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-2.8421709430404007E-14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-5.1431925385259088E-14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204.787338911576</v>
      </c>
      <c r="CZ158" s="62">
        <f t="shared" si="150"/>
        <v>287.24932051638558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3.9383058959257382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3.9383058959257382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8.5265128291212022E-14</v>
      </c>
      <c r="DP158" s="18">
        <f>DO158*VLOOKUP('Données projet'!$B$14,Paramètres!$A$1:$I$89,3,0)*VLOOKUP('Données projet'!$B$14,Paramètres!$A$1:$I$89,5,0)</f>
        <v>8.1138296081917361E-14</v>
      </c>
      <c r="DQ158" s="14">
        <f t="shared" si="176"/>
        <v>1.2489471326210353E-12</v>
      </c>
      <c r="DR158" s="22">
        <f t="shared" si="177"/>
        <v>2.3165654549909759E-12</v>
      </c>
      <c r="DS158" s="62">
        <f t="shared" si="125"/>
        <v>293.33333333333564</v>
      </c>
      <c r="DT158" s="62">
        <f ca="1">AVERAGE(OFFSET($DS$3,0,0,'Données projet'!$E$14+1,1))-AVERAGE(OFFSET($H$3,0,0,'Données projet'!$E$14+1,1))</f>
        <v>309.55876703480277</v>
      </c>
      <c r="DU158" s="62">
        <f t="shared" si="152"/>
        <v>122.43799205838684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65.534595591353522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65.534595591353522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-3.4106051316484809E-13</v>
      </c>
      <c r="EK158" s="18">
        <f>EJ158*VLOOKUP('Données projet'!$B$15,Paramètres!$A$1:$I$89,3,0)*VLOOKUP('Données projet'!$B$15,Paramètres!$A$1:$I$89,5,0)</f>
        <v>-1.5961632016114892E-13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301.04834785168049</v>
      </c>
      <c r="EP158" s="62">
        <f t="shared" si="154"/>
        <v>164.1450425611464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90.100800332427838</v>
      </c>
      <c r="EW158" s="23">
        <f>EXP(-LN(2)/25)*EW157+(1-EXP(-LN(2)/25))/(LN(2)/25)*Calculateur!ER158*Calculateur!ET158*VLOOKUP('Données projet'!$B$15,Paramètres!$A$1:$I$89,3,0)*0.475*44/12</f>
        <v>14.639819487984466</v>
      </c>
      <c r="EX158" s="23">
        <f>EXP(-LN(2)/2)*EX157+(1-EXP(-LN(2)/2))/(LN(2)/2)*ER158*EU158*VLOOKUP('Données projet'!$B$15,Paramètres!$A$1:$I$89,3,0)*0.475*44/12</f>
        <v>1.722143320309538E-4</v>
      </c>
      <c r="EY158" s="24">
        <f t="shared" si="181"/>
        <v>104.74079203474433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-2.8421709430404007E-13</v>
      </c>
      <c r="FF158" s="18">
        <f>FE158*VLOOKUP('Données projet'!$B$16,Paramètres!$A$1:$I$89,3,0)*VLOOKUP('Données projet'!$B$16,Paramètres!$A$1:$I$89,5,0)</f>
        <v>-2.5715962692629546E-13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330.53726676433649</v>
      </c>
      <c r="FK158" s="62">
        <f t="shared" si="156"/>
        <v>228.01260676706528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58.556948670753734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58.556948670753734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-2.8421709430404007E-13</v>
      </c>
      <c r="GA158" s="18">
        <f>FZ158*VLOOKUP('Données projet'!$B$17,Paramètres!$A$1:$I$89,3,0)*VLOOKUP('Données projet'!$B$17,Paramètres!$A$1:$I$89,5,0)</f>
        <v>-3.2366642699344083E-13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405.71017054131318</v>
      </c>
      <c r="GF158" s="62">
        <f t="shared" si="158"/>
        <v>276.12900965322166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73.700987120086594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73.700987120086594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-2.8421709430404007E-13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3.0859155231155454E-13</v>
      </c>
      <c r="P159" s="14">
        <f t="shared" si="141"/>
        <v>4.0660414022430783E-12</v>
      </c>
      <c r="Q159" s="22">
        <f t="shared" si="162"/>
        <v>7.619152395849318E-12</v>
      </c>
      <c r="R159" s="62">
        <f t="shared" si="109"/>
        <v>293.33333333334093</v>
      </c>
      <c r="S159" s="62">
        <f ca="1">AVERAGE(OFFSET($R$3,0,0,'Données projet'!$E$9+1,1))-AVERAGE(OFFSET($H$3,0,0,'Données projet'!$E$9+1,1))</f>
        <v>452.54136967045082</v>
      </c>
      <c r="T159" s="62">
        <f t="shared" si="142"/>
        <v>269.67340993773422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103.93749307663295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103.93749307663295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3.4583536034915599E-13</v>
      </c>
      <c r="BF159" s="14">
        <f t="shared" si="167"/>
        <v>4.4967326049770697E-12</v>
      </c>
      <c r="BG159" s="22">
        <f t="shared" si="168"/>
        <v>8.4341392062765094E-12</v>
      </c>
      <c r="BH159" s="62">
        <f t="shared" si="116"/>
        <v>293.33333333334173</v>
      </c>
      <c r="BI159" s="62">
        <f ca="1">AVERAGE(OFFSET($BH$3,0,0,'Données projet'!$E$11+1,1))-AVERAGE(OFFSET($H$3,0,0,'Données projet'!$E$11+1,1))</f>
        <v>502.06005292569733</v>
      </c>
      <c r="BJ159" s="62">
        <f t="shared" si="146"/>
        <v>297.06786598620607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116.48167327553696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116.48167327553696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-2.8421709430404007E-14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-5.1431925385259088E-14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204.787338911576</v>
      </c>
      <c r="CZ159" s="62">
        <f t="shared" si="150"/>
        <v>287.24932051638558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3.8610781194360406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3.8610781194360406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8.5265128291212022E-14</v>
      </c>
      <c r="DP159" s="18">
        <f>DO159*VLOOKUP('Données projet'!$B$14,Paramètres!$A$1:$I$89,3,0)*VLOOKUP('Données projet'!$B$14,Paramètres!$A$1:$I$89,5,0)</f>
        <v>8.1138296081917361E-14</v>
      </c>
      <c r="DQ159" s="14">
        <f t="shared" si="176"/>
        <v>1.2489471326210353E-12</v>
      </c>
      <c r="DR159" s="22">
        <f t="shared" si="177"/>
        <v>2.3165654549909759E-12</v>
      </c>
      <c r="DS159" s="62">
        <f t="shared" si="125"/>
        <v>293.33333333333564</v>
      </c>
      <c r="DT159" s="62">
        <f ca="1">AVERAGE(OFFSET($DS$3,0,0,'Données projet'!$E$14+1,1))-AVERAGE(OFFSET($H$3,0,0,'Données projet'!$E$14+1,1))</f>
        <v>309.55876703480277</v>
      </c>
      <c r="DU159" s="62">
        <f t="shared" si="152"/>
        <v>122.43799205838684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64.249502143963468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64.249502143963468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-3.4106051316484809E-13</v>
      </c>
      <c r="EK159" s="18">
        <f>EJ159*VLOOKUP('Données projet'!$B$15,Paramètres!$A$1:$I$89,3,0)*VLOOKUP('Données projet'!$B$15,Paramètres!$A$1:$I$89,5,0)</f>
        <v>-1.5961632016114892E-13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301.04834785168049</v>
      </c>
      <c r="EP159" s="62">
        <f t="shared" si="154"/>
        <v>164.1450425611464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88.33397859397067</v>
      </c>
      <c r="EW159" s="23">
        <f>EXP(-LN(2)/25)*EW158+(1-EXP(-LN(2)/25))/(LN(2)/25)*Calculateur!ER159*Calculateur!ET159*VLOOKUP('Données projet'!$B$15,Paramètres!$A$1:$I$89,3,0)*0.475*44/12</f>
        <v>14.239492854210884</v>
      </c>
      <c r="EX159" s="23">
        <f>EXP(-LN(2)/2)*EX158+(1-EXP(-LN(2)/2))/(LN(2)/2)*ER159*EU159*VLOOKUP('Données projet'!$B$15,Paramètres!$A$1:$I$89,3,0)*0.475*44/12</f>
        <v>1.2177392199659911E-4</v>
      </c>
      <c r="EY159" s="24">
        <f t="shared" si="181"/>
        <v>102.57359322210354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-2.8421709430404007E-13</v>
      </c>
      <c r="FF159" s="18">
        <f>FE159*VLOOKUP('Données projet'!$B$16,Paramètres!$A$1:$I$89,3,0)*VLOOKUP('Données projet'!$B$16,Paramètres!$A$1:$I$89,5,0)</f>
        <v>-2.5715962692629546E-13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330.53726676433649</v>
      </c>
      <c r="FK159" s="62">
        <f t="shared" si="156"/>
        <v>228.01260676706528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57.408682623532258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57.408682623532258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-2.8421709430404007E-13</v>
      </c>
      <c r="GA159" s="18">
        <f>FZ159*VLOOKUP('Données projet'!$B$17,Paramètres!$A$1:$I$89,3,0)*VLOOKUP('Données projet'!$B$17,Paramètres!$A$1:$I$89,5,0)</f>
        <v>-3.2366642699344083E-13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405.71017054131318</v>
      </c>
      <c r="GF159" s="62">
        <f t="shared" si="158"/>
        <v>276.12900965322166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72.255755715825089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72.255755715825089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-2.8421709430404007E-13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3.0859155231155454E-13</v>
      </c>
      <c r="P160" s="14">
        <f t="shared" si="141"/>
        <v>4.0660414022430783E-12</v>
      </c>
      <c r="Q160" s="22">
        <f t="shared" si="162"/>
        <v>7.619152395849318E-12</v>
      </c>
      <c r="R160" s="62">
        <f t="shared" si="109"/>
        <v>293.33333333334093</v>
      </c>
      <c r="S160" s="62">
        <f ca="1">AVERAGE(OFFSET($R$3,0,0,'Données projet'!$E$9+1,1))-AVERAGE(OFFSET($H$3,0,0,'Données projet'!$E$9+1,1))</f>
        <v>452.54136967045082</v>
      </c>
      <c r="T160" s="62">
        <f t="shared" si="142"/>
        <v>269.67340993773422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101.89934223301115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101.89934223301115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3.4583536034915599E-13</v>
      </c>
      <c r="BF160" s="14">
        <f t="shared" si="167"/>
        <v>4.4967326049770697E-12</v>
      </c>
      <c r="BG160" s="22">
        <f t="shared" si="168"/>
        <v>8.4341392062765094E-12</v>
      </c>
      <c r="BH160" s="62">
        <f t="shared" si="116"/>
        <v>293.33333333334173</v>
      </c>
      <c r="BI160" s="62">
        <f ca="1">AVERAGE(OFFSET($BH$3,0,0,'Données projet'!$E$11+1,1))-AVERAGE(OFFSET($H$3,0,0,'Données projet'!$E$11+1,1))</f>
        <v>502.06005292569733</v>
      </c>
      <c r="BJ160" s="62">
        <f t="shared" si="146"/>
        <v>297.06786598620607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114.19753870940909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114.19753870940909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-2.8421709430404007E-14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-5.1431925385259088E-14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204.787338911576</v>
      </c>
      <c r="CZ160" s="62">
        <f t="shared" si="150"/>
        <v>287.24932051638558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3.7853647325390134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3.7853647325390134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8.5265128291212022E-14</v>
      </c>
      <c r="DP160" s="18">
        <f>DO160*VLOOKUP('Données projet'!$B$14,Paramètres!$A$1:$I$89,3,0)*VLOOKUP('Données projet'!$B$14,Paramètres!$A$1:$I$89,5,0)</f>
        <v>8.1138296081917361E-14</v>
      </c>
      <c r="DQ160" s="14">
        <f t="shared" si="176"/>
        <v>1.2489471326210353E-12</v>
      </c>
      <c r="DR160" s="22">
        <f t="shared" si="177"/>
        <v>2.3165654549909759E-12</v>
      </c>
      <c r="DS160" s="62">
        <f t="shared" si="125"/>
        <v>293.33333333333564</v>
      </c>
      <c r="DT160" s="62">
        <f ca="1">AVERAGE(OFFSET($DS$3,0,0,'Données projet'!$E$14+1,1))-AVERAGE(OFFSET($H$3,0,0,'Données projet'!$E$14+1,1))</f>
        <v>309.55876703480277</v>
      </c>
      <c r="DU160" s="62">
        <f t="shared" si="152"/>
        <v>122.43799205838684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62.989608595247127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62.989608595247127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-3.4106051316484809E-13</v>
      </c>
      <c r="EK160" s="18">
        <f>EJ160*VLOOKUP('Données projet'!$B$15,Paramètres!$A$1:$I$89,3,0)*VLOOKUP('Données projet'!$B$15,Paramètres!$A$1:$I$89,5,0)</f>
        <v>-1.5961632016114892E-13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301.04834785168049</v>
      </c>
      <c r="EP160" s="62">
        <f t="shared" si="154"/>
        <v>164.1450425611464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86.601803152149799</v>
      </c>
      <c r="EW160" s="23">
        <f>EXP(-LN(2)/25)*EW159+(1-EXP(-LN(2)/25))/(LN(2)/25)*Calculateur!ER160*Calculateur!ET160*VLOOKUP('Données projet'!$B$15,Paramètres!$A$1:$I$89,3,0)*0.475*44/12</f>
        <v>13.850113173290103</v>
      </c>
      <c r="EX160" s="23">
        <f>EXP(-LN(2)/2)*EX159+(1-EXP(-LN(2)/2))/(LN(2)/2)*ER160*EU160*VLOOKUP('Données projet'!$B$15,Paramètres!$A$1:$I$89,3,0)*0.475*44/12</f>
        <v>8.6107166015476913E-5</v>
      </c>
      <c r="EY160" s="24">
        <f t="shared" si="181"/>
        <v>100.45200243260591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-2.8421709430404007E-13</v>
      </c>
      <c r="FF160" s="18">
        <f>FE160*VLOOKUP('Données projet'!$B$16,Paramètres!$A$1:$I$89,3,0)*VLOOKUP('Données projet'!$B$16,Paramètres!$A$1:$I$89,5,0)</f>
        <v>-2.5715962692629546E-13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330.53726676433649</v>
      </c>
      <c r="FK160" s="62">
        <f t="shared" si="156"/>
        <v>228.01260676706528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56.282933373123662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56.282933373123662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-2.8421709430404007E-13</v>
      </c>
      <c r="GA160" s="18">
        <f>FZ160*VLOOKUP('Données projet'!$B$17,Paramètres!$A$1:$I$89,3,0)*VLOOKUP('Données projet'!$B$17,Paramètres!$A$1:$I$89,5,0)</f>
        <v>-3.2366642699344083E-13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405.71017054131318</v>
      </c>
      <c r="GF160" s="62">
        <f t="shared" si="158"/>
        <v>276.12900965322166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70.838864417897028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70.838864417897028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-2.8421709430404007E-13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3.0859155231155454E-13</v>
      </c>
      <c r="P161" s="14">
        <f t="shared" si="141"/>
        <v>4.0660414022430783E-12</v>
      </c>
      <c r="Q161" s="22">
        <f t="shared" si="162"/>
        <v>7.619152395849318E-12</v>
      </c>
      <c r="R161" s="62">
        <f t="shared" si="109"/>
        <v>293.33333333334093</v>
      </c>
      <c r="S161" s="62">
        <f ca="1">AVERAGE(OFFSET($R$3,0,0,'Données projet'!$E$9+1,1))-AVERAGE(OFFSET($H$3,0,0,'Données projet'!$E$9+1,1))</f>
        <v>452.54136967045082</v>
      </c>
      <c r="T161" s="62">
        <f t="shared" si="142"/>
        <v>269.67340993773422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99.901158284283525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99.901158284283525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3.4583536034915599E-13</v>
      </c>
      <c r="BF161" s="14">
        <f t="shared" si="167"/>
        <v>4.4967326049770697E-12</v>
      </c>
      <c r="BG161" s="22">
        <f t="shared" si="168"/>
        <v>8.4341392062765094E-12</v>
      </c>
      <c r="BH161" s="62">
        <f t="shared" si="116"/>
        <v>293.33333333334173</v>
      </c>
      <c r="BI161" s="62">
        <f ca="1">AVERAGE(OFFSET($BH$3,0,0,'Données projet'!$E$11+1,1))-AVERAGE(OFFSET($H$3,0,0,'Données projet'!$E$11+1,1))</f>
        <v>502.06005292569733</v>
      </c>
      <c r="BJ161" s="62">
        <f t="shared" si="146"/>
        <v>297.06786598620607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111.95819462893846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111.95819462893846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-2.8421709430404007E-14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-5.1431925385259088E-14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204.787338911576</v>
      </c>
      <c r="CZ161" s="62">
        <f t="shared" si="150"/>
        <v>287.24932051638558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3.7111360389784309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3.7111360389784309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8.5265128291212022E-14</v>
      </c>
      <c r="DP161" s="18">
        <f>DO161*VLOOKUP('Données projet'!$B$14,Paramètres!$A$1:$I$89,3,0)*VLOOKUP('Données projet'!$B$14,Paramètres!$A$1:$I$89,5,0)</f>
        <v>8.1138296081917361E-14</v>
      </c>
      <c r="DQ161" s="14">
        <f t="shared" si="176"/>
        <v>1.2489471326210353E-12</v>
      </c>
      <c r="DR161" s="22">
        <f t="shared" si="177"/>
        <v>2.3165654549909759E-12</v>
      </c>
      <c r="DS161" s="62">
        <f t="shared" si="125"/>
        <v>293.33333333333564</v>
      </c>
      <c r="DT161" s="62">
        <f ca="1">AVERAGE(OFFSET($DS$3,0,0,'Données projet'!$E$14+1,1))-AVERAGE(OFFSET($H$3,0,0,'Données projet'!$E$14+1,1))</f>
        <v>309.55876703480277</v>
      </c>
      <c r="DU161" s="62">
        <f t="shared" si="152"/>
        <v>122.43799205838684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61.75442079056193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61.75442079056193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-3.4106051316484809E-13</v>
      </c>
      <c r="EK161" s="18">
        <f>EJ161*VLOOKUP('Données projet'!$B$15,Paramètres!$A$1:$I$89,3,0)*VLOOKUP('Données projet'!$B$15,Paramètres!$A$1:$I$89,5,0)</f>
        <v>-1.5961632016114892E-13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301.04834785168049</v>
      </c>
      <c r="EP161" s="62">
        <f t="shared" si="154"/>
        <v>164.1450425611464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84.903594614220339</v>
      </c>
      <c r="EW161" s="23">
        <f>EXP(-LN(2)/25)*EW160+(1-EXP(-LN(2)/25))/(LN(2)/25)*Calculateur!ER161*Calculateur!ET161*VLOOKUP('Données projet'!$B$15,Paramètres!$A$1:$I$89,3,0)*0.475*44/12</f>
        <v>13.471381100220688</v>
      </c>
      <c r="EX161" s="23">
        <f>EXP(-LN(2)/2)*EX160+(1-EXP(-LN(2)/2))/(LN(2)/2)*ER161*EU161*VLOOKUP('Données projet'!$B$15,Paramètres!$A$1:$I$89,3,0)*0.475*44/12</f>
        <v>6.0886960998299559E-5</v>
      </c>
      <c r="EY161" s="24">
        <f t="shared" si="181"/>
        <v>98.375036601402016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-2.8421709430404007E-13</v>
      </c>
      <c r="FF161" s="18">
        <f>FE161*VLOOKUP('Données projet'!$B$16,Paramètres!$A$1:$I$89,3,0)*VLOOKUP('Données projet'!$B$16,Paramètres!$A$1:$I$89,5,0)</f>
        <v>-2.5715962692629546E-13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330.53726676433649</v>
      </c>
      <c r="FK161" s="62">
        <f t="shared" si="156"/>
        <v>228.01260676706528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55.179259378876338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55.179259378876338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-2.8421709430404007E-13</v>
      </c>
      <c r="GA161" s="18">
        <f>FZ161*VLOOKUP('Données projet'!$B$17,Paramètres!$A$1:$I$89,3,0)*VLOOKUP('Données projet'!$B$17,Paramètres!$A$1:$I$89,5,0)</f>
        <v>-3.2366642699344083E-13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405.71017054131318</v>
      </c>
      <c r="GF161" s="62">
        <f t="shared" si="158"/>
        <v>276.12900965322166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69.449757494102982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69.449757494102982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-2.8421709430404007E-13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3.0859155231155454E-13</v>
      </c>
      <c r="P162" s="14">
        <f t="shared" si="141"/>
        <v>4.0660414022430783E-12</v>
      </c>
      <c r="Q162" s="22">
        <f t="shared" si="162"/>
        <v>7.619152395849318E-12</v>
      </c>
      <c r="R162" s="62">
        <f t="shared" si="109"/>
        <v>293.33333333334093</v>
      </c>
      <c r="S162" s="62">
        <f ca="1">AVERAGE(OFFSET($R$3,0,0,'Données projet'!$E$9+1,1))-AVERAGE(OFFSET($H$3,0,0,'Données projet'!$E$9+1,1))</f>
        <v>452.54136967045082</v>
      </c>
      <c r="T162" s="62">
        <f t="shared" si="142"/>
        <v>269.67340993773422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97.942157504018581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97.942157504018581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3.4583536034915599E-13</v>
      </c>
      <c r="BF162" s="14">
        <f t="shared" si="167"/>
        <v>4.4967326049770697E-12</v>
      </c>
      <c r="BG162" s="22">
        <f t="shared" si="168"/>
        <v>8.4341392062765094E-12</v>
      </c>
      <c r="BH162" s="62">
        <f t="shared" si="116"/>
        <v>293.33333333334173</v>
      </c>
      <c r="BI162" s="62">
        <f ca="1">AVERAGE(OFFSET($BH$3,0,0,'Données projet'!$E$11+1,1))-AVERAGE(OFFSET($H$3,0,0,'Données projet'!$E$11+1,1))</f>
        <v>502.06005292569733</v>
      </c>
      <c r="BJ162" s="62">
        <f t="shared" si="146"/>
        <v>297.06786598620607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109.76276272002085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109.76276272002085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-2.8421709430404007E-14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-5.1431925385259088E-14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204.787338911576</v>
      </c>
      <c r="CZ162" s="62">
        <f t="shared" si="150"/>
        <v>287.24932051638558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3.638362924823539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3.638362924823539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8.5265128291212022E-14</v>
      </c>
      <c r="DP162" s="18">
        <f>DO162*VLOOKUP('Données projet'!$B$14,Paramètres!$A$1:$I$89,3,0)*VLOOKUP('Données projet'!$B$14,Paramètres!$A$1:$I$89,5,0)</f>
        <v>8.1138296081917361E-14</v>
      </c>
      <c r="DQ162" s="14">
        <f t="shared" si="176"/>
        <v>1.2489471326210353E-12</v>
      </c>
      <c r="DR162" s="22">
        <f t="shared" si="177"/>
        <v>2.3165654549909759E-12</v>
      </c>
      <c r="DS162" s="62">
        <f t="shared" si="125"/>
        <v>293.33333333333564</v>
      </c>
      <c r="DT162" s="62">
        <f ca="1">AVERAGE(OFFSET($DS$3,0,0,'Données projet'!$E$14+1,1))-AVERAGE(OFFSET($H$3,0,0,'Données projet'!$E$14+1,1))</f>
        <v>309.55876703480277</v>
      </c>
      <c r="DU162" s="62">
        <f t="shared" si="152"/>
        <v>122.43799205838684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60.543454265336436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60.543454265336436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-3.4106051316484809E-13</v>
      </c>
      <c r="EK162" s="18">
        <f>EJ162*VLOOKUP('Données projet'!$B$15,Paramètres!$A$1:$I$89,3,0)*VLOOKUP('Données projet'!$B$15,Paramètres!$A$1:$I$89,5,0)</f>
        <v>-1.5961632016114892E-13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301.04834785168049</v>
      </c>
      <c r="EP162" s="62">
        <f t="shared" si="154"/>
        <v>164.1450425611464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83.238686909914748</v>
      </c>
      <c r="EW162" s="23">
        <f>EXP(-LN(2)/25)*EW161+(1-EXP(-LN(2)/25))/(LN(2)/25)*Calculateur!ER162*Calculateur!ET162*VLOOKUP('Données projet'!$B$15,Paramètres!$A$1:$I$89,3,0)*0.475*44/12</f>
        <v>13.103005475606011</v>
      </c>
      <c r="EX162" s="23">
        <f>EXP(-LN(2)/2)*EX161+(1-EXP(-LN(2)/2))/(LN(2)/2)*ER162*EU162*VLOOKUP('Données projet'!$B$15,Paramètres!$A$1:$I$89,3,0)*0.475*44/12</f>
        <v>4.3053583007738463E-5</v>
      </c>
      <c r="EY162" s="24">
        <f t="shared" si="181"/>
        <v>96.341735439103772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-2.8421709430404007E-13</v>
      </c>
      <c r="FF162" s="18">
        <f>FE162*VLOOKUP('Données projet'!$B$16,Paramètres!$A$1:$I$89,3,0)*VLOOKUP('Données projet'!$B$16,Paramètres!$A$1:$I$89,5,0)</f>
        <v>-2.5715962692629546E-13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330.53726676433649</v>
      </c>
      <c r="FK162" s="62">
        <f t="shared" si="156"/>
        <v>228.01260676706528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54.097227758481537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54.097227758481537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-2.8421709430404007E-13</v>
      </c>
      <c r="GA162" s="18">
        <f>FZ162*VLOOKUP('Données projet'!$B$17,Paramètres!$A$1:$I$89,3,0)*VLOOKUP('Données projet'!$B$17,Paramètres!$A$1:$I$89,5,0)</f>
        <v>-3.2366642699344083E-13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405.71017054131318</v>
      </c>
      <c r="GF162" s="62">
        <f t="shared" si="158"/>
        <v>276.12900965322166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68.087890109812975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68.087890109812975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-2.8421709430404007E-13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3.0859155231155454E-13</v>
      </c>
      <c r="P163" s="14">
        <f t="shared" si="141"/>
        <v>4.0660414022430783E-12</v>
      </c>
      <c r="Q163" s="22">
        <f t="shared" si="162"/>
        <v>7.619152395849318E-12</v>
      </c>
      <c r="R163" s="62">
        <f t="shared" si="109"/>
        <v>293.33333333334093</v>
      </c>
      <c r="S163" s="62">
        <f ca="1">AVERAGE(OFFSET($R$3,0,0,'Données projet'!$E$9+1,1))-AVERAGE(OFFSET($H$3,0,0,'Données projet'!$E$9+1,1))</f>
        <v>452.54136967045082</v>
      </c>
      <c r="T163" s="62">
        <f t="shared" si="142"/>
        <v>269.67340993773422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96.021571534182129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96.021571534182129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3.4583536034915599E-13</v>
      </c>
      <c r="BF163" s="14">
        <f t="shared" si="167"/>
        <v>4.4967326049770697E-12</v>
      </c>
      <c r="BG163" s="22">
        <f t="shared" si="168"/>
        <v>8.4341392062765094E-12</v>
      </c>
      <c r="BH163" s="62">
        <f t="shared" si="116"/>
        <v>293.33333333334173</v>
      </c>
      <c r="BI163" s="62">
        <f ca="1">AVERAGE(OFFSET($BH$3,0,0,'Données projet'!$E$11+1,1))-AVERAGE(OFFSET($H$3,0,0,'Données projet'!$E$11+1,1))</f>
        <v>502.06005292569733</v>
      </c>
      <c r="BJ163" s="62">
        <f t="shared" si="146"/>
        <v>297.06786598620607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107.61038189175586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107.61038189175586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-2.8421709430404007E-14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-5.1431925385259088E-14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204.787338911576</v>
      </c>
      <c r="CZ163" s="62">
        <f t="shared" si="150"/>
        <v>287.24932051638558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3.5670168470500077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3.5670168470500077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8.5265128291212022E-14</v>
      </c>
      <c r="DP163" s="18">
        <f>DO163*VLOOKUP('Données projet'!$B$14,Paramètres!$A$1:$I$89,3,0)*VLOOKUP('Données projet'!$B$14,Paramètres!$A$1:$I$89,5,0)</f>
        <v>8.1138296081917361E-14</v>
      </c>
      <c r="DQ163" s="14">
        <f t="shared" si="176"/>
        <v>1.2489471326210353E-12</v>
      </c>
      <c r="DR163" s="22">
        <f t="shared" si="177"/>
        <v>2.3165654549909759E-12</v>
      </c>
      <c r="DS163" s="62">
        <f t="shared" si="125"/>
        <v>293.33333333333564</v>
      </c>
      <c r="DT163" s="62">
        <f ca="1">AVERAGE(OFFSET($DS$3,0,0,'Données projet'!$E$14+1,1))-AVERAGE(OFFSET($H$3,0,0,'Données projet'!$E$14+1,1))</f>
        <v>309.55876703480277</v>
      </c>
      <c r="DU163" s="62">
        <f t="shared" si="152"/>
        <v>122.43799205838684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59.356234055053967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59.356234055053967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-3.4106051316484809E-13</v>
      </c>
      <c r="EK163" s="18">
        <f>EJ163*VLOOKUP('Données projet'!$B$15,Paramètres!$A$1:$I$89,3,0)*VLOOKUP('Données projet'!$B$15,Paramètres!$A$1:$I$89,5,0)</f>
        <v>-1.5961632016114892E-13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301.04834785168049</v>
      </c>
      <c r="EP163" s="62">
        <f t="shared" si="154"/>
        <v>164.1450425611464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81.606427030197153</v>
      </c>
      <c r="EW163" s="23">
        <f>EXP(-LN(2)/25)*EW162+(1-EXP(-LN(2)/25))/(LN(2)/25)*Calculateur!ER163*Calculateur!ET163*VLOOKUP('Données projet'!$B$15,Paramètres!$A$1:$I$89,3,0)*0.475*44/12</f>
        <v>12.744703101818454</v>
      </c>
      <c r="EX163" s="23">
        <f>EXP(-LN(2)/2)*EX162+(1-EXP(-LN(2)/2))/(LN(2)/2)*ER163*EU163*VLOOKUP('Données projet'!$B$15,Paramètres!$A$1:$I$89,3,0)*0.475*44/12</f>
        <v>3.0443480499149783E-5</v>
      </c>
      <c r="EY163" s="24">
        <f t="shared" si="181"/>
        <v>94.35116057549611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-2.8421709430404007E-13</v>
      </c>
      <c r="FF163" s="18">
        <f>FE163*VLOOKUP('Données projet'!$B$16,Paramètres!$A$1:$I$89,3,0)*VLOOKUP('Données projet'!$B$16,Paramètres!$A$1:$I$89,5,0)</f>
        <v>-2.5715962692629546E-13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330.53726676433649</v>
      </c>
      <c r="FK163" s="62">
        <f t="shared" si="156"/>
        <v>228.01260676706528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53.03641411818856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53.03641411818856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-2.8421709430404007E-13</v>
      </c>
      <c r="GA163" s="18">
        <f>FZ163*VLOOKUP('Données projet'!$B$17,Paramètres!$A$1:$I$89,3,0)*VLOOKUP('Données projet'!$B$17,Paramètres!$A$1:$I$89,5,0)</f>
        <v>-3.2366642699344083E-13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405.71017054131318</v>
      </c>
      <c r="GF163" s="62">
        <f t="shared" si="158"/>
        <v>276.12900965322166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66.752728114271804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66.752728114271804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-2.8421709430404007E-13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3.0859155231155454E-13</v>
      </c>
      <c r="P164" s="14">
        <f t="shared" si="141"/>
        <v>4.0660414022430783E-12</v>
      </c>
      <c r="Q164" s="22">
        <f t="shared" si="162"/>
        <v>7.619152395849318E-12</v>
      </c>
      <c r="R164" s="62">
        <f t="shared" si="109"/>
        <v>293.33333333334093</v>
      </c>
      <c r="S164" s="62">
        <f ca="1">AVERAGE(OFFSET($R$3,0,0,'Données projet'!$E$9+1,1))-AVERAGE(OFFSET($H$3,0,0,'Données projet'!$E$9+1,1))</f>
        <v>452.54136967045082</v>
      </c>
      <c r="T164" s="62">
        <f t="shared" si="142"/>
        <v>269.67340993773422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94.138647083772412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94.138647083772412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3.4583536034915599E-13</v>
      </c>
      <c r="BF164" s="14">
        <f t="shared" si="167"/>
        <v>4.4967326049770697E-12</v>
      </c>
      <c r="BG164" s="22">
        <f t="shared" si="168"/>
        <v>8.4341392062765094E-12</v>
      </c>
      <c r="BH164" s="62">
        <f t="shared" si="116"/>
        <v>293.33333333334173</v>
      </c>
      <c r="BI164" s="62">
        <f ca="1">AVERAGE(OFFSET($BH$3,0,0,'Données projet'!$E$11+1,1))-AVERAGE(OFFSET($H$3,0,0,'Données projet'!$E$11+1,1))</f>
        <v>502.06005292569733</v>
      </c>
      <c r="BJ164" s="62">
        <f t="shared" si="146"/>
        <v>297.06786598620607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105.50020793871049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105.50020793871049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-2.8421709430404007E-14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-5.1431925385259088E-14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204.787338911576</v>
      </c>
      <c r="CZ164" s="62">
        <f t="shared" si="150"/>
        <v>287.24932051638558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3.4970698223448045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3.4970698223448045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8.5265128291212022E-14</v>
      </c>
      <c r="DP164" s="18">
        <f>DO164*VLOOKUP('Données projet'!$B$14,Paramètres!$A$1:$I$89,3,0)*VLOOKUP('Données projet'!$B$14,Paramètres!$A$1:$I$89,5,0)</f>
        <v>8.1138296081917361E-14</v>
      </c>
      <c r="DQ164" s="14">
        <f t="shared" si="176"/>
        <v>1.2489471326210353E-12</v>
      </c>
      <c r="DR164" s="22">
        <f t="shared" si="177"/>
        <v>2.3165654549909759E-12</v>
      </c>
      <c r="DS164" s="62">
        <f t="shared" si="125"/>
        <v>293.33333333333564</v>
      </c>
      <c r="DT164" s="62">
        <f ca="1">AVERAGE(OFFSET($DS$3,0,0,'Données projet'!$E$14+1,1))-AVERAGE(OFFSET($H$3,0,0,'Données projet'!$E$14+1,1))</f>
        <v>309.55876703480277</v>
      </c>
      <c r="DU164" s="62">
        <f t="shared" si="152"/>
        <v>122.43799205838684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58.192294508962313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58.192294508962313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-3.4106051316484809E-13</v>
      </c>
      <c r="EK164" s="18">
        <f>EJ164*VLOOKUP('Données projet'!$B$15,Paramètres!$A$1:$I$89,3,0)*VLOOKUP('Données projet'!$B$15,Paramètres!$A$1:$I$89,5,0)</f>
        <v>-1.5961632016114892E-13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301.04834785168049</v>
      </c>
      <c r="EP164" s="62">
        <f t="shared" si="154"/>
        <v>164.1450425611464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80.006174771140607</v>
      </c>
      <c r="EW164" s="23">
        <f>EXP(-LN(2)/25)*EW163+(1-EXP(-LN(2)/25))/(LN(2)/25)*Calculateur!ER164*Calculateur!ET164*VLOOKUP('Données projet'!$B$15,Paramètres!$A$1:$I$89,3,0)*0.475*44/12</f>
        <v>12.39619852528442</v>
      </c>
      <c r="EX164" s="23">
        <f>EXP(-LN(2)/2)*EX163+(1-EXP(-LN(2)/2))/(LN(2)/2)*ER164*EU164*VLOOKUP('Données projet'!$B$15,Paramètres!$A$1:$I$89,3,0)*0.475*44/12</f>
        <v>2.1526791503869235E-5</v>
      </c>
      <c r="EY164" s="24">
        <f t="shared" si="181"/>
        <v>92.402394823216525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-2.8421709430404007E-13</v>
      </c>
      <c r="FF164" s="18">
        <f>FE164*VLOOKUP('Données projet'!$B$16,Paramètres!$A$1:$I$89,3,0)*VLOOKUP('Données projet'!$B$16,Paramètres!$A$1:$I$89,5,0)</f>
        <v>-2.5715962692629546E-13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330.53726676433649</v>
      </c>
      <c r="FK164" s="62">
        <f t="shared" si="156"/>
        <v>228.01260676706528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51.996402386349295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51.996402386349295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-2.8421709430404007E-13</v>
      </c>
      <c r="GA164" s="18">
        <f>FZ164*VLOOKUP('Données projet'!$B$17,Paramètres!$A$1:$I$89,3,0)*VLOOKUP('Données projet'!$B$17,Paramètres!$A$1:$I$89,5,0)</f>
        <v>-3.2366642699344083E-13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405.71017054131318</v>
      </c>
      <c r="GF164" s="62">
        <f t="shared" si="158"/>
        <v>276.12900965322166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65.443747831094797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65.443747831094797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-2.8421709430404007E-13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3.0859155231155454E-13</v>
      </c>
      <c r="P165" s="14">
        <f t="shared" si="141"/>
        <v>4.0660414022430783E-12</v>
      </c>
      <c r="Q165" s="22">
        <f t="shared" si="162"/>
        <v>7.619152395849318E-12</v>
      </c>
      <c r="R165" s="62">
        <f t="shared" si="109"/>
        <v>293.33333333334093</v>
      </c>
      <c r="S165" s="62">
        <f ca="1">AVERAGE(OFFSET($R$3,0,0,'Données projet'!$E$9+1,1))-AVERAGE(OFFSET($H$3,0,0,'Données projet'!$E$9+1,1))</f>
        <v>452.54136967045082</v>
      </c>
      <c r="T165" s="62">
        <f t="shared" si="142"/>
        <v>269.67340993773422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92.292645633364714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92.292645633364714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3.4583536034915599E-13</v>
      </c>
      <c r="BF165" s="14">
        <f t="shared" si="167"/>
        <v>4.4967326049770697E-12</v>
      </c>
      <c r="BG165" s="22">
        <f t="shared" si="168"/>
        <v>8.4341392062765094E-12</v>
      </c>
      <c r="BH165" s="62">
        <f t="shared" si="116"/>
        <v>293.33333333334173</v>
      </c>
      <c r="BI165" s="62">
        <f ca="1">AVERAGE(OFFSET($BH$3,0,0,'Données projet'!$E$11+1,1))-AVERAGE(OFFSET($H$3,0,0,'Données projet'!$E$11+1,1))</f>
        <v>502.06005292569733</v>
      </c>
      <c r="BJ165" s="62">
        <f t="shared" si="146"/>
        <v>297.06786598620607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103.4314132098053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103.4314132098053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-2.8421709430404007E-14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-5.1431925385259088E-14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204.787338911576</v>
      </c>
      <c r="CZ165" s="62">
        <f t="shared" si="150"/>
        <v>287.24932051638558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3.4284944161305981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3.4284944161305981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8.5265128291212022E-14</v>
      </c>
      <c r="DP165" s="18">
        <f>DO165*VLOOKUP('Données projet'!$B$14,Paramètres!$A$1:$I$89,3,0)*VLOOKUP('Données projet'!$B$14,Paramètres!$A$1:$I$89,5,0)</f>
        <v>8.1138296081917361E-14</v>
      </c>
      <c r="DQ165" s="14">
        <f t="shared" si="176"/>
        <v>1.2489471326210353E-12</v>
      </c>
      <c r="DR165" s="22">
        <f t="shared" si="177"/>
        <v>2.3165654549909759E-12</v>
      </c>
      <c r="DS165" s="62">
        <f t="shared" si="125"/>
        <v>293.33333333333564</v>
      </c>
      <c r="DT165" s="62">
        <f ca="1">AVERAGE(OFFSET($DS$3,0,0,'Données projet'!$E$14+1,1))-AVERAGE(OFFSET($H$3,0,0,'Données projet'!$E$14+1,1))</f>
        <v>309.55876703480277</v>
      </c>
      <c r="DU165" s="62">
        <f t="shared" si="152"/>
        <v>122.43799205838684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57.051179107436489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57.051179107436489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-3.4106051316484809E-13</v>
      </c>
      <c r="EK165" s="18">
        <f>EJ165*VLOOKUP('Données projet'!$B$15,Paramètres!$A$1:$I$89,3,0)*VLOOKUP('Données projet'!$B$15,Paramètres!$A$1:$I$89,5,0)</f>
        <v>-1.5961632016114892E-13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301.04834785168049</v>
      </c>
      <c r="EP165" s="62">
        <f t="shared" si="154"/>
        <v>164.1450425611464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78.437302482826652</v>
      </c>
      <c r="EW165" s="23">
        <f>EXP(-LN(2)/25)*EW164+(1-EXP(-LN(2)/25))/(LN(2)/25)*Calculateur!ER165*Calculateur!ET165*VLOOKUP('Données projet'!$B$15,Paramètres!$A$1:$I$89,3,0)*0.475*44/12</f>
        <v>12.057223824722769</v>
      </c>
      <c r="EX165" s="23">
        <f>EXP(-LN(2)/2)*EX164+(1-EXP(-LN(2)/2))/(LN(2)/2)*ER165*EU165*VLOOKUP('Données projet'!$B$15,Paramètres!$A$1:$I$89,3,0)*0.475*44/12</f>
        <v>1.5221740249574895E-5</v>
      </c>
      <c r="EY165" s="24">
        <f t="shared" si="181"/>
        <v>90.494541529289677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-2.8421709430404007E-13</v>
      </c>
      <c r="FF165" s="18">
        <f>FE165*VLOOKUP('Données projet'!$B$16,Paramètres!$A$1:$I$89,3,0)*VLOOKUP('Données projet'!$B$16,Paramètres!$A$1:$I$89,5,0)</f>
        <v>-2.5715962692629546E-13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330.53726676433649</v>
      </c>
      <c r="FK165" s="62">
        <f t="shared" si="156"/>
        <v>228.01260676706528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50.976784650226875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50.976784650226875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-2.8421709430404007E-13</v>
      </c>
      <c r="GA165" s="18">
        <f>FZ165*VLOOKUP('Données projet'!$B$17,Paramètres!$A$1:$I$89,3,0)*VLOOKUP('Données projet'!$B$17,Paramètres!$A$1:$I$89,5,0)</f>
        <v>-3.2366642699344083E-13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405.71017054131318</v>
      </c>
      <c r="GF165" s="62">
        <f t="shared" si="158"/>
        <v>276.12900965322166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64.160435852871757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64.160435852871757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-2.8421709430404007E-13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3.0859155231155454E-13</v>
      </c>
      <c r="P166" s="14">
        <f t="shared" si="141"/>
        <v>4.0660414022430783E-12</v>
      </c>
      <c r="Q166" s="22">
        <f t="shared" si="162"/>
        <v>7.619152395849318E-12</v>
      </c>
      <c r="R166" s="62">
        <f t="shared" si="109"/>
        <v>293.33333333334093</v>
      </c>
      <c r="S166" s="62">
        <f ca="1">AVERAGE(OFFSET($R$3,0,0,'Données projet'!$E$9+1,1))-AVERAGE(OFFSET($H$3,0,0,'Données projet'!$E$9+1,1))</f>
        <v>452.54136967045082</v>
      </c>
      <c r="T166" s="62">
        <f t="shared" si="142"/>
        <v>269.67340993773422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90.482843145449806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90.482843145449806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3.4583536034915599E-13</v>
      </c>
      <c r="BF166" s="14">
        <f t="shared" si="167"/>
        <v>4.4967326049770697E-12</v>
      </c>
      <c r="BG166" s="22">
        <f t="shared" si="168"/>
        <v>8.4341392062765094E-12</v>
      </c>
      <c r="BH166" s="62">
        <f t="shared" si="116"/>
        <v>293.33333333334173</v>
      </c>
      <c r="BI166" s="62">
        <f ca="1">AVERAGE(OFFSET($BH$3,0,0,'Données projet'!$E$11+1,1))-AVERAGE(OFFSET($H$3,0,0,'Données projet'!$E$11+1,1))</f>
        <v>502.06005292569733</v>
      </c>
      <c r="BJ166" s="62">
        <f t="shared" si="146"/>
        <v>297.06786598620607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101.40318628369376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101.40318628369376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-2.8421709430404007E-14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-5.1431925385259088E-14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204.787338911576</v>
      </c>
      <c r="CZ166" s="62">
        <f t="shared" si="150"/>
        <v>287.24932051638558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3.3612637318053844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3.3612637318053844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8.5265128291212022E-14</v>
      </c>
      <c r="DP166" s="18">
        <f>DO166*VLOOKUP('Données projet'!$B$14,Paramètres!$A$1:$I$89,3,0)*VLOOKUP('Données projet'!$B$14,Paramètres!$A$1:$I$89,5,0)</f>
        <v>8.1138296081917361E-14</v>
      </c>
      <c r="DQ166" s="14">
        <f t="shared" si="176"/>
        <v>1.2489471326210353E-12</v>
      </c>
      <c r="DR166" s="22">
        <f t="shared" si="177"/>
        <v>2.3165654549909759E-12</v>
      </c>
      <c r="DS166" s="62">
        <f t="shared" si="125"/>
        <v>293.33333333333564</v>
      </c>
      <c r="DT166" s="62">
        <f ca="1">AVERAGE(OFFSET($DS$3,0,0,'Données projet'!$E$14+1,1))-AVERAGE(OFFSET($H$3,0,0,'Données projet'!$E$14+1,1))</f>
        <v>309.55876703480277</v>
      </c>
      <c r="DU166" s="62">
        <f t="shared" si="152"/>
        <v>122.43799205838684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55.932440282922919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55.932440282922919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-3.4106051316484809E-13</v>
      </c>
      <c r="EK166" s="18">
        <f>EJ166*VLOOKUP('Données projet'!$B$15,Paramètres!$A$1:$I$89,3,0)*VLOOKUP('Données projet'!$B$15,Paramètres!$A$1:$I$89,5,0)</f>
        <v>-1.5961632016114892E-13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301.04834785168049</v>
      </c>
      <c r="EP166" s="62">
        <f t="shared" si="154"/>
        <v>164.1450425611464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76.899194823168926</v>
      </c>
      <c r="EW166" s="23">
        <f>EXP(-LN(2)/25)*EW165+(1-EXP(-LN(2)/25))/(LN(2)/25)*Calculateur!ER166*Calculateur!ET166*VLOOKUP('Données projet'!$B$15,Paramètres!$A$1:$I$89,3,0)*0.475*44/12</f>
        <v>11.72751840517388</v>
      </c>
      <c r="EX166" s="23">
        <f>EXP(-LN(2)/2)*EX165+(1-EXP(-LN(2)/2))/(LN(2)/2)*ER166*EU166*VLOOKUP('Données projet'!$B$15,Paramètres!$A$1:$I$89,3,0)*0.475*44/12</f>
        <v>1.0763395751934619E-5</v>
      </c>
      <c r="EY166" s="24">
        <f t="shared" si="181"/>
        <v>88.626723991738558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-2.8421709430404007E-13</v>
      </c>
      <c r="FF166" s="18">
        <f>FE166*VLOOKUP('Données projet'!$B$16,Paramètres!$A$1:$I$89,3,0)*VLOOKUP('Données projet'!$B$16,Paramètres!$A$1:$I$89,5,0)</f>
        <v>-2.5715962692629546E-13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330.53726676433649</v>
      </c>
      <c r="FK166" s="62">
        <f t="shared" si="156"/>
        <v>228.01260676706528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49.977160996004407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49.977160996004407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-2.8421709430404007E-13</v>
      </c>
      <c r="GA166" s="18">
        <f>FZ166*VLOOKUP('Données projet'!$B$17,Paramètres!$A$1:$I$89,3,0)*VLOOKUP('Données projet'!$B$17,Paramètres!$A$1:$I$89,5,0)</f>
        <v>-3.2366642699344083E-13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405.71017054131318</v>
      </c>
      <c r="GF166" s="62">
        <f t="shared" si="158"/>
        <v>276.12900965322166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62.902288839798651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62.902288839798651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-2.8421709430404007E-13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3.0859155231155454E-13</v>
      </c>
      <c r="P167" s="14">
        <f t="shared" si="141"/>
        <v>4.0660414022430783E-12</v>
      </c>
      <c r="Q167" s="22">
        <f t="shared" si="162"/>
        <v>7.619152395849318E-12</v>
      </c>
      <c r="R167" s="62">
        <f t="shared" si="109"/>
        <v>293.33333333334093</v>
      </c>
      <c r="S167" s="62">
        <f ca="1">AVERAGE(OFFSET($R$3,0,0,'Données projet'!$E$9+1,1))-AVERAGE(OFFSET($H$3,0,0,'Données projet'!$E$9+1,1))</f>
        <v>452.54136967045082</v>
      </c>
      <c r="T167" s="62">
        <f t="shared" si="142"/>
        <v>269.67340993773422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88.70852978045238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88.70852978045238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3.4583536034915599E-13</v>
      </c>
      <c r="BF167" s="14">
        <f t="shared" si="167"/>
        <v>4.4967326049770697E-12</v>
      </c>
      <c r="BG167" s="22">
        <f t="shared" si="168"/>
        <v>8.4341392062765094E-12</v>
      </c>
      <c r="BH167" s="62">
        <f t="shared" si="116"/>
        <v>293.33333333334173</v>
      </c>
      <c r="BI167" s="62">
        <f ca="1">AVERAGE(OFFSET($BH$3,0,0,'Données projet'!$E$11+1,1))-AVERAGE(OFFSET($H$3,0,0,'Données projet'!$E$11+1,1))</f>
        <v>502.06005292569733</v>
      </c>
      <c r="BJ167" s="62">
        <f t="shared" si="146"/>
        <v>297.06786598620607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99.414731650506994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99.414731650506994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-2.8421709430404007E-14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-5.1431925385259088E-14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204.787338911576</v>
      </c>
      <c r="CZ167" s="62">
        <f t="shared" si="150"/>
        <v>287.24932051638558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3.2953514001931201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3.2953514001931201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8.5265128291212022E-14</v>
      </c>
      <c r="DP167" s="18">
        <f>DO167*VLOOKUP('Données projet'!$B$14,Paramètres!$A$1:$I$89,3,0)*VLOOKUP('Données projet'!$B$14,Paramètres!$A$1:$I$89,5,0)</f>
        <v>8.1138296081917361E-14</v>
      </c>
      <c r="DQ167" s="14">
        <f t="shared" si="176"/>
        <v>1.2489471326210353E-12</v>
      </c>
      <c r="DR167" s="22">
        <f t="shared" si="177"/>
        <v>2.3165654549909759E-12</v>
      </c>
      <c r="DS167" s="62">
        <f t="shared" si="125"/>
        <v>293.33333333333564</v>
      </c>
      <c r="DT167" s="62">
        <f ca="1">AVERAGE(OFFSET($DS$3,0,0,'Données projet'!$E$14+1,1))-AVERAGE(OFFSET($H$3,0,0,'Données projet'!$E$14+1,1))</f>
        <v>309.55876703480277</v>
      </c>
      <c r="DU167" s="62">
        <f t="shared" si="152"/>
        <v>122.43799205838684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54.835639244394756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54.835639244394756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-3.4106051316484809E-13</v>
      </c>
      <c r="EK167" s="18">
        <f>EJ167*VLOOKUP('Données projet'!$B$15,Paramètres!$A$1:$I$89,3,0)*VLOOKUP('Données projet'!$B$15,Paramètres!$A$1:$I$89,5,0)</f>
        <v>-1.5961632016114892E-13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301.04834785168049</v>
      </c>
      <c r="EP167" s="62">
        <f t="shared" si="154"/>
        <v>164.1450425611464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75.391248516564048</v>
      </c>
      <c r="EW167" s="23">
        <f>EXP(-LN(2)/25)*EW166+(1-EXP(-LN(2)/25))/(LN(2)/25)*Calculateur!ER167*Calculateur!ET167*VLOOKUP('Données projet'!$B$15,Paramètres!$A$1:$I$89,3,0)*0.475*44/12</f>
        <v>11.406828797661012</v>
      </c>
      <c r="EX167" s="23">
        <f>EXP(-LN(2)/2)*EX166+(1-EXP(-LN(2)/2))/(LN(2)/2)*ER167*EU167*VLOOKUP('Données projet'!$B$15,Paramètres!$A$1:$I$89,3,0)*0.475*44/12</f>
        <v>7.6108701247874483E-6</v>
      </c>
      <c r="EY167" s="24">
        <f t="shared" si="181"/>
        <v>86.798084925095182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-2.8421709430404007E-13</v>
      </c>
      <c r="FF167" s="18">
        <f>FE167*VLOOKUP('Données projet'!$B$16,Paramètres!$A$1:$I$89,3,0)*VLOOKUP('Données projet'!$B$16,Paramètres!$A$1:$I$89,5,0)</f>
        <v>-2.5715962692629546E-13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330.53726676433649</v>
      </c>
      <c r="FK167" s="62">
        <f t="shared" si="156"/>
        <v>228.01260676706528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48.997139351931018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48.997139351931018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-2.8421709430404007E-13</v>
      </c>
      <c r="GA167" s="18">
        <f>FZ167*VLOOKUP('Données projet'!$B$17,Paramètres!$A$1:$I$89,3,0)*VLOOKUP('Données projet'!$B$17,Paramètres!$A$1:$I$89,5,0)</f>
        <v>-3.2366642699344083E-13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405.71017054131318</v>
      </c>
      <c r="GF167" s="62">
        <f t="shared" si="158"/>
        <v>276.12900965322166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61.668813322258003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61.668813322258003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-2.8421709430404007E-13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3.0859155231155454E-13</v>
      </c>
      <c r="P168" s="14">
        <f t="shared" si="141"/>
        <v>4.0660414022430783E-12</v>
      </c>
      <c r="Q168" s="22">
        <f t="shared" si="162"/>
        <v>7.619152395849318E-12</v>
      </c>
      <c r="R168" s="62">
        <f t="shared" si="109"/>
        <v>293.33333333334093</v>
      </c>
      <c r="S168" s="62">
        <f ca="1">AVERAGE(OFFSET($R$3,0,0,'Données projet'!$E$9+1,1))-AVERAGE(OFFSET($H$3,0,0,'Données projet'!$E$9+1,1))</f>
        <v>452.54136967045082</v>
      </c>
      <c r="T168" s="62">
        <f t="shared" si="142"/>
        <v>269.67340993773422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86.969009618318267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86.969009618318267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3.4583536034915599E-13</v>
      </c>
      <c r="BF168" s="14">
        <f t="shared" si="167"/>
        <v>4.4967326049770697E-12</v>
      </c>
      <c r="BG168" s="22">
        <f t="shared" si="168"/>
        <v>8.4341392062765094E-12</v>
      </c>
      <c r="BH168" s="62">
        <f t="shared" si="116"/>
        <v>293.33333333334173</v>
      </c>
      <c r="BI168" s="62">
        <f ca="1">AVERAGE(OFFSET($BH$3,0,0,'Données projet'!$E$11+1,1))-AVERAGE(OFFSET($H$3,0,0,'Données projet'!$E$11+1,1))</f>
        <v>502.06005292569733</v>
      </c>
      <c r="BJ168" s="62">
        <f t="shared" si="146"/>
        <v>297.06786598620607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97.465269399839457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97.465269399839457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-2.8421709430404007E-14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-5.1431925385259088E-14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204.787338911576</v>
      </c>
      <c r="CZ168" s="62">
        <f t="shared" si="150"/>
        <v>287.24932051638558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3.2307315692012195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3.2307315692012195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8.5265128291212022E-14</v>
      </c>
      <c r="DP168" s="18">
        <f>DO168*VLOOKUP('Données projet'!$B$14,Paramètres!$A$1:$I$89,3,0)*VLOOKUP('Données projet'!$B$14,Paramètres!$A$1:$I$89,5,0)</f>
        <v>8.1138296081917361E-14</v>
      </c>
      <c r="DQ168" s="14">
        <f t="shared" si="176"/>
        <v>1.2489471326210353E-12</v>
      </c>
      <c r="DR168" s="22">
        <f t="shared" si="177"/>
        <v>2.3165654549909759E-12</v>
      </c>
      <c r="DS168" s="62">
        <f t="shared" si="125"/>
        <v>293.33333333333564</v>
      </c>
      <c r="DT168" s="62">
        <f ca="1">AVERAGE(OFFSET($DS$3,0,0,'Données projet'!$E$14+1,1))-AVERAGE(OFFSET($H$3,0,0,'Données projet'!$E$14+1,1))</f>
        <v>309.55876703480277</v>
      </c>
      <c r="DU168" s="62">
        <f t="shared" si="152"/>
        <v>122.43799205838684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53.76034580524955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53.76034580524955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-3.4106051316484809E-13</v>
      </c>
      <c r="EK168" s="18">
        <f>EJ168*VLOOKUP('Données projet'!$B$15,Paramètres!$A$1:$I$89,3,0)*VLOOKUP('Données projet'!$B$15,Paramètres!$A$1:$I$89,5,0)</f>
        <v>-1.5961632016114892E-13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301.04834785168049</v>
      </c>
      <c r="EP168" s="62">
        <f t="shared" si="154"/>
        <v>164.1450425611464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73.912872117275271</v>
      </c>
      <c r="EW168" s="23">
        <f>EXP(-LN(2)/25)*EW167+(1-EXP(-LN(2)/25))/(LN(2)/25)*Calculateur!ER168*Calculateur!ET168*VLOOKUP('Données projet'!$B$15,Paramètres!$A$1:$I$89,3,0)*0.475*44/12</f>
        <v>11.094908464329915</v>
      </c>
      <c r="EX168" s="23">
        <f>EXP(-LN(2)/2)*EX167+(1-EXP(-LN(2)/2))/(LN(2)/2)*ER168*EU168*VLOOKUP('Données projet'!$B$15,Paramètres!$A$1:$I$89,3,0)*0.475*44/12</f>
        <v>5.3816978759673105E-6</v>
      </c>
      <c r="EY168" s="24">
        <f t="shared" si="181"/>
        <v>85.007785963303064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-2.8421709430404007E-13</v>
      </c>
      <c r="FF168" s="18">
        <f>FE168*VLOOKUP('Données projet'!$B$16,Paramètres!$A$1:$I$89,3,0)*VLOOKUP('Données projet'!$B$16,Paramètres!$A$1:$I$89,5,0)</f>
        <v>-2.5715962692629546E-13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330.53726676433649</v>
      </c>
      <c r="FK168" s="62">
        <f t="shared" si="156"/>
        <v>228.01260676706528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48.036335334543729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48.036335334543729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-2.8421709430404007E-13</v>
      </c>
      <c r="GA168" s="18">
        <f>FZ168*VLOOKUP('Données projet'!$B$17,Paramètres!$A$1:$I$89,3,0)*VLOOKUP('Données projet'!$B$17,Paramètres!$A$1:$I$89,5,0)</f>
        <v>-3.2366642699344083E-13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405.71017054131318</v>
      </c>
      <c r="GF168" s="62">
        <f t="shared" si="158"/>
        <v>276.12900965322166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60.459525507270548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60.459525507270548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-2.8421709430404007E-13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3.0859155231155454E-13</v>
      </c>
      <c r="P169" s="14">
        <f t="shared" si="141"/>
        <v>4.0660414022430783E-12</v>
      </c>
      <c r="Q169" s="22">
        <f t="shared" si="162"/>
        <v>7.619152395849318E-12</v>
      </c>
      <c r="R169" s="62">
        <f t="shared" si="109"/>
        <v>293.33333333334093</v>
      </c>
      <c r="S169" s="62">
        <f ca="1">AVERAGE(OFFSET($R$3,0,0,'Données projet'!$E$9+1,1))-AVERAGE(OFFSET($H$3,0,0,'Données projet'!$E$9+1,1))</f>
        <v>452.54136967045082</v>
      </c>
      <c r="T169" s="62">
        <f t="shared" si="142"/>
        <v>269.67340993773422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85.263600385561077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85.263600385561077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3.4583536034915599E-13</v>
      </c>
      <c r="BF169" s="14">
        <f t="shared" si="167"/>
        <v>4.4967326049770697E-12</v>
      </c>
      <c r="BG169" s="22">
        <f t="shared" si="168"/>
        <v>8.4341392062765094E-12</v>
      </c>
      <c r="BH169" s="62">
        <f t="shared" si="116"/>
        <v>293.33333333334173</v>
      </c>
      <c r="BI169" s="62">
        <f ca="1">AVERAGE(OFFSET($BH$3,0,0,'Données projet'!$E$11+1,1))-AVERAGE(OFFSET($H$3,0,0,'Données projet'!$E$11+1,1))</f>
        <v>502.06005292569733</v>
      </c>
      <c r="BJ169" s="62">
        <f t="shared" si="146"/>
        <v>297.06786598620607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95.554034914852949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95.554034914852949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-2.8421709430404007E-14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-5.1431925385259088E-14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204.787338911576</v>
      </c>
      <c r="CZ169" s="62">
        <f t="shared" si="150"/>
        <v>287.24932051638558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3.1673788936808651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3.1673788936808651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8.5265128291212022E-14</v>
      </c>
      <c r="DP169" s="18">
        <f>DO169*VLOOKUP('Données projet'!$B$14,Paramètres!$A$1:$I$89,3,0)*VLOOKUP('Données projet'!$B$14,Paramètres!$A$1:$I$89,5,0)</f>
        <v>8.1138296081917361E-14</v>
      </c>
      <c r="DQ169" s="14">
        <f t="shared" si="176"/>
        <v>1.2489471326210353E-12</v>
      </c>
      <c r="DR169" s="22">
        <f t="shared" si="177"/>
        <v>2.3165654549909759E-12</v>
      </c>
      <c r="DS169" s="62">
        <f t="shared" si="125"/>
        <v>293.33333333333564</v>
      </c>
      <c r="DT169" s="62">
        <f ca="1">AVERAGE(OFFSET($DS$3,0,0,'Données projet'!$E$14+1,1))-AVERAGE(OFFSET($H$3,0,0,'Données projet'!$E$14+1,1))</f>
        <v>309.55876703480277</v>
      </c>
      <c r="DU169" s="62">
        <f t="shared" si="152"/>
        <v>122.43799205838684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52.706138214581749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52.706138214581749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-3.4106051316484809E-13</v>
      </c>
      <c r="EK169" s="18">
        <f>EJ169*VLOOKUP('Données projet'!$B$15,Paramètres!$A$1:$I$89,3,0)*VLOOKUP('Données projet'!$B$15,Paramètres!$A$1:$I$89,5,0)</f>
        <v>-1.5961632016114892E-13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301.04834785168049</v>
      </c>
      <c r="EP169" s="62">
        <f t="shared" si="154"/>
        <v>164.1450425611464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72.463485777455972</v>
      </c>
      <c r="EW169" s="23">
        <f>EXP(-LN(2)/25)*EW168+(1-EXP(-LN(2)/25))/(LN(2)/25)*Calculateur!ER169*Calculateur!ET169*VLOOKUP('Données projet'!$B$15,Paramètres!$A$1:$I$89,3,0)*0.475*44/12</f>
        <v>10.791517608916935</v>
      </c>
      <c r="EX169" s="23">
        <f>EXP(-LN(2)/2)*EX168+(1-EXP(-LN(2)/2))/(LN(2)/2)*ER169*EU169*VLOOKUP('Données projet'!$B$15,Paramètres!$A$1:$I$89,3,0)*0.475*44/12</f>
        <v>3.805435062393725E-6</v>
      </c>
      <c r="EY169" s="24">
        <f t="shared" si="181"/>
        <v>83.255007191807962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-2.8421709430404007E-13</v>
      </c>
      <c r="FF169" s="18">
        <f>FE169*VLOOKUP('Données projet'!$B$16,Paramètres!$A$1:$I$89,3,0)*VLOOKUP('Données projet'!$B$16,Paramètres!$A$1:$I$89,5,0)</f>
        <v>-2.5715962692629546E-13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330.53726676433649</v>
      </c>
      <c r="FK169" s="62">
        <f t="shared" si="156"/>
        <v>228.01260676706528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47.094372097904817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47.094372097904817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-2.8421709430404007E-13</v>
      </c>
      <c r="GA169" s="18">
        <f>FZ169*VLOOKUP('Données projet'!$B$17,Paramètres!$A$1:$I$89,3,0)*VLOOKUP('Données projet'!$B$17,Paramètres!$A$1:$I$89,5,0)</f>
        <v>-3.2366642699344083E-13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405.71017054131318</v>
      </c>
      <c r="GF169" s="62">
        <f t="shared" si="158"/>
        <v>276.12900965322166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59.273951088742265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59.273951088742265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-2.8421709430404007E-13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3.0859155231155454E-13</v>
      </c>
      <c r="P170" s="14">
        <f t="shared" si="141"/>
        <v>4.0660414022430783E-12</v>
      </c>
      <c r="Q170" s="22">
        <f t="shared" si="162"/>
        <v>7.619152395849318E-12</v>
      </c>
      <c r="R170" s="62">
        <f t="shared" si="109"/>
        <v>293.33333333334093</v>
      </c>
      <c r="S170" s="62">
        <f ca="1">AVERAGE(OFFSET($R$3,0,0,'Données projet'!$E$9+1,1))-AVERAGE(OFFSET($H$3,0,0,'Données projet'!$E$9+1,1))</f>
        <v>452.54136967045082</v>
      </c>
      <c r="T170" s="62">
        <f t="shared" si="142"/>
        <v>269.67340993773422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83.59163318766133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83.59163318766133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3.4583536034915599E-13</v>
      </c>
      <c r="BF170" s="14">
        <f t="shared" si="167"/>
        <v>4.4967326049770697E-12</v>
      </c>
      <c r="BG170" s="22">
        <f t="shared" si="168"/>
        <v>8.4341392062765094E-12</v>
      </c>
      <c r="BH170" s="62">
        <f t="shared" si="116"/>
        <v>293.33333333334173</v>
      </c>
      <c r="BI170" s="62">
        <f ca="1">AVERAGE(OFFSET($BH$3,0,0,'Données projet'!$E$11+1,1))-AVERAGE(OFFSET($H$3,0,0,'Données projet'!$E$11+1,1))</f>
        <v>502.06005292569733</v>
      </c>
      <c r="BJ170" s="62">
        <f t="shared" si="146"/>
        <v>297.06786598620607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93.680278572379095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93.680278572379095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-2.8421709430404007E-14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-5.1431925385259088E-14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204.787338911576</v>
      </c>
      <c r="CZ170" s="62">
        <f t="shared" si="150"/>
        <v>287.24932051638558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3.1052685254861481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3.1052685254861481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8.5265128291212022E-14</v>
      </c>
      <c r="DP170" s="18">
        <f>DO170*VLOOKUP('Données projet'!$B$14,Paramètres!$A$1:$I$89,3,0)*VLOOKUP('Données projet'!$B$14,Paramètres!$A$1:$I$89,5,0)</f>
        <v>8.1138296081917361E-14</v>
      </c>
      <c r="DQ170" s="14">
        <f t="shared" si="176"/>
        <v>1.2489471326210353E-12</v>
      </c>
      <c r="DR170" s="22">
        <f t="shared" si="177"/>
        <v>2.3165654549909759E-12</v>
      </c>
      <c r="DS170" s="62">
        <f t="shared" si="125"/>
        <v>293.33333333333564</v>
      </c>
      <c r="DT170" s="62">
        <f ca="1">AVERAGE(OFFSET($DS$3,0,0,'Données projet'!$E$14+1,1))-AVERAGE(OFFSET($H$3,0,0,'Données projet'!$E$14+1,1))</f>
        <v>309.55876703480277</v>
      </c>
      <c r="DU170" s="62">
        <f t="shared" si="152"/>
        <v>122.43799205838684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51.672602991763803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51.672602991763803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-3.4106051316484809E-13</v>
      </c>
      <c r="EK170" s="18">
        <f>EJ170*VLOOKUP('Données projet'!$B$15,Paramètres!$A$1:$I$89,3,0)*VLOOKUP('Données projet'!$B$15,Paramètres!$A$1:$I$89,5,0)</f>
        <v>-1.5961632016114892E-13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301.04834785168049</v>
      </c>
      <c r="EP170" s="62">
        <f t="shared" si="154"/>
        <v>164.1450425611464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71.042521019722159</v>
      </c>
      <c r="EW170" s="23">
        <f>EXP(-LN(2)/25)*EW169+(1-EXP(-LN(2)/25))/(LN(2)/25)*Calculateur!ER170*Calculateur!ET170*VLOOKUP('Données projet'!$B$15,Paramètres!$A$1:$I$89,3,0)*0.475*44/12</f>
        <v>10.496422992399856</v>
      </c>
      <c r="EX170" s="23">
        <f>EXP(-LN(2)/2)*EX169+(1-EXP(-LN(2)/2))/(LN(2)/2)*ER170*EU170*VLOOKUP('Données projet'!$B$15,Paramètres!$A$1:$I$89,3,0)*0.475*44/12</f>
        <v>2.6908489379836556E-6</v>
      </c>
      <c r="EY170" s="24">
        <f t="shared" si="181"/>
        <v>81.538946702970961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-2.8421709430404007E-13</v>
      </c>
      <c r="FF170" s="18">
        <f>FE170*VLOOKUP('Données projet'!$B$16,Paramètres!$A$1:$I$89,3,0)*VLOOKUP('Données projet'!$B$16,Paramètres!$A$1:$I$89,5,0)</f>
        <v>-2.5715962692629546E-13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330.53726676433649</v>
      </c>
      <c r="FK170" s="62">
        <f t="shared" si="156"/>
        <v>228.01260676706528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46.170880185795554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46.170880185795554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-2.8421709430404007E-13</v>
      </c>
      <c r="GA170" s="18">
        <f>FZ170*VLOOKUP('Données projet'!$B$17,Paramètres!$A$1:$I$89,3,0)*VLOOKUP('Données projet'!$B$17,Paramètres!$A$1:$I$89,5,0)</f>
        <v>-3.2366642699344083E-13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405.71017054131318</v>
      </c>
      <c r="GF170" s="62">
        <f t="shared" si="158"/>
        <v>276.12900965322166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58.111625061432328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58.111625061432328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-2.8421709430404007E-13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3.0859155231155454E-13</v>
      </c>
      <c r="P171" s="14">
        <f t="shared" si="141"/>
        <v>4.0660414022430783E-12</v>
      </c>
      <c r="Q171" s="22">
        <f t="shared" si="162"/>
        <v>7.619152395849318E-12</v>
      </c>
      <c r="R171" s="62">
        <f t="shared" si="109"/>
        <v>293.33333333334093</v>
      </c>
      <c r="S171" s="62">
        <f ca="1">AVERAGE(OFFSET($R$3,0,0,'Données projet'!$E$9+1,1))-AVERAGE(OFFSET($H$3,0,0,'Données projet'!$E$9+1,1))</f>
        <v>452.54136967045082</v>
      </c>
      <c r="T171" s="62">
        <f t="shared" si="142"/>
        <v>269.67340993773422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81.952452246713094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81.952452246713094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3.4583536034915599E-13</v>
      </c>
      <c r="BF171" s="14">
        <f t="shared" si="167"/>
        <v>4.4967326049770697E-12</v>
      </c>
      <c r="BG171" s="22">
        <f t="shared" si="168"/>
        <v>8.4341392062765094E-12</v>
      </c>
      <c r="BH171" s="62">
        <f t="shared" si="116"/>
        <v>293.33333333334173</v>
      </c>
      <c r="BI171" s="62">
        <f ca="1">AVERAGE(OFFSET($BH$3,0,0,'Données projet'!$E$11+1,1))-AVERAGE(OFFSET($H$3,0,0,'Données projet'!$E$11+1,1))</f>
        <v>502.06005292569733</v>
      </c>
      <c r="BJ171" s="62">
        <f t="shared" si="146"/>
        <v>297.06786598620607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91.843265448902628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91.843265448902628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-2.8421709430404007E-14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-5.1431925385259088E-14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204.787338911576</v>
      </c>
      <c r="CZ171" s="62">
        <f t="shared" si="150"/>
        <v>287.24932051638558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3.0443761037281458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3.0443761037281458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8.5265128291212022E-14</v>
      </c>
      <c r="DP171" s="18">
        <f>DO171*VLOOKUP('Données projet'!$B$14,Paramètres!$A$1:$I$89,3,0)*VLOOKUP('Données projet'!$B$14,Paramètres!$A$1:$I$89,5,0)</f>
        <v>8.1138296081917361E-14</v>
      </c>
      <c r="DQ171" s="14">
        <f t="shared" si="176"/>
        <v>1.2489471326210353E-12</v>
      </c>
      <c r="DR171" s="22">
        <f t="shared" si="177"/>
        <v>2.3165654549909759E-12</v>
      </c>
      <c r="DS171" s="62">
        <f t="shared" si="125"/>
        <v>293.33333333333564</v>
      </c>
      <c r="DT171" s="62">
        <f ca="1">AVERAGE(OFFSET($DS$3,0,0,'Données projet'!$E$14+1,1))-AVERAGE(OFFSET($H$3,0,0,'Données projet'!$E$14+1,1))</f>
        <v>309.55876703480277</v>
      </c>
      <c r="DU171" s="62">
        <f t="shared" si="152"/>
        <v>122.43799205838684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50.65933476427108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50.65933476427108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-3.4106051316484809E-13</v>
      </c>
      <c r="EK171" s="18">
        <f>EJ171*VLOOKUP('Données projet'!$B$15,Paramètres!$A$1:$I$89,3,0)*VLOOKUP('Données projet'!$B$15,Paramètres!$A$1:$I$89,5,0)</f>
        <v>-1.5961632016114892E-13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301.04834785168049</v>
      </c>
      <c r="EP171" s="62">
        <f t="shared" si="154"/>
        <v>164.1450425611464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69.649420514184584</v>
      </c>
      <c r="EW171" s="23">
        <f>EXP(-LN(2)/25)*EW170+(1-EXP(-LN(2)/25))/(LN(2)/25)*Calculateur!ER171*Calculateur!ET171*VLOOKUP('Données projet'!$B$15,Paramètres!$A$1:$I$89,3,0)*0.475*44/12</f>
        <v>10.209397753689787</v>
      </c>
      <c r="EX171" s="23">
        <f>EXP(-LN(2)/2)*EX170+(1-EXP(-LN(2)/2))/(LN(2)/2)*ER171*EU171*VLOOKUP('Données projet'!$B$15,Paramètres!$A$1:$I$89,3,0)*0.475*44/12</f>
        <v>1.9027175311968627E-6</v>
      </c>
      <c r="EY171" s="24">
        <f t="shared" si="181"/>
        <v>79.858820170591898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-2.8421709430404007E-13</v>
      </c>
      <c r="FF171" s="18">
        <f>FE171*VLOOKUP('Données projet'!$B$16,Paramètres!$A$1:$I$89,3,0)*VLOOKUP('Données projet'!$B$16,Paramètres!$A$1:$I$89,5,0)</f>
        <v>-2.5715962692629546E-13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330.53726676433649</v>
      </c>
      <c r="FK171" s="62">
        <f t="shared" si="156"/>
        <v>228.01260676706528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45.265497386808306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45.265497386808306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-2.8421709430404007E-13</v>
      </c>
      <c r="GA171" s="18">
        <f>FZ171*VLOOKUP('Données projet'!$B$17,Paramètres!$A$1:$I$89,3,0)*VLOOKUP('Données projet'!$B$17,Paramètres!$A$1:$I$89,5,0)</f>
        <v>-3.2366642699344083E-13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405.71017054131318</v>
      </c>
      <c r="GF171" s="62">
        <f t="shared" si="158"/>
        <v>276.12900965322166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56.972091538569067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56.972091538569067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-2.8421709430404007E-13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3.0859155231155454E-13</v>
      </c>
      <c r="P172" s="14">
        <f t="shared" si="141"/>
        <v>4.0660414022430783E-12</v>
      </c>
      <c r="Q172" s="22">
        <f t="shared" si="162"/>
        <v>7.619152395849318E-12</v>
      </c>
      <c r="R172" s="62">
        <f t="shared" si="109"/>
        <v>293.33333333334093</v>
      </c>
      <c r="S172" s="62">
        <f ca="1">AVERAGE(OFFSET($R$3,0,0,'Données projet'!$E$9+1,1))-AVERAGE(OFFSET($H$3,0,0,'Données projet'!$E$9+1,1))</f>
        <v>452.54136967045082</v>
      </c>
      <c r="T172" s="62">
        <f t="shared" si="142"/>
        <v>269.67340993773422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80.345414644215211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80.345414644215211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3.4583536034915599E-13</v>
      </c>
      <c r="BF172" s="14">
        <f t="shared" si="167"/>
        <v>4.4967326049770697E-12</v>
      </c>
      <c r="BG172" s="22">
        <f t="shared" si="168"/>
        <v>8.4341392062765094E-12</v>
      </c>
      <c r="BH172" s="62">
        <f t="shared" si="116"/>
        <v>293.33333333334173</v>
      </c>
      <c r="BI172" s="62">
        <f ca="1">AVERAGE(OFFSET($BH$3,0,0,'Données projet'!$E$11+1,1))-AVERAGE(OFFSET($H$3,0,0,'Données projet'!$E$11+1,1))</f>
        <v>502.06005292569733</v>
      </c>
      <c r="BJ172" s="62">
        <f t="shared" si="146"/>
        <v>297.06786598620607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90.042275032310172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90.042275032310172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-2.8421709430404007E-14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-5.1431925385259088E-14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204.787338911576</v>
      </c>
      <c r="CZ172" s="62">
        <f t="shared" si="150"/>
        <v>287.24932051638558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2.9846777452201079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2.9846777452201079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8.5265128291212022E-14</v>
      </c>
      <c r="DP172" s="18">
        <f>DO172*VLOOKUP('Données projet'!$B$14,Paramètres!$A$1:$I$89,3,0)*VLOOKUP('Données projet'!$B$14,Paramètres!$A$1:$I$89,5,0)</f>
        <v>8.1138296081917361E-14</v>
      </c>
      <c r="DQ172" s="14">
        <f t="shared" si="176"/>
        <v>1.2489471326210353E-12</v>
      </c>
      <c r="DR172" s="22">
        <f t="shared" si="177"/>
        <v>2.3165654549909759E-12</v>
      </c>
      <c r="DS172" s="62">
        <f t="shared" si="125"/>
        <v>293.33333333333564</v>
      </c>
      <c r="DT172" s="62">
        <f ca="1">AVERAGE(OFFSET($DS$3,0,0,'Données projet'!$E$14+1,1))-AVERAGE(OFFSET($H$3,0,0,'Données projet'!$E$14+1,1))</f>
        <v>309.55876703480277</v>
      </c>
      <c r="DU172" s="62">
        <f t="shared" si="152"/>
        <v>122.43799205838684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49.665936108686893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49.665936108686893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-3.4106051316484809E-13</v>
      </c>
      <c r="EK172" s="18">
        <f>EJ172*VLOOKUP('Données projet'!$B$15,Paramètres!$A$1:$I$89,3,0)*VLOOKUP('Données projet'!$B$15,Paramètres!$A$1:$I$89,5,0)</f>
        <v>-1.5961632016114892E-13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301.04834785168049</v>
      </c>
      <c r="EP172" s="62">
        <f t="shared" si="154"/>
        <v>164.1450425611464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68.283637859853187</v>
      </c>
      <c r="EW172" s="23">
        <f>EXP(-LN(2)/25)*EW171+(1-EXP(-LN(2)/25))/(LN(2)/25)*Calculateur!ER172*Calculateur!ET172*VLOOKUP('Données projet'!$B$15,Paramètres!$A$1:$I$89,3,0)*0.475*44/12</f>
        <v>9.9302212352262451</v>
      </c>
      <c r="EX172" s="23">
        <f>EXP(-LN(2)/2)*EX171+(1-EXP(-LN(2)/2))/(LN(2)/2)*ER172*EU172*VLOOKUP('Données projet'!$B$15,Paramètres!$A$1:$I$89,3,0)*0.475*44/12</f>
        <v>1.345424468991828E-6</v>
      </c>
      <c r="EY172" s="24">
        <f t="shared" si="181"/>
        <v>78.213860440503893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-2.8421709430404007E-13</v>
      </c>
      <c r="FF172" s="18">
        <f>FE172*VLOOKUP('Données projet'!$B$16,Paramètres!$A$1:$I$89,3,0)*VLOOKUP('Données projet'!$B$16,Paramètres!$A$1:$I$89,5,0)</f>
        <v>-2.5715962692629546E-13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330.53726676433649</v>
      </c>
      <c r="FK172" s="62">
        <f t="shared" si="156"/>
        <v>228.01260676706528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44.377868592280215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44.377868592280215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-2.8421709430404007E-13</v>
      </c>
      <c r="GA172" s="18">
        <f>FZ172*VLOOKUP('Données projet'!$B$17,Paramètres!$A$1:$I$89,3,0)*VLOOKUP('Données projet'!$B$17,Paramètres!$A$1:$I$89,5,0)</f>
        <v>-3.2366642699344083E-13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405.71017054131318</v>
      </c>
      <c r="GF172" s="62">
        <f t="shared" si="158"/>
        <v>276.12900965322166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55.854903573042336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55.854903573042336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-2.8421709430404007E-13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3.0859155231155454E-13</v>
      </c>
      <c r="P173" s="14">
        <f t="shared" si="141"/>
        <v>4.0660414022430783E-12</v>
      </c>
      <c r="Q173" s="22">
        <f t="shared" si="162"/>
        <v>7.619152395849318E-12</v>
      </c>
      <c r="R173" s="62">
        <f t="shared" si="109"/>
        <v>293.33333333334093</v>
      </c>
      <c r="S173" s="62">
        <f ca="1">AVERAGE(OFFSET($R$3,0,0,'Données projet'!$E$9+1,1))-AVERAGE(OFFSET($H$3,0,0,'Données projet'!$E$9+1,1))</f>
        <v>452.54136967045082</v>
      </c>
      <c r="T173" s="62">
        <f t="shared" si="142"/>
        <v>269.67340993773422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78.76989006890615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78.76989006890615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3.4583536034915599E-13</v>
      </c>
      <c r="BF173" s="14">
        <f t="shared" si="167"/>
        <v>4.4967326049770697E-12</v>
      </c>
      <c r="BG173" s="22">
        <f t="shared" si="168"/>
        <v>8.4341392062765094E-12</v>
      </c>
      <c r="BH173" s="62">
        <f t="shared" si="116"/>
        <v>293.33333333334173</v>
      </c>
      <c r="BI173" s="62">
        <f ca="1">AVERAGE(OFFSET($BH$3,0,0,'Données projet'!$E$11+1,1))-AVERAGE(OFFSET($H$3,0,0,'Données projet'!$E$11+1,1))</f>
        <v>502.06005292569733</v>
      </c>
      <c r="BJ173" s="62">
        <f t="shared" si="146"/>
        <v>297.06786598620607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88.276600939291399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88.276600939291399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-2.8421709430404007E-14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-5.1431925385259088E-14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204.787338911576</v>
      </c>
      <c r="CZ173" s="62">
        <f t="shared" si="150"/>
        <v>287.24932051638558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2.9261500351100094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2.9261500351100094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8.5265128291212022E-14</v>
      </c>
      <c r="DP173" s="18">
        <f>DO173*VLOOKUP('Données projet'!$B$14,Paramètres!$A$1:$I$89,3,0)*VLOOKUP('Données projet'!$B$14,Paramètres!$A$1:$I$89,5,0)</f>
        <v>8.1138296081917361E-14</v>
      </c>
      <c r="DQ173" s="14">
        <f t="shared" si="176"/>
        <v>1.2489471326210353E-12</v>
      </c>
      <c r="DR173" s="22">
        <f t="shared" si="177"/>
        <v>2.3165654549909759E-12</v>
      </c>
      <c r="DS173" s="62">
        <f t="shared" si="125"/>
        <v>293.33333333333564</v>
      </c>
      <c r="DT173" s="62">
        <f ca="1">AVERAGE(OFFSET($DS$3,0,0,'Données projet'!$E$14+1,1))-AVERAGE(OFFSET($H$3,0,0,'Données projet'!$E$14+1,1))</f>
        <v>309.55876703480277</v>
      </c>
      <c r="DU173" s="62">
        <f t="shared" si="152"/>
        <v>122.43799205838684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48.692017394825363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48.692017394825363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-3.4106051316484809E-13</v>
      </c>
      <c r="EK173" s="18">
        <f>EJ173*VLOOKUP('Données projet'!$B$15,Paramètres!$A$1:$I$89,3,0)*VLOOKUP('Données projet'!$B$15,Paramètres!$A$1:$I$89,5,0)</f>
        <v>-1.5961632016114892E-13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301.04834785168049</v>
      </c>
      <c r="EP173" s="62">
        <f t="shared" si="154"/>
        <v>164.1450425611464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66.944637370328067</v>
      </c>
      <c r="EW173" s="23">
        <f>EXP(-LN(2)/25)*EW172+(1-EXP(-LN(2)/25))/(LN(2)/25)*Calculateur!ER173*Calculateur!ET173*VLOOKUP('Données projet'!$B$15,Paramètres!$A$1:$I$89,3,0)*0.475*44/12</f>
        <v>9.6586788133413446</v>
      </c>
      <c r="EX173" s="23">
        <f>EXP(-LN(2)/2)*EX172+(1-EXP(-LN(2)/2))/(LN(2)/2)*ER173*EU173*VLOOKUP('Données projet'!$B$15,Paramètres!$A$1:$I$89,3,0)*0.475*44/12</f>
        <v>9.5135876559843146E-7</v>
      </c>
      <c r="EY173" s="24">
        <f t="shared" si="181"/>
        <v>76.603317135028178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-2.8421709430404007E-13</v>
      </c>
      <c r="FF173" s="18">
        <f>FE173*VLOOKUP('Données projet'!$B$16,Paramètres!$A$1:$I$89,3,0)*VLOOKUP('Données projet'!$B$16,Paramètres!$A$1:$I$89,5,0)</f>
        <v>-2.5715962692629546E-13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330.53726676433649</v>
      </c>
      <c r="FK173" s="62">
        <f t="shared" si="156"/>
        <v>228.01260676706528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43.507645657012716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43.507645657012716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-2.8421709430404007E-13</v>
      </c>
      <c r="GA173" s="18">
        <f>FZ173*VLOOKUP('Données projet'!$B$17,Paramètres!$A$1:$I$89,3,0)*VLOOKUP('Données projet'!$B$17,Paramètres!$A$1:$I$89,5,0)</f>
        <v>-3.2366642699344083E-13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405.71017054131318</v>
      </c>
      <c r="GF173" s="62">
        <f t="shared" si="158"/>
        <v>276.12900965322166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54.759622982102208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54.759622982102208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-2.8421709430404007E-13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3.0859155231155454E-13</v>
      </c>
      <c r="P174" s="14">
        <f t="shared" si="141"/>
        <v>4.0660414022430783E-12</v>
      </c>
      <c r="Q174" s="22">
        <f t="shared" si="162"/>
        <v>7.619152395849318E-12</v>
      </c>
      <c r="R174" s="62">
        <f t="shared" si="109"/>
        <v>293.33333333334093</v>
      </c>
      <c r="S174" s="62">
        <f ca="1">AVERAGE(OFFSET($R$3,0,0,'Données projet'!$E$9+1,1))-AVERAGE(OFFSET($H$3,0,0,'Données projet'!$E$9+1,1))</f>
        <v>452.54136967045082</v>
      </c>
      <c r="T174" s="62">
        <f t="shared" si="142"/>
        <v>269.67340993773422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77.225260569543806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77.225260569543806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3.4583536034915599E-13</v>
      </c>
      <c r="BF174" s="14">
        <f t="shared" si="167"/>
        <v>4.4967326049770697E-12</v>
      </c>
      <c r="BG174" s="22">
        <f t="shared" si="168"/>
        <v>8.4341392062765094E-12</v>
      </c>
      <c r="BH174" s="62">
        <f t="shared" si="116"/>
        <v>293.33333333334173</v>
      </c>
      <c r="BI174" s="62">
        <f ca="1">AVERAGE(OFFSET($BH$3,0,0,'Données projet'!$E$11+1,1))-AVERAGE(OFFSET($H$3,0,0,'Données projet'!$E$11+1,1))</f>
        <v>502.06005292569733</v>
      </c>
      <c r="BJ174" s="62">
        <f t="shared" si="146"/>
        <v>297.06786598620607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86.545550638281867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86.545550638281867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-2.8421709430404007E-14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-5.1431925385259088E-14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204.787338911576</v>
      </c>
      <c r="CZ174" s="62">
        <f t="shared" si="150"/>
        <v>287.24932051638558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2.8687700176967916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2.8687700176967916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8.5265128291212022E-14</v>
      </c>
      <c r="DP174" s="18">
        <f>DO174*VLOOKUP('Données projet'!$B$14,Paramètres!$A$1:$I$89,3,0)*VLOOKUP('Données projet'!$B$14,Paramètres!$A$1:$I$89,5,0)</f>
        <v>8.1138296081917361E-14</v>
      </c>
      <c r="DQ174" s="14">
        <f t="shared" si="176"/>
        <v>1.2489471326210353E-12</v>
      </c>
      <c r="DR174" s="22">
        <f t="shared" si="177"/>
        <v>2.3165654549909759E-12</v>
      </c>
      <c r="DS174" s="62">
        <f t="shared" si="125"/>
        <v>293.33333333333564</v>
      </c>
      <c r="DT174" s="62">
        <f ca="1">AVERAGE(OFFSET($DS$3,0,0,'Données projet'!$E$14+1,1))-AVERAGE(OFFSET($H$3,0,0,'Données projet'!$E$14+1,1))</f>
        <v>309.55876703480277</v>
      </c>
      <c r="DU174" s="62">
        <f t="shared" si="152"/>
        <v>122.43799205838684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47.737196632910894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47.737196632910894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-3.4106051316484809E-13</v>
      </c>
      <c r="EK174" s="18">
        <f>EJ174*VLOOKUP('Données projet'!$B$15,Paramètres!$A$1:$I$89,3,0)*VLOOKUP('Données projet'!$B$15,Paramètres!$A$1:$I$89,5,0)</f>
        <v>-1.5961632016114892E-13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301.04834785168049</v>
      </c>
      <c r="EP174" s="62">
        <f t="shared" si="154"/>
        <v>164.1450425611464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65.631893863692881</v>
      </c>
      <c r="EW174" s="23">
        <f>EXP(-LN(2)/25)*EW173+(1-EXP(-LN(2)/25))/(LN(2)/25)*Calculateur!ER174*Calculateur!ET174*VLOOKUP('Données projet'!$B$15,Paramètres!$A$1:$I$89,3,0)*0.475*44/12</f>
        <v>9.3945617332626821</v>
      </c>
      <c r="EX174" s="23">
        <f>EXP(-LN(2)/2)*EX173+(1-EXP(-LN(2)/2))/(LN(2)/2)*ER174*EU174*VLOOKUP('Données projet'!$B$15,Paramètres!$A$1:$I$89,3,0)*0.475*44/12</f>
        <v>6.7271223449591412E-7</v>
      </c>
      <c r="EY174" s="24">
        <f t="shared" si="181"/>
        <v>75.02645626966779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-2.8421709430404007E-13</v>
      </c>
      <c r="FF174" s="18">
        <f>FE174*VLOOKUP('Données projet'!$B$16,Paramètres!$A$1:$I$89,3,0)*VLOOKUP('Données projet'!$B$16,Paramètres!$A$1:$I$89,5,0)</f>
        <v>-2.5715962692629546E-13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330.53726676433649</v>
      </c>
      <c r="FK174" s="62">
        <f t="shared" si="156"/>
        <v>228.01260676706528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42.654487262722235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42.654487262722235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-2.8421709430404007E-13</v>
      </c>
      <c r="GA174" s="18">
        <f>FZ174*VLOOKUP('Données projet'!$B$17,Paramètres!$A$1:$I$89,3,0)*VLOOKUP('Données projet'!$B$17,Paramètres!$A$1:$I$89,5,0)</f>
        <v>-3.2366642699344083E-13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405.71017054131318</v>
      </c>
      <c r="GF174" s="62">
        <f t="shared" si="158"/>
        <v>276.12900965322166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53.685820175495216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53.685820175495216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-2.8421709430404007E-13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3.0859155231155454E-13</v>
      </c>
      <c r="P175" s="14">
        <f t="shared" si="141"/>
        <v>4.0660414022430783E-12</v>
      </c>
      <c r="Q175" s="22">
        <f t="shared" si="162"/>
        <v>7.619152395849318E-12</v>
      </c>
      <c r="R175" s="62">
        <f t="shared" si="109"/>
        <v>293.33333333334093</v>
      </c>
      <c r="S175" s="62">
        <f ca="1">AVERAGE(OFFSET($R$3,0,0,'Données projet'!$E$9+1,1))-AVERAGE(OFFSET($H$3,0,0,'Données projet'!$E$9+1,1))</f>
        <v>452.54136967045082</v>
      </c>
      <c r="T175" s="62">
        <f t="shared" si="142"/>
        <v>269.67340993773422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75.710920312532991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75.710920312532991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3.4583536034915599E-13</v>
      </c>
      <c r="BF175" s="14">
        <f t="shared" si="167"/>
        <v>4.4967326049770697E-12</v>
      </c>
      <c r="BG175" s="22">
        <f t="shared" si="168"/>
        <v>8.4341392062765094E-12</v>
      </c>
      <c r="BH175" s="62">
        <f t="shared" si="116"/>
        <v>293.33333333334173</v>
      </c>
      <c r="BI175" s="62">
        <f ca="1">AVERAGE(OFFSET($BH$3,0,0,'Données projet'!$E$11+1,1))-AVERAGE(OFFSET($H$3,0,0,'Données projet'!$E$11+1,1))</f>
        <v>502.06005292569733</v>
      </c>
      <c r="BJ175" s="62">
        <f t="shared" si="146"/>
        <v>297.06786598620607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84.848445177838713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84.848445177838713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-2.8421709430404007E-14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-5.1431925385259088E-14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204.787338911576</v>
      </c>
      <c r="CZ175" s="62">
        <f t="shared" si="150"/>
        <v>287.24932051638558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2.8125151874266923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2.8125151874266923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8.5265128291212022E-14</v>
      </c>
      <c r="DP175" s="18">
        <f>DO175*VLOOKUP('Données projet'!$B$14,Paramètres!$A$1:$I$89,3,0)*VLOOKUP('Données projet'!$B$14,Paramètres!$A$1:$I$89,5,0)</f>
        <v>8.1138296081917361E-14</v>
      </c>
      <c r="DQ175" s="14">
        <f t="shared" si="176"/>
        <v>1.2489471326210353E-12</v>
      </c>
      <c r="DR175" s="22">
        <f t="shared" si="177"/>
        <v>2.3165654549909759E-12</v>
      </c>
      <c r="DS175" s="62">
        <f t="shared" si="125"/>
        <v>293.33333333333564</v>
      </c>
      <c r="DT175" s="62">
        <f ca="1">AVERAGE(OFFSET($DS$3,0,0,'Données projet'!$E$14+1,1))-AVERAGE(OFFSET($H$3,0,0,'Données projet'!$E$14+1,1))</f>
        <v>309.55876703480277</v>
      </c>
      <c r="DU175" s="62">
        <f t="shared" si="152"/>
        <v>122.43799205838684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46.801099323754414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46.801099323754414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-3.4106051316484809E-13</v>
      </c>
      <c r="EK175" s="18">
        <f>EJ175*VLOOKUP('Données projet'!$B$15,Paramètres!$A$1:$I$89,3,0)*VLOOKUP('Données projet'!$B$15,Paramètres!$A$1:$I$89,5,0)</f>
        <v>-1.5961632016114892E-13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301.04834785168049</v>
      </c>
      <c r="EP175" s="62">
        <f t="shared" si="154"/>
        <v>164.1450425611464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64.344892456528342</v>
      </c>
      <c r="EW175" s="23">
        <f>EXP(-LN(2)/25)*EW174+(1-EXP(-LN(2)/25))/(LN(2)/25)*Calculateur!ER175*Calculateur!ET175*VLOOKUP('Données projet'!$B$15,Paramètres!$A$1:$I$89,3,0)*0.475*44/12</f>
        <v>9.1376669486280839</v>
      </c>
      <c r="EX175" s="23">
        <f>EXP(-LN(2)/2)*EX174+(1-EXP(-LN(2)/2))/(LN(2)/2)*ER175*EU175*VLOOKUP('Données projet'!$B$15,Paramètres!$A$1:$I$89,3,0)*0.475*44/12</f>
        <v>4.7567938279921584E-7</v>
      </c>
      <c r="EY175" s="24">
        <f t="shared" si="181"/>
        <v>73.482559880835808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-2.8421709430404007E-13</v>
      </c>
      <c r="FF175" s="18">
        <f>FE175*VLOOKUP('Données projet'!$B$16,Paramètres!$A$1:$I$89,3,0)*VLOOKUP('Données projet'!$B$16,Paramètres!$A$1:$I$89,5,0)</f>
        <v>-2.5715962692629546E-13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330.53726676433649</v>
      </c>
      <c r="FK175" s="62">
        <f t="shared" si="156"/>
        <v>228.01260676706528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41.818058784168549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41.818058784168549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-2.8421709430404007E-13</v>
      </c>
      <c r="GA175" s="18">
        <f>FZ175*VLOOKUP('Données projet'!$B$17,Paramètres!$A$1:$I$89,3,0)*VLOOKUP('Données projet'!$B$17,Paramètres!$A$1:$I$89,5,0)</f>
        <v>-3.2366642699344083E-13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405.71017054131318</v>
      </c>
      <c r="GF175" s="62">
        <f t="shared" si="158"/>
        <v>276.12900965322166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52.63307398697075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52.63307398697075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-2.8421709430404007E-13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3.0859155231155454E-13</v>
      </c>
      <c r="P176" s="14">
        <f t="shared" si="141"/>
        <v>4.0660414022430783E-12</v>
      </c>
      <c r="Q176" s="22">
        <f t="shared" si="162"/>
        <v>7.619152395849318E-12</v>
      </c>
      <c r="R176" s="62">
        <f t="shared" si="109"/>
        <v>293.33333333334093</v>
      </c>
      <c r="S176" s="62">
        <f ca="1">AVERAGE(OFFSET($R$3,0,0,'Données projet'!$E$9+1,1))-AVERAGE(OFFSET($H$3,0,0,'Données projet'!$E$9+1,1))</f>
        <v>452.54136967045082</v>
      </c>
      <c r="T176" s="62">
        <f t="shared" si="142"/>
        <v>269.67340993773422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74.226275344305805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74.226275344305805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3.4583536034915599E-13</v>
      </c>
      <c r="BF176" s="14">
        <f t="shared" si="167"/>
        <v>4.4967326049770697E-12</v>
      </c>
      <c r="BG176" s="22">
        <f t="shared" si="168"/>
        <v>8.4341392062765094E-12</v>
      </c>
      <c r="BH176" s="62">
        <f t="shared" si="116"/>
        <v>293.33333333334173</v>
      </c>
      <c r="BI176" s="62">
        <f ca="1">AVERAGE(OFFSET($BH$3,0,0,'Données projet'!$E$11+1,1))-AVERAGE(OFFSET($H$3,0,0,'Données projet'!$E$11+1,1))</f>
        <v>502.06005292569733</v>
      </c>
      <c r="BJ176" s="62">
        <f t="shared" si="146"/>
        <v>297.06786598620607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83.184618920342729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83.184618920342729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-2.8421709430404007E-14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-5.1431925385259088E-14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204.787338911576</v>
      </c>
      <c r="CZ176" s="62">
        <f t="shared" si="150"/>
        <v>287.24932051638558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2.7573634800661311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2.7573634800661311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8.5265128291212022E-14</v>
      </c>
      <c r="DP176" s="18">
        <f>DO176*VLOOKUP('Données projet'!$B$14,Paramètres!$A$1:$I$89,3,0)*VLOOKUP('Données projet'!$B$14,Paramètres!$A$1:$I$89,5,0)</f>
        <v>8.1138296081917361E-14</v>
      </c>
      <c r="DQ176" s="14">
        <f t="shared" si="176"/>
        <v>1.2489471326210353E-12</v>
      </c>
      <c r="DR176" s="22">
        <f t="shared" si="177"/>
        <v>2.3165654549909759E-12</v>
      </c>
      <c r="DS176" s="62">
        <f t="shared" si="125"/>
        <v>293.33333333333564</v>
      </c>
      <c r="DT176" s="62">
        <f ca="1">AVERAGE(OFFSET($DS$3,0,0,'Données projet'!$E$14+1,1))-AVERAGE(OFFSET($H$3,0,0,'Données projet'!$E$14+1,1))</f>
        <v>309.55876703480277</v>
      </c>
      <c r="DU176" s="62">
        <f t="shared" si="152"/>
        <v>122.43799205838684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45.883358311867511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45.883358311867511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-3.4106051316484809E-13</v>
      </c>
      <c r="EK176" s="18">
        <f>EJ176*VLOOKUP('Données projet'!$B$15,Paramètres!$A$1:$I$89,3,0)*VLOOKUP('Données projet'!$B$15,Paramètres!$A$1:$I$89,5,0)</f>
        <v>-1.5961632016114892E-13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301.04834785168049</v>
      </c>
      <c r="EP176" s="62">
        <f t="shared" si="154"/>
        <v>164.1450425611464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63.083128361964945</v>
      </c>
      <c r="EW176" s="23">
        <f>EXP(-LN(2)/25)*EW175+(1-EXP(-LN(2)/25))/(LN(2)/25)*Calculateur!ER176*Calculateur!ET176*VLOOKUP('Données projet'!$B$15,Paramètres!$A$1:$I$89,3,0)*0.475*44/12</f>
        <v>8.8877969653888282</v>
      </c>
      <c r="EX176" s="23">
        <f>EXP(-LN(2)/2)*EX175+(1-EXP(-LN(2)/2))/(LN(2)/2)*ER176*EU176*VLOOKUP('Données projet'!$B$15,Paramètres!$A$1:$I$89,3,0)*0.475*44/12</f>
        <v>3.3635611724795711E-7</v>
      </c>
      <c r="EY176" s="24">
        <f t="shared" si="181"/>
        <v>71.970925663709892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-2.8421709430404007E-13</v>
      </c>
      <c r="FF176" s="18">
        <f>FE176*VLOOKUP('Données projet'!$B$16,Paramètres!$A$1:$I$89,3,0)*VLOOKUP('Données projet'!$B$16,Paramètres!$A$1:$I$89,5,0)</f>
        <v>-2.5715962692629546E-13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330.53726676433649</v>
      </c>
      <c r="FK176" s="62">
        <f t="shared" si="156"/>
        <v>228.01260676706528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40.998032157908305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40.998032157908305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-2.8421709430404007E-13</v>
      </c>
      <c r="GA176" s="18">
        <f>FZ176*VLOOKUP('Données projet'!$B$17,Paramètres!$A$1:$I$89,3,0)*VLOOKUP('Données projet'!$B$17,Paramètres!$A$1:$I$89,5,0)</f>
        <v>-3.2366642699344083E-13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405.71017054131318</v>
      </c>
      <c r="GF176" s="62">
        <f t="shared" si="158"/>
        <v>276.12900965322166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51.60097150909148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51.60097150909148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-2.8421709430404007E-13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3.0859155231155454E-13</v>
      </c>
      <c r="P177" s="14">
        <f t="shared" si="141"/>
        <v>4.0660414022430783E-12</v>
      </c>
      <c r="Q177" s="22">
        <f t="shared" si="162"/>
        <v>7.619152395849318E-12</v>
      </c>
      <c r="R177" s="62">
        <f t="shared" si="109"/>
        <v>293.33333333334093</v>
      </c>
      <c r="S177" s="62">
        <f ca="1">AVERAGE(OFFSET($R$3,0,0,'Données projet'!$E$9+1,1))-AVERAGE(OFFSET($H$3,0,0,'Données projet'!$E$9+1,1))</f>
        <v>452.54136967045082</v>
      </c>
      <c r="T177" s="62">
        <f t="shared" si="142"/>
        <v>269.67340993773422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72.770743358361528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72.770743358361528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3.4583536034915599E-13</v>
      </c>
      <c r="BF177" s="14">
        <f t="shared" si="167"/>
        <v>4.4967326049770697E-12</v>
      </c>
      <c r="BG177" s="22">
        <f t="shared" si="168"/>
        <v>8.4341392062765094E-12</v>
      </c>
      <c r="BH177" s="62">
        <f t="shared" si="116"/>
        <v>293.33333333334173</v>
      </c>
      <c r="BI177" s="62">
        <f ca="1">AVERAGE(OFFSET($BH$3,0,0,'Données projet'!$E$11+1,1))-AVERAGE(OFFSET($H$3,0,0,'Données projet'!$E$11+1,1))</f>
        <v>502.06005292569733</v>
      </c>
      <c r="BJ177" s="62">
        <f t="shared" si="146"/>
        <v>297.06786598620607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81.553419280922427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81.553419280922427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-2.8421709430404007E-14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-5.1431925385259088E-14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204.787338911576</v>
      </c>
      <c r="CZ177" s="62">
        <f t="shared" si="150"/>
        <v>287.24932051638558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2.7032932640476908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2.7032932640476908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8.5265128291212022E-14</v>
      </c>
      <c r="DP177" s="18">
        <f>DO177*VLOOKUP('Données projet'!$B$14,Paramètres!$A$1:$I$89,3,0)*VLOOKUP('Données projet'!$B$14,Paramètres!$A$1:$I$89,5,0)</f>
        <v>8.1138296081917361E-14</v>
      </c>
      <c r="DQ177" s="14">
        <f t="shared" si="176"/>
        <v>1.2489471326210353E-12</v>
      </c>
      <c r="DR177" s="22">
        <f t="shared" si="177"/>
        <v>2.3165654549909759E-12</v>
      </c>
      <c r="DS177" s="62">
        <f t="shared" si="125"/>
        <v>293.33333333333564</v>
      </c>
      <c r="DT177" s="62">
        <f ca="1">AVERAGE(OFFSET($DS$3,0,0,'Données projet'!$E$14+1,1))-AVERAGE(OFFSET($H$3,0,0,'Données projet'!$E$14+1,1))</f>
        <v>309.55876703480277</v>
      </c>
      <c r="DU177" s="62">
        <f t="shared" si="152"/>
        <v>122.43799205838684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44.983613641456962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44.983613641456962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-3.4106051316484809E-13</v>
      </c>
      <c r="EK177" s="18">
        <f>EJ177*VLOOKUP('Données projet'!$B$15,Paramètres!$A$1:$I$89,3,0)*VLOOKUP('Données projet'!$B$15,Paramètres!$A$1:$I$89,5,0)</f>
        <v>-1.5961632016114892E-13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301.04834785168049</v>
      </c>
      <c r="EP177" s="62">
        <f t="shared" si="154"/>
        <v>164.1450425611464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61.846106691695837</v>
      </c>
      <c r="EW177" s="23">
        <f>EXP(-LN(2)/25)*EW176+(1-EXP(-LN(2)/25))/(LN(2)/25)*Calculateur!ER177*Calculateur!ET177*VLOOKUP('Données projet'!$B$15,Paramètres!$A$1:$I$89,3,0)*0.475*44/12</f>
        <v>8.6447596899813419</v>
      </c>
      <c r="EX177" s="23">
        <f>EXP(-LN(2)/2)*EX176+(1-EXP(-LN(2)/2))/(LN(2)/2)*ER177*EU177*VLOOKUP('Données projet'!$B$15,Paramètres!$A$1:$I$89,3,0)*0.475*44/12</f>
        <v>2.3783969139960794E-7</v>
      </c>
      <c r="EY177" s="24">
        <f t="shared" si="181"/>
        <v>70.490866619516865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-2.8421709430404007E-13</v>
      </c>
      <c r="FF177" s="18">
        <f>FE177*VLOOKUP('Données projet'!$B$16,Paramètres!$A$1:$I$89,3,0)*VLOOKUP('Données projet'!$B$16,Paramètres!$A$1:$I$89,5,0)</f>
        <v>-2.5715962692629546E-13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330.53726676433649</v>
      </c>
      <c r="FK177" s="62">
        <f t="shared" si="156"/>
        <v>228.01260676706528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40.194085753622169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40.194085753622169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-2.8421709430404007E-13</v>
      </c>
      <c r="GA177" s="18">
        <f>FZ177*VLOOKUP('Données projet'!$B$17,Paramètres!$A$1:$I$89,3,0)*VLOOKUP('Données projet'!$B$17,Paramètres!$A$1:$I$89,5,0)</f>
        <v>-3.2366642699344083E-13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405.71017054131318</v>
      </c>
      <c r="GF177" s="62">
        <f t="shared" si="158"/>
        <v>276.12900965322166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50.589107931283067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50.589107931283067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-2.8421709430404007E-13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3.0859155231155454E-13</v>
      </c>
      <c r="P178" s="14">
        <f t="shared" si="141"/>
        <v>4.0660414022430783E-12</v>
      </c>
      <c r="Q178" s="22">
        <f t="shared" si="162"/>
        <v>7.619152395849318E-12</v>
      </c>
      <c r="R178" s="62">
        <f t="shared" si="109"/>
        <v>293.33333333334093</v>
      </c>
      <c r="S178" s="62">
        <f ca="1">AVERAGE(OFFSET($R$3,0,0,'Données projet'!$E$9+1,1))-AVERAGE(OFFSET($H$3,0,0,'Données projet'!$E$9+1,1))</f>
        <v>452.54136967045082</v>
      </c>
      <c r="T178" s="62">
        <f t="shared" si="142"/>
        <v>269.67340993773422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71.343753466874773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71.343753466874773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3.4583536034915599E-13</v>
      </c>
      <c r="BF178" s="14">
        <f t="shared" si="167"/>
        <v>4.4967326049770697E-12</v>
      </c>
      <c r="BG178" s="22">
        <f t="shared" si="168"/>
        <v>8.4341392062765094E-12</v>
      </c>
      <c r="BH178" s="62">
        <f t="shared" si="116"/>
        <v>293.33333333334173</v>
      </c>
      <c r="BI178" s="62">
        <f ca="1">AVERAGE(OFFSET($BH$3,0,0,'Données projet'!$E$11+1,1))-AVERAGE(OFFSET($H$3,0,0,'Données projet'!$E$11+1,1))</f>
        <v>502.06005292569733</v>
      </c>
      <c r="BJ178" s="62">
        <f t="shared" si="146"/>
        <v>297.06786598620607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79.954206471497614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79.954206471497614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-2.8421709430404007E-14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-5.1431925385259088E-14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204.787338911576</v>
      </c>
      <c r="CZ178" s="62">
        <f t="shared" si="150"/>
        <v>287.24932051638558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2.6502833319857966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2.6502833319857966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8.5265128291212022E-14</v>
      </c>
      <c r="DP178" s="18">
        <f>DO178*VLOOKUP('Données projet'!$B$14,Paramètres!$A$1:$I$89,3,0)*VLOOKUP('Données projet'!$B$14,Paramètres!$A$1:$I$89,5,0)</f>
        <v>8.1138296081917361E-14</v>
      </c>
      <c r="DQ178" s="14">
        <f t="shared" si="176"/>
        <v>1.2489471326210353E-12</v>
      </c>
      <c r="DR178" s="22">
        <f t="shared" si="177"/>
        <v>2.3165654549909759E-12</v>
      </c>
      <c r="DS178" s="62">
        <f t="shared" si="125"/>
        <v>293.33333333333564</v>
      </c>
      <c r="DT178" s="62">
        <f ca="1">AVERAGE(OFFSET($DS$3,0,0,'Données projet'!$E$14+1,1))-AVERAGE(OFFSET($H$3,0,0,'Données projet'!$E$14+1,1))</f>
        <v>309.55876703480277</v>
      </c>
      <c r="DU178" s="62">
        <f t="shared" si="152"/>
        <v>122.43799205838684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44.101512415243107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44.101512415243107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-3.4106051316484809E-13</v>
      </c>
      <c r="EK178" s="18">
        <f>EJ178*VLOOKUP('Données projet'!$B$15,Paramètres!$A$1:$I$89,3,0)*VLOOKUP('Données projet'!$B$15,Paramètres!$A$1:$I$89,5,0)</f>
        <v>-1.5961632016114892E-13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301.04834785168049</v>
      </c>
      <c r="EP178" s="62">
        <f t="shared" si="154"/>
        <v>164.1450425611464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60.633342261871988</v>
      </c>
      <c r="EW178" s="23">
        <f>EXP(-LN(2)/25)*EW177+(1-EXP(-LN(2)/25))/(LN(2)/25)*Calculateur!ER178*Calculateur!ET178*VLOOKUP('Données projet'!$B$15,Paramètres!$A$1:$I$89,3,0)*0.475*44/12</f>
        <v>8.4083682816506471</v>
      </c>
      <c r="EX178" s="23">
        <f>EXP(-LN(2)/2)*EX177+(1-EXP(-LN(2)/2))/(LN(2)/2)*ER178*EU178*VLOOKUP('Données projet'!$B$15,Paramètres!$A$1:$I$89,3,0)*0.475*44/12</f>
        <v>1.6817805862397858E-7</v>
      </c>
      <c r="EY178" s="24">
        <f t="shared" si="181"/>
        <v>69.041710711700702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-2.8421709430404007E-13</v>
      </c>
      <c r="FF178" s="18">
        <f>FE178*VLOOKUP('Données projet'!$B$16,Paramètres!$A$1:$I$89,3,0)*VLOOKUP('Données projet'!$B$16,Paramètres!$A$1:$I$89,5,0)</f>
        <v>-2.5715962692629546E-13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330.53726676433649</v>
      </c>
      <c r="FK178" s="62">
        <f t="shared" si="156"/>
        <v>228.01260676706528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39.405904247965196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39.405904247965196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-2.8421709430404007E-13</v>
      </c>
      <c r="GA178" s="18">
        <f>FZ178*VLOOKUP('Données projet'!$B$17,Paramètres!$A$1:$I$89,3,0)*VLOOKUP('Données projet'!$B$17,Paramètres!$A$1:$I$89,5,0)</f>
        <v>-3.2366642699344083E-13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405.71017054131318</v>
      </c>
      <c r="GF178" s="62">
        <f t="shared" si="158"/>
        <v>276.12900965322166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49.59708638105964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49.59708638105964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-2.8421709430404007E-13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3.0859155231155454E-13</v>
      </c>
      <c r="P179" s="14">
        <f t="shared" si="141"/>
        <v>4.0660414022430783E-12</v>
      </c>
      <c r="Q179" s="22">
        <f t="shared" si="162"/>
        <v>7.619152395849318E-12</v>
      </c>
      <c r="R179" s="62">
        <f t="shared" si="109"/>
        <v>293.33333333334093</v>
      </c>
      <c r="S179" s="62">
        <f ca="1">AVERAGE(OFFSET($R$3,0,0,'Données projet'!$E$9+1,1))-AVERAGE(OFFSET($H$3,0,0,'Données projet'!$E$9+1,1))</f>
        <v>452.54136967045082</v>
      </c>
      <c r="T179" s="62">
        <f t="shared" si="142"/>
        <v>269.67340993773422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69.944745976782187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69.944745976782187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3.4583536034915599E-13</v>
      </c>
      <c r="BF179" s="14">
        <f t="shared" si="167"/>
        <v>4.4967326049770697E-12</v>
      </c>
      <c r="BG179" s="22">
        <f t="shared" si="168"/>
        <v>8.4341392062765094E-12</v>
      </c>
      <c r="BH179" s="62">
        <f t="shared" si="116"/>
        <v>293.33333333334173</v>
      </c>
      <c r="BI179" s="62">
        <f ca="1">AVERAGE(OFFSET($BH$3,0,0,'Données projet'!$E$11+1,1))-AVERAGE(OFFSET($H$3,0,0,'Données projet'!$E$11+1,1))</f>
        <v>502.06005292569733</v>
      </c>
      <c r="BJ179" s="62">
        <f t="shared" si="146"/>
        <v>297.06786598620607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78.386353249842131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78.386353249842131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-2.8421709430404007E-14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-5.1431925385259088E-14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204.787338911576</v>
      </c>
      <c r="CZ179" s="62">
        <f t="shared" si="150"/>
        <v>287.24932051638558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2.5983128923587704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2.5983128923587704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8.5265128291212022E-14</v>
      </c>
      <c r="DP179" s="18">
        <f>DO179*VLOOKUP('Données projet'!$B$14,Paramètres!$A$1:$I$89,3,0)*VLOOKUP('Données projet'!$B$14,Paramètres!$A$1:$I$89,5,0)</f>
        <v>8.1138296081917361E-14</v>
      </c>
      <c r="DQ179" s="14">
        <f t="shared" si="176"/>
        <v>1.2489471326210353E-12</v>
      </c>
      <c r="DR179" s="22">
        <f t="shared" si="177"/>
        <v>2.3165654549909759E-12</v>
      </c>
      <c r="DS179" s="62">
        <f t="shared" si="125"/>
        <v>293.33333333333564</v>
      </c>
      <c r="DT179" s="62">
        <f ca="1">AVERAGE(OFFSET($DS$3,0,0,'Données projet'!$E$14+1,1))-AVERAGE(OFFSET($H$3,0,0,'Données projet'!$E$14+1,1))</f>
        <v>309.55876703480277</v>
      </c>
      <c r="DU179" s="62">
        <f t="shared" si="152"/>
        <v>122.43799205838684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43.23670865604668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43.23670865604668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-3.4106051316484809E-13</v>
      </c>
      <c r="EK179" s="18">
        <f>EJ179*VLOOKUP('Données projet'!$B$15,Paramètres!$A$1:$I$89,3,0)*VLOOKUP('Données projet'!$B$15,Paramètres!$A$1:$I$89,5,0)</f>
        <v>-1.5961632016114892E-13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301.04834785168049</v>
      </c>
      <c r="EP179" s="62">
        <f t="shared" si="154"/>
        <v>164.1450425611464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59.44435940280372</v>
      </c>
      <c r="EW179" s="23">
        <f>EXP(-LN(2)/25)*EW178+(1-EXP(-LN(2)/25))/(LN(2)/25)*Calculateur!ER179*Calculateur!ET179*VLOOKUP('Données projet'!$B$15,Paramètres!$A$1:$I$89,3,0)*0.475*44/12</f>
        <v>8.1784410088120403</v>
      </c>
      <c r="EX179" s="23">
        <f>EXP(-LN(2)/2)*EX178+(1-EXP(-LN(2)/2))/(LN(2)/2)*ER179*EU179*VLOOKUP('Données projet'!$B$15,Paramètres!$A$1:$I$89,3,0)*0.475*44/12</f>
        <v>1.18919845699804E-7</v>
      </c>
      <c r="EY179" s="24">
        <f t="shared" si="181"/>
        <v>67.622800530535599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-2.8421709430404007E-13</v>
      </c>
      <c r="FF179" s="18">
        <f>FE179*VLOOKUP('Données projet'!$B$16,Paramètres!$A$1:$I$89,3,0)*VLOOKUP('Données projet'!$B$16,Paramètres!$A$1:$I$89,5,0)</f>
        <v>-2.5715962692629546E-13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330.53726676433649</v>
      </c>
      <c r="FK179" s="62">
        <f t="shared" si="156"/>
        <v>228.01260676706528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38.633178500890907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38.633178500890907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-2.8421709430404007E-13</v>
      </c>
      <c r="GA179" s="18">
        <f>FZ179*VLOOKUP('Données projet'!$B$17,Paramètres!$A$1:$I$89,3,0)*VLOOKUP('Données projet'!$B$17,Paramètres!$A$1:$I$89,5,0)</f>
        <v>-3.2366642699344083E-13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405.71017054131318</v>
      </c>
      <c r="GF179" s="62">
        <f t="shared" si="158"/>
        <v>276.12900965322166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48.624517768362693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48.624517768362693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-2.8421709430404007E-13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3.0859155231155454E-13</v>
      </c>
      <c r="P180" s="14">
        <f t="shared" si="141"/>
        <v>4.0660414022430783E-12</v>
      </c>
      <c r="Q180" s="22">
        <f t="shared" si="162"/>
        <v>7.619152395849318E-12</v>
      </c>
      <c r="R180" s="62">
        <f t="shared" si="109"/>
        <v>293.33333333334093</v>
      </c>
      <c r="S180" s="62">
        <f ca="1">AVERAGE(OFFSET($R$3,0,0,'Données projet'!$E$9+1,1))-AVERAGE(OFFSET($H$3,0,0,'Données projet'!$E$9+1,1))</f>
        <v>452.54136967045082</v>
      </c>
      <c r="T180" s="62">
        <f t="shared" si="142"/>
        <v>269.67340993773422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68.573172170260008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68.573172170260008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3.4583536034915599E-13</v>
      </c>
      <c r="BF180" s="14">
        <f t="shared" si="167"/>
        <v>4.4967326049770697E-12</v>
      </c>
      <c r="BG180" s="22">
        <f t="shared" si="168"/>
        <v>8.4341392062765094E-12</v>
      </c>
      <c r="BH180" s="62">
        <f t="shared" si="116"/>
        <v>293.33333333334173</v>
      </c>
      <c r="BI180" s="62">
        <f ca="1">AVERAGE(OFFSET($BH$3,0,0,'Données projet'!$E$11+1,1))-AVERAGE(OFFSET($H$3,0,0,'Données projet'!$E$11+1,1))</f>
        <v>502.06005292569733</v>
      </c>
      <c r="BJ180" s="62">
        <f t="shared" si="146"/>
        <v>297.06786598620607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76.84924467356727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76.84924467356727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-2.8421709430404007E-14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-5.1431925385259088E-14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204.787338911576</v>
      </c>
      <c r="CZ180" s="62">
        <f t="shared" si="150"/>
        <v>287.24932051638558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2.5473615613539917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2.5473615613539917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8.5265128291212022E-14</v>
      </c>
      <c r="DP180" s="18">
        <f>DO180*VLOOKUP('Données projet'!$B$14,Paramètres!$A$1:$I$89,3,0)*VLOOKUP('Données projet'!$B$14,Paramètres!$A$1:$I$89,5,0)</f>
        <v>8.1138296081917361E-14</v>
      </c>
      <c r="DQ180" s="14">
        <f t="shared" si="176"/>
        <v>1.2489471326210353E-12</v>
      </c>
      <c r="DR180" s="22">
        <f t="shared" si="177"/>
        <v>2.3165654549909759E-12</v>
      </c>
      <c r="DS180" s="62">
        <f t="shared" si="125"/>
        <v>293.33333333333564</v>
      </c>
      <c r="DT180" s="62">
        <f ca="1">AVERAGE(OFFSET($DS$3,0,0,'Données projet'!$E$14+1,1))-AVERAGE(OFFSET($H$3,0,0,'Données projet'!$E$14+1,1))</f>
        <v>309.55876703480277</v>
      </c>
      <c r="DU180" s="62">
        <f t="shared" si="152"/>
        <v>122.43799205838684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42.388863171089888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42.388863171089888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-3.4106051316484809E-13</v>
      </c>
      <c r="EK180" s="18">
        <f>EJ180*VLOOKUP('Données projet'!$B$15,Paramètres!$A$1:$I$89,3,0)*VLOOKUP('Données projet'!$B$15,Paramètres!$A$1:$I$89,5,0)</f>
        <v>-1.5961632016114892E-13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301.04834785168049</v>
      </c>
      <c r="EP180" s="62">
        <f t="shared" si="154"/>
        <v>164.1450425611464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58.278691772393849</v>
      </c>
      <c r="EW180" s="23">
        <f>EXP(-LN(2)/25)*EW179+(1-EXP(-LN(2)/25))/(LN(2)/25)*Calculateur!ER180*Calculateur!ET180*VLOOKUP('Données projet'!$B$15,Paramètres!$A$1:$I$89,3,0)*0.475*44/12</f>
        <v>7.9548011093405542</v>
      </c>
      <c r="EX180" s="23">
        <f>EXP(-LN(2)/2)*EX179+(1-EXP(-LN(2)/2))/(LN(2)/2)*ER180*EU180*VLOOKUP('Données projet'!$B$15,Paramètres!$A$1:$I$89,3,0)*0.475*44/12</f>
        <v>8.4089029311989305E-8</v>
      </c>
      <c r="EY180" s="24">
        <f t="shared" si="181"/>
        <v>66.23349296582343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-2.8421709430404007E-13</v>
      </c>
      <c r="FF180" s="18">
        <f>FE180*VLOOKUP('Données projet'!$B$16,Paramètres!$A$1:$I$89,3,0)*VLOOKUP('Données projet'!$B$16,Paramètres!$A$1:$I$89,5,0)</f>
        <v>-2.5715962692629546E-13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330.53726676433649</v>
      </c>
      <c r="FK180" s="62">
        <f t="shared" si="156"/>
        <v>228.01260676706528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37.875605434400576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37.875605434400576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-2.8421709430404007E-13</v>
      </c>
      <c r="GA180" s="18">
        <f>FZ180*VLOOKUP('Données projet'!$B$17,Paramètres!$A$1:$I$89,3,0)*VLOOKUP('Données projet'!$B$17,Paramètres!$A$1:$I$89,5,0)</f>
        <v>-3.2366642699344083E-13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405.71017054131318</v>
      </c>
      <c r="GF180" s="62">
        <f t="shared" si="158"/>
        <v>276.12900965322166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47.671020632952455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47.671020632952455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-2.8421709430404007E-13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3.0859155231155454E-13</v>
      </c>
      <c r="P181" s="14">
        <f t="shared" si="141"/>
        <v>4.0660414022430783E-12</v>
      </c>
      <c r="Q181" s="22">
        <f t="shared" si="162"/>
        <v>7.619152395849318E-12</v>
      </c>
      <c r="R181" s="62">
        <f t="shared" si="109"/>
        <v>293.33333333334093</v>
      </c>
      <c r="S181" s="62">
        <f ca="1">AVERAGE(OFFSET($R$3,0,0,'Données projet'!$E$9+1,1))-AVERAGE(OFFSET($H$3,0,0,'Données projet'!$E$9+1,1))</f>
        <v>452.54136967045082</v>
      </c>
      <c r="T181" s="62">
        <f t="shared" si="142"/>
        <v>269.67340993773422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67.228494089506313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67.228494089506313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3.4583536034915599E-13</v>
      </c>
      <c r="BF181" s="14">
        <f t="shared" si="167"/>
        <v>4.4967326049770697E-12</v>
      </c>
      <c r="BG181" s="22">
        <f t="shared" si="168"/>
        <v>8.4341392062765094E-12</v>
      </c>
      <c r="BH181" s="62">
        <f t="shared" si="116"/>
        <v>293.33333333334173</v>
      </c>
      <c r="BI181" s="62">
        <f ca="1">AVERAGE(OFFSET($BH$3,0,0,'Données projet'!$E$11+1,1))-AVERAGE(OFFSET($H$3,0,0,'Données projet'!$E$11+1,1))</f>
        <v>502.06005292569733</v>
      </c>
      <c r="BJ181" s="62">
        <f t="shared" si="146"/>
        <v>297.06786598620607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75.342277858929506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75.342277858929506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-2.8421709430404007E-14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-5.1431925385259088E-14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204.787338911576</v>
      </c>
      <c r="CZ181" s="62">
        <f t="shared" si="150"/>
        <v>287.24932051638558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2.4974093548729734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2.4974093548729734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8.5265128291212022E-14</v>
      </c>
      <c r="DP181" s="18">
        <f>DO181*VLOOKUP('Données projet'!$B$14,Paramètres!$A$1:$I$89,3,0)*VLOOKUP('Données projet'!$B$14,Paramètres!$A$1:$I$89,5,0)</f>
        <v>8.1138296081917361E-14</v>
      </c>
      <c r="DQ181" s="14">
        <f t="shared" si="176"/>
        <v>1.2489471326210353E-12</v>
      </c>
      <c r="DR181" s="22">
        <f t="shared" si="177"/>
        <v>2.3165654549909759E-12</v>
      </c>
      <c r="DS181" s="62">
        <f t="shared" si="125"/>
        <v>293.33333333333564</v>
      </c>
      <c r="DT181" s="62">
        <f ca="1">AVERAGE(OFFSET($DS$3,0,0,'Données projet'!$E$14+1,1))-AVERAGE(OFFSET($H$3,0,0,'Données projet'!$E$14+1,1))</f>
        <v>309.55876703480277</v>
      </c>
      <c r="DU181" s="62">
        <f t="shared" si="152"/>
        <v>122.43799205838684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41.557643418958413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41.557643418958413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-3.4106051316484809E-13</v>
      </c>
      <c r="EK181" s="18">
        <f>EJ181*VLOOKUP('Données projet'!$B$15,Paramètres!$A$1:$I$89,3,0)*VLOOKUP('Données projet'!$B$15,Paramètres!$A$1:$I$89,5,0)</f>
        <v>-1.5961632016114892E-13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301.04834785168049</v>
      </c>
      <c r="EP181" s="62">
        <f t="shared" si="154"/>
        <v>164.1450425611464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57.135882173229263</v>
      </c>
      <c r="EW181" s="23">
        <f>EXP(-LN(2)/25)*EW180+(1-EXP(-LN(2)/25))/(LN(2)/25)*Calculateur!ER181*Calculateur!ET181*VLOOKUP('Données projet'!$B$15,Paramètres!$A$1:$I$89,3,0)*0.475*44/12</f>
        <v>7.7372766546808274</v>
      </c>
      <c r="EX181" s="23">
        <f>EXP(-LN(2)/2)*EX180+(1-EXP(-LN(2)/2))/(LN(2)/2)*ER181*EU181*VLOOKUP('Données projet'!$B$15,Paramètres!$A$1:$I$89,3,0)*0.475*44/12</f>
        <v>5.9459922849902006E-8</v>
      </c>
      <c r="EY181" s="24">
        <f t="shared" si="181"/>
        <v>64.87315888737001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-2.8421709430404007E-13</v>
      </c>
      <c r="FF181" s="18">
        <f>FE181*VLOOKUP('Données projet'!$B$16,Paramètres!$A$1:$I$89,3,0)*VLOOKUP('Données projet'!$B$16,Paramètres!$A$1:$I$89,5,0)</f>
        <v>-2.5715962692629546E-13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330.53726676433649</v>
      </c>
      <c r="FK181" s="62">
        <f t="shared" si="156"/>
        <v>228.01260676706528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37.132887913670181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37.132887913670181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-2.8421709430404007E-13</v>
      </c>
      <c r="GA181" s="18">
        <f>FZ181*VLOOKUP('Données projet'!$B$17,Paramètres!$A$1:$I$89,3,0)*VLOOKUP('Données projet'!$B$17,Paramètres!$A$1:$I$89,5,0)</f>
        <v>-3.2366642699344083E-13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405.71017054131318</v>
      </c>
      <c r="GF181" s="62">
        <f t="shared" si="158"/>
        <v>276.12900965322166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46.736220994791786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46.736220994791786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-2.8421709430404007E-13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3.0859155231155454E-13</v>
      </c>
      <c r="P182" s="14">
        <f t="shared" si="141"/>
        <v>4.0660414022430783E-12</v>
      </c>
      <c r="Q182" s="22">
        <f t="shared" si="162"/>
        <v>7.619152395849318E-12</v>
      </c>
      <c r="R182" s="62">
        <f t="shared" si="109"/>
        <v>293.33333333334093</v>
      </c>
      <c r="S182" s="62">
        <f ca="1">AVERAGE(OFFSET($R$3,0,0,'Données projet'!$E$9+1,1))-AVERAGE(OFFSET($H$3,0,0,'Données projet'!$E$9+1,1))</f>
        <v>452.54136967045082</v>
      </c>
      <c r="T182" s="62">
        <f t="shared" si="142"/>
        <v>269.67340993773422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65.910184325743543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65.910184325743543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3.4583536034915599E-13</v>
      </c>
      <c r="BF182" s="14">
        <f t="shared" si="167"/>
        <v>4.4967326049770697E-12</v>
      </c>
      <c r="BG182" s="22">
        <f t="shared" si="168"/>
        <v>8.4341392062765094E-12</v>
      </c>
      <c r="BH182" s="62">
        <f t="shared" si="116"/>
        <v>293.33333333334173</v>
      </c>
      <c r="BI182" s="62">
        <f ca="1">AVERAGE(OFFSET($BH$3,0,0,'Données projet'!$E$11+1,1))-AVERAGE(OFFSET($H$3,0,0,'Données projet'!$E$11+1,1))</f>
        <v>502.06005292569733</v>
      </c>
      <c r="BJ182" s="62">
        <f t="shared" si="146"/>
        <v>297.06786598620607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73.864861744367786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73.864861744367786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-2.8421709430404007E-14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-5.1431925385259088E-14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204.787338911576</v>
      </c>
      <c r="CZ182" s="62">
        <f t="shared" si="150"/>
        <v>287.24932051638558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2.4484366806932107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2.4484366806932107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8.5265128291212022E-14</v>
      </c>
      <c r="DP182" s="18">
        <f>DO182*VLOOKUP('Données projet'!$B$14,Paramètres!$A$1:$I$89,3,0)*VLOOKUP('Données projet'!$B$14,Paramètres!$A$1:$I$89,5,0)</f>
        <v>8.1138296081917361E-14</v>
      </c>
      <c r="DQ182" s="14">
        <f t="shared" si="176"/>
        <v>1.2489471326210353E-12</v>
      </c>
      <c r="DR182" s="22">
        <f t="shared" si="177"/>
        <v>2.3165654549909759E-12</v>
      </c>
      <c r="DS182" s="62">
        <f t="shared" si="125"/>
        <v>293.33333333333564</v>
      </c>
      <c r="DT182" s="62">
        <f ca="1">AVERAGE(OFFSET($DS$3,0,0,'Données projet'!$E$14+1,1))-AVERAGE(OFFSET($H$3,0,0,'Données projet'!$E$14+1,1))</f>
        <v>309.55876703480277</v>
      </c>
      <c r="DU182" s="62">
        <f t="shared" si="152"/>
        <v>122.43799205838684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40.742723379172254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40.742723379172254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-3.4106051316484809E-13</v>
      </c>
      <c r="EK182" s="18">
        <f>EJ182*VLOOKUP('Données projet'!$B$15,Paramètres!$A$1:$I$89,3,0)*VLOOKUP('Données projet'!$B$15,Paramètres!$A$1:$I$89,5,0)</f>
        <v>-1.5961632016114892E-13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301.04834785168049</v>
      </c>
      <c r="EP182" s="62">
        <f t="shared" si="154"/>
        <v>164.1450425611464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56.015482373259267</v>
      </c>
      <c r="EW182" s="23">
        <f>EXP(-LN(2)/25)*EW181+(1-EXP(-LN(2)/25))/(LN(2)/25)*Calculateur!ER182*Calculateur!ET182*VLOOKUP('Données projet'!$B$15,Paramètres!$A$1:$I$89,3,0)*0.475*44/12</f>
        <v>7.5257004176728843</v>
      </c>
      <c r="EX182" s="23">
        <f>EXP(-LN(2)/2)*EX181+(1-EXP(-LN(2)/2))/(LN(2)/2)*ER182*EU182*VLOOKUP('Données projet'!$B$15,Paramètres!$A$1:$I$89,3,0)*0.475*44/12</f>
        <v>4.2044514655994659E-8</v>
      </c>
      <c r="EY182" s="24">
        <f t="shared" si="181"/>
        <v>63.541182832976666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-2.8421709430404007E-13</v>
      </c>
      <c r="FF182" s="18">
        <f>FE182*VLOOKUP('Données projet'!$B$16,Paramètres!$A$1:$I$89,3,0)*VLOOKUP('Données projet'!$B$16,Paramètres!$A$1:$I$89,5,0)</f>
        <v>-2.5715962692629546E-13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330.53726676433649</v>
      </c>
      <c r="FK182" s="62">
        <f t="shared" si="156"/>
        <v>228.01260676706528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36.404734630508351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36.404734630508351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-2.8421709430404007E-13</v>
      </c>
      <c r="GA182" s="18">
        <f>FZ182*VLOOKUP('Données projet'!$B$17,Paramètres!$A$1:$I$89,3,0)*VLOOKUP('Données projet'!$B$17,Paramètres!$A$1:$I$89,5,0)</f>
        <v>-3.2366642699344083E-13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405.71017054131318</v>
      </c>
      <c r="GF182" s="62">
        <f t="shared" si="158"/>
        <v>276.12900965322166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45.819752207363962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45.819752207363962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-2.8421709430404007E-13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3.0859155231155454E-13</v>
      </c>
      <c r="P183" s="14">
        <f t="shared" si="141"/>
        <v>4.0660414022430783E-12</v>
      </c>
      <c r="Q183" s="22">
        <f t="shared" si="162"/>
        <v>7.619152395849318E-12</v>
      </c>
      <c r="R183" s="62">
        <f t="shared" si="109"/>
        <v>293.33333333334093</v>
      </c>
      <c r="S183" s="62">
        <f ca="1">AVERAGE(OFFSET($R$3,0,0,'Données projet'!$E$9+1,1))-AVERAGE(OFFSET($H$3,0,0,'Données projet'!$E$9+1,1))</f>
        <v>452.54136967045082</v>
      </c>
      <c r="T183" s="62">
        <f t="shared" si="142"/>
        <v>269.67340993773422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64.617725812358614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64.617725812358614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3.4583536034915599E-13</v>
      </c>
      <c r="BF183" s="14">
        <f t="shared" si="167"/>
        <v>4.4967326049770697E-12</v>
      </c>
      <c r="BG183" s="22">
        <f t="shared" si="168"/>
        <v>8.4341392062765094E-12</v>
      </c>
      <c r="BH183" s="62">
        <f t="shared" si="116"/>
        <v>293.33333333334173</v>
      </c>
      <c r="BI183" s="62">
        <f ca="1">AVERAGE(OFFSET($BH$3,0,0,'Données projet'!$E$11+1,1))-AVERAGE(OFFSET($H$3,0,0,'Données projet'!$E$11+1,1))</f>
        <v>502.06005292569733</v>
      </c>
      <c r="BJ183" s="62">
        <f t="shared" si="146"/>
        <v>297.06786598620607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72.416416858677778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72.416416858677778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-2.8421709430404007E-14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-5.1431925385259088E-14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204.787338911576</v>
      </c>
      <c r="CZ183" s="62">
        <f t="shared" si="150"/>
        <v>287.24932051638558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2.4004243307837312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2.4004243307837312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8.5265128291212022E-14</v>
      </c>
      <c r="DP183" s="18">
        <f>DO183*VLOOKUP('Données projet'!$B$14,Paramètres!$A$1:$I$89,3,0)*VLOOKUP('Données projet'!$B$14,Paramètres!$A$1:$I$89,5,0)</f>
        <v>8.1138296081917361E-14</v>
      </c>
      <c r="DQ183" s="14">
        <f t="shared" si="176"/>
        <v>1.2489471326210353E-12</v>
      </c>
      <c r="DR183" s="22">
        <f t="shared" si="177"/>
        <v>2.3165654549909759E-12</v>
      </c>
      <c r="DS183" s="62">
        <f t="shared" si="125"/>
        <v>293.33333333333564</v>
      </c>
      <c r="DT183" s="62">
        <f ca="1">AVERAGE(OFFSET($DS$3,0,0,'Données projet'!$E$14+1,1))-AVERAGE(OFFSET($H$3,0,0,'Données projet'!$E$14+1,1))</f>
        <v>309.55876703480277</v>
      </c>
      <c r="DU183" s="62">
        <f t="shared" si="152"/>
        <v>122.43799205838684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39.943783424314155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39.943783424314155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-3.4106051316484809E-13</v>
      </c>
      <c r="EK183" s="18">
        <f>EJ183*VLOOKUP('Données projet'!$B$15,Paramètres!$A$1:$I$89,3,0)*VLOOKUP('Données projet'!$B$15,Paramètres!$A$1:$I$89,5,0)</f>
        <v>-1.5961632016114892E-13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301.04834785168049</v>
      </c>
      <c r="EP183" s="62">
        <f t="shared" si="154"/>
        <v>164.1450425611464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54.917052929990284</v>
      </c>
      <c r="EW183" s="23">
        <f>EXP(-LN(2)/25)*EW182+(1-EXP(-LN(2)/25))/(LN(2)/25)*Calculateur!ER183*Calculateur!ET183*VLOOKUP('Données projet'!$B$15,Paramètres!$A$1:$I$89,3,0)*0.475*44/12</f>
        <v>7.3199097439922349</v>
      </c>
      <c r="EX183" s="23">
        <f>EXP(-LN(2)/2)*EX182+(1-EXP(-LN(2)/2))/(LN(2)/2)*ER183*EU183*VLOOKUP('Données projet'!$B$15,Paramètres!$A$1:$I$89,3,0)*0.475*44/12</f>
        <v>2.972996142495101E-8</v>
      </c>
      <c r="EY183" s="24">
        <f t="shared" si="181"/>
        <v>62.236962703712479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-2.8421709430404007E-13</v>
      </c>
      <c r="FF183" s="18">
        <f>FE183*VLOOKUP('Données projet'!$B$16,Paramètres!$A$1:$I$89,3,0)*VLOOKUP('Données projet'!$B$16,Paramètres!$A$1:$I$89,5,0)</f>
        <v>-2.5715962692629546E-13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330.53726676433649</v>
      </c>
      <c r="FK183" s="62">
        <f t="shared" si="156"/>
        <v>228.01260676706528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35.690859989099678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35.690859989099678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-2.8421709430404007E-13</v>
      </c>
      <c r="GA183" s="18">
        <f>FZ183*VLOOKUP('Données projet'!$B$17,Paramètres!$A$1:$I$89,3,0)*VLOOKUP('Données projet'!$B$17,Paramètres!$A$1:$I$89,5,0)</f>
        <v>-3.2366642699344083E-13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405.71017054131318</v>
      </c>
      <c r="GF183" s="62">
        <f t="shared" si="158"/>
        <v>276.12900965322166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44.921254813866838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44.921254813866838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-2.8421709430404007E-13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3.0859155231155454E-13</v>
      </c>
      <c r="P184" s="14">
        <f t="shared" si="141"/>
        <v>4.0660414022430783E-12</v>
      </c>
      <c r="Q184" s="22">
        <f t="shared" si="162"/>
        <v>7.619152395849318E-12</v>
      </c>
      <c r="R184" s="62">
        <f t="shared" si="109"/>
        <v>293.33333333334093</v>
      </c>
      <c r="S184" s="62">
        <f ca="1">AVERAGE(OFFSET($R$3,0,0,'Données projet'!$E$9+1,1))-AVERAGE(OFFSET($H$3,0,0,'Données projet'!$E$9+1,1))</f>
        <v>452.54136967045082</v>
      </c>
      <c r="T184" s="62">
        <f t="shared" si="142"/>
        <v>269.67340993773422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63.350611622099308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63.350611622099308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3.4583536034915599E-13</v>
      </c>
      <c r="BF184" s="14">
        <f t="shared" si="167"/>
        <v>4.4967326049770697E-12</v>
      </c>
      <c r="BG184" s="22">
        <f t="shared" si="168"/>
        <v>8.4341392062765094E-12</v>
      </c>
      <c r="BH184" s="62">
        <f t="shared" si="116"/>
        <v>293.33333333334173</v>
      </c>
      <c r="BI184" s="62">
        <f ca="1">AVERAGE(OFFSET($BH$3,0,0,'Données projet'!$E$11+1,1))-AVERAGE(OFFSET($H$3,0,0,'Données projet'!$E$11+1,1))</f>
        <v>502.06005292569733</v>
      </c>
      <c r="BJ184" s="62">
        <f t="shared" si="146"/>
        <v>297.06786598620607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70.996375093731999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70.996375093731999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-2.8421709430404007E-14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-5.1431925385259088E-14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204.787338911576</v>
      </c>
      <c r="CZ184" s="62">
        <f t="shared" si="150"/>
        <v>287.24932051638558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2.3533534737713349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2.3533534737713349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8.5265128291212022E-14</v>
      </c>
      <c r="DP184" s="18">
        <f>DO184*VLOOKUP('Données projet'!$B$14,Paramètres!$A$1:$I$89,3,0)*VLOOKUP('Données projet'!$B$14,Paramètres!$A$1:$I$89,5,0)</f>
        <v>8.1138296081917361E-14</v>
      </c>
      <c r="DQ184" s="14">
        <f t="shared" si="176"/>
        <v>1.2489471326210353E-12</v>
      </c>
      <c r="DR184" s="22">
        <f t="shared" si="177"/>
        <v>2.3165654549909759E-12</v>
      </c>
      <c r="DS184" s="62">
        <f t="shared" si="125"/>
        <v>293.33333333333564</v>
      </c>
      <c r="DT184" s="62">
        <f ca="1">AVERAGE(OFFSET($DS$3,0,0,'Données projet'!$E$14+1,1))-AVERAGE(OFFSET($H$3,0,0,'Données projet'!$E$14+1,1))</f>
        <v>309.55876703480277</v>
      </c>
      <c r="DU184" s="62">
        <f t="shared" si="152"/>
        <v>122.43799205838684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39.160510194665569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39.160510194665569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-3.4106051316484809E-13</v>
      </c>
      <c r="EK184" s="18">
        <f>EJ184*VLOOKUP('Données projet'!$B$15,Paramètres!$A$1:$I$89,3,0)*VLOOKUP('Données projet'!$B$15,Paramètres!$A$1:$I$89,5,0)</f>
        <v>-1.5961632016114892E-13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301.04834785168049</v>
      </c>
      <c r="EP184" s="62">
        <f t="shared" si="154"/>
        <v>164.1450425611464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53.840163018127996</v>
      </c>
      <c r="EW184" s="23">
        <f>EXP(-LN(2)/25)*EW183+(1-EXP(-LN(2)/25))/(LN(2)/25)*Calculateur!ER184*Calculateur!ET184*VLOOKUP('Données projet'!$B$15,Paramètres!$A$1:$I$89,3,0)*0.475*44/12</f>
        <v>7.1197464271054436</v>
      </c>
      <c r="EX184" s="23">
        <f>EXP(-LN(2)/2)*EX183+(1-EXP(-LN(2)/2))/(LN(2)/2)*ER184*EU184*VLOOKUP('Données projet'!$B$15,Paramètres!$A$1:$I$89,3,0)*0.475*44/12</f>
        <v>2.1022257327997333E-8</v>
      </c>
      <c r="EY184" s="24">
        <f t="shared" si="181"/>
        <v>60.959909466255695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-2.8421709430404007E-13</v>
      </c>
      <c r="FF184" s="18">
        <f>FE184*VLOOKUP('Données projet'!$B$16,Paramètres!$A$1:$I$89,3,0)*VLOOKUP('Données projet'!$B$16,Paramètres!$A$1:$I$89,5,0)</f>
        <v>-2.5715962692629546E-13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330.53726676433649</v>
      </c>
      <c r="FK184" s="62">
        <f t="shared" si="156"/>
        <v>228.01260676706528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34.990983993988486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34.990983993988486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-2.8421709430404007E-13</v>
      </c>
      <c r="GA184" s="18">
        <f>FZ184*VLOOKUP('Données projet'!$B$17,Paramètres!$A$1:$I$89,3,0)*VLOOKUP('Données projet'!$B$17,Paramètres!$A$1:$I$89,5,0)</f>
        <v>-3.2366642699344083E-13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405.71017054131318</v>
      </c>
      <c r="GF184" s="62">
        <f t="shared" si="158"/>
        <v>276.12900965322166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44.040376406226891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44.040376406226891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-2.8421709430404007E-13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3.0859155231155454E-13</v>
      </c>
      <c r="P185" s="14">
        <f t="shared" si="141"/>
        <v>4.0660414022430783E-12</v>
      </c>
      <c r="Q185" s="22">
        <f t="shared" si="162"/>
        <v>7.619152395849318E-12</v>
      </c>
      <c r="R185" s="62">
        <f t="shared" si="109"/>
        <v>293.33333333334093</v>
      </c>
      <c r="S185" s="62">
        <f ca="1">AVERAGE(OFFSET($R$3,0,0,'Données projet'!$E$9+1,1))-AVERAGE(OFFSET($H$3,0,0,'Données projet'!$E$9+1,1))</f>
        <v>452.54136967045082</v>
      </c>
      <c r="T185" s="62">
        <f t="shared" si="142"/>
        <v>269.67340993773422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62.10834476824764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62.10834476824764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3.4583536034915599E-13</v>
      </c>
      <c r="BF185" s="14">
        <f t="shared" si="167"/>
        <v>4.4967326049770697E-12</v>
      </c>
      <c r="BG185" s="22">
        <f t="shared" si="168"/>
        <v>8.4341392062765094E-12</v>
      </c>
      <c r="BH185" s="62">
        <f t="shared" si="116"/>
        <v>293.33333333334173</v>
      </c>
      <c r="BI185" s="62">
        <f ca="1">AVERAGE(OFFSET($BH$3,0,0,'Données projet'!$E$11+1,1))-AVERAGE(OFFSET($H$3,0,0,'Données projet'!$E$11+1,1))</f>
        <v>502.06005292569733</v>
      </c>
      <c r="BJ185" s="62">
        <f t="shared" si="146"/>
        <v>297.06786598620607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69.604179481656857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69.604179481656857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-2.8421709430404007E-14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-5.1431925385259088E-14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204.787338911576</v>
      </c>
      <c r="CZ185" s="62">
        <f t="shared" si="150"/>
        <v>287.24932051638558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2.3072056475545635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2.3072056475545635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8.5265128291212022E-14</v>
      </c>
      <c r="DP185" s="18">
        <f>DO185*VLOOKUP('Données projet'!$B$14,Paramètres!$A$1:$I$89,3,0)*VLOOKUP('Données projet'!$B$14,Paramètres!$A$1:$I$89,5,0)</f>
        <v>8.1138296081917361E-14</v>
      </c>
      <c r="DQ185" s="14">
        <f t="shared" si="176"/>
        <v>1.2489471326210353E-12</v>
      </c>
      <c r="DR185" s="22">
        <f t="shared" si="177"/>
        <v>2.3165654549909759E-12</v>
      </c>
      <c r="DS185" s="62">
        <f t="shared" si="125"/>
        <v>293.33333333333564</v>
      </c>
      <c r="DT185" s="62">
        <f ca="1">AVERAGE(OFFSET($DS$3,0,0,'Données projet'!$E$14+1,1))-AVERAGE(OFFSET($H$3,0,0,'Données projet'!$E$14+1,1))</f>
        <v>309.55876703480277</v>
      </c>
      <c r="DU185" s="62">
        <f t="shared" si="152"/>
        <v>122.43799205838684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38.392596475300891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38.392596475300891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-3.4106051316484809E-13</v>
      </c>
      <c r="EK185" s="18">
        <f>EJ185*VLOOKUP('Données projet'!$B$15,Paramètres!$A$1:$I$89,3,0)*VLOOKUP('Données projet'!$B$15,Paramètres!$A$1:$I$89,5,0)</f>
        <v>-1.5961632016114892E-13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301.04834785168049</v>
      </c>
      <c r="EP185" s="62">
        <f t="shared" si="154"/>
        <v>164.1450425611464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52.784390260599338</v>
      </c>
      <c r="EW185" s="23">
        <f>EXP(-LN(2)/25)*EW184+(1-EXP(-LN(2)/25))/(LN(2)/25)*Calculateur!ER185*Calculateur!ET185*VLOOKUP('Données projet'!$B$15,Paramètres!$A$1:$I$89,3,0)*0.475*44/12</f>
        <v>6.9250565866450531</v>
      </c>
      <c r="EX185" s="23">
        <f>EXP(-LN(2)/2)*EX184+(1-EXP(-LN(2)/2))/(LN(2)/2)*ER185*EU185*VLOOKUP('Données projet'!$B$15,Paramètres!$A$1:$I$89,3,0)*0.475*44/12</f>
        <v>1.4864980712475506E-8</v>
      </c>
      <c r="EY185" s="24">
        <f t="shared" si="181"/>
        <v>59.709446862109374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-2.8421709430404007E-13</v>
      </c>
      <c r="FF185" s="18">
        <f>FE185*VLOOKUP('Données projet'!$B$16,Paramètres!$A$1:$I$89,3,0)*VLOOKUP('Données projet'!$B$16,Paramètres!$A$1:$I$89,5,0)</f>
        <v>-2.5715962692629546E-13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330.53726676433649</v>
      </c>
      <c r="FK185" s="62">
        <f t="shared" si="156"/>
        <v>228.01260676706528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34.304832140259222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34.304832140259222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-2.8421709430404007E-13</v>
      </c>
      <c r="GA185" s="18">
        <f>FZ185*VLOOKUP('Données projet'!$B$17,Paramètres!$A$1:$I$89,3,0)*VLOOKUP('Données projet'!$B$17,Paramètres!$A$1:$I$89,5,0)</f>
        <v>-3.2366642699344083E-13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405.71017054131318</v>
      </c>
      <c r="GF185" s="62">
        <f t="shared" si="158"/>
        <v>276.12900965322166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43.176771486877989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43.176771486877989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-2.8421709430404007E-13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3.0859155231155454E-13</v>
      </c>
      <c r="P186" s="14">
        <f t="shared" si="141"/>
        <v>4.0660414022430783E-12</v>
      </c>
      <c r="Q186" s="22">
        <f t="shared" si="162"/>
        <v>7.619152395849318E-12</v>
      </c>
      <c r="R186" s="62">
        <f t="shared" si="109"/>
        <v>293.33333333334093</v>
      </c>
      <c r="S186" s="62">
        <f ca="1">AVERAGE(OFFSET($R$3,0,0,'Données projet'!$E$9+1,1))-AVERAGE(OFFSET($H$3,0,0,'Données projet'!$E$9+1,1))</f>
        <v>452.54136967045082</v>
      </c>
      <c r="T186" s="62">
        <f t="shared" si="142"/>
        <v>269.67340993773422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60.890438009692041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60.890438009692041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3.4583536034915599E-13</v>
      </c>
      <c r="BF186" s="14">
        <f t="shared" si="167"/>
        <v>4.4967326049770697E-12</v>
      </c>
      <c r="BG186" s="22">
        <f t="shared" si="168"/>
        <v>8.4341392062765094E-12</v>
      </c>
      <c r="BH186" s="62">
        <f t="shared" si="116"/>
        <v>293.33333333334173</v>
      </c>
      <c r="BI186" s="62">
        <f ca="1">AVERAGE(OFFSET($BH$3,0,0,'Données projet'!$E$11+1,1))-AVERAGE(OFFSET($H$3,0,0,'Données projet'!$E$11+1,1))</f>
        <v>502.06005292569733</v>
      </c>
      <c r="BJ186" s="62">
        <f t="shared" si="146"/>
        <v>297.06786598620607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68.239283976379028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68.239283976379028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-2.8421709430404007E-14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-5.1431925385259088E-14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204.787338911576</v>
      </c>
      <c r="CZ186" s="62">
        <f t="shared" si="150"/>
        <v>287.24932051638558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2.2619627520625083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2.2619627520625083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8.5265128291212022E-14</v>
      </c>
      <c r="DP186" s="18">
        <f>DO186*VLOOKUP('Données projet'!$B$14,Paramètres!$A$1:$I$89,3,0)*VLOOKUP('Données projet'!$B$14,Paramètres!$A$1:$I$89,5,0)</f>
        <v>8.1138296081917361E-14</v>
      </c>
      <c r="DQ186" s="14">
        <f t="shared" si="176"/>
        <v>1.2489471326210353E-12</v>
      </c>
      <c r="DR186" s="22">
        <f t="shared" si="177"/>
        <v>2.3165654549909759E-12</v>
      </c>
      <c r="DS186" s="62">
        <f t="shared" si="125"/>
        <v>293.33333333333564</v>
      </c>
      <c r="DT186" s="62">
        <f ca="1">AVERAGE(OFFSET($DS$3,0,0,'Données projet'!$E$14+1,1))-AVERAGE(OFFSET($H$3,0,0,'Données projet'!$E$14+1,1))</f>
        <v>309.55876703480277</v>
      </c>
      <c r="DU186" s="62">
        <f t="shared" si="152"/>
        <v>122.43799205838684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37.639741075591836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37.639741075591836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-3.4106051316484809E-13</v>
      </c>
      <c r="EK186" s="18">
        <f>EJ186*VLOOKUP('Données projet'!$B$15,Paramètres!$A$1:$I$89,3,0)*VLOOKUP('Données projet'!$B$15,Paramètres!$A$1:$I$89,5,0)</f>
        <v>-1.5961632016114892E-13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301.04834785168049</v>
      </c>
      <c r="EP186" s="62">
        <f t="shared" si="154"/>
        <v>164.1450425611464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51.749320562888023</v>
      </c>
      <c r="EW186" s="23">
        <f>EXP(-LN(2)/25)*EW185+(1-EXP(-LN(2)/25))/(LN(2)/25)*Calculateur!ER186*Calculateur!ET186*VLOOKUP('Données projet'!$B$15,Paramètres!$A$1:$I$89,3,0)*0.475*44/12</f>
        <v>6.7356905501103457</v>
      </c>
      <c r="EX186" s="23">
        <f>EXP(-LN(2)/2)*EX185+(1-EXP(-LN(2)/2))/(LN(2)/2)*ER186*EU186*VLOOKUP('Données projet'!$B$15,Paramètres!$A$1:$I$89,3,0)*0.475*44/12</f>
        <v>1.0511128663998668E-8</v>
      </c>
      <c r="EY186" s="24">
        <f t="shared" si="181"/>
        <v>58.485011123509501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-2.8421709430404007E-13</v>
      </c>
      <c r="FF186" s="18">
        <f>FE186*VLOOKUP('Données projet'!$B$16,Paramètres!$A$1:$I$89,3,0)*VLOOKUP('Données projet'!$B$16,Paramètres!$A$1:$I$89,5,0)</f>
        <v>-2.5715962692629546E-13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330.53726676433649</v>
      </c>
      <c r="FK186" s="62">
        <f t="shared" si="156"/>
        <v>228.01260676706528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33.632135305870285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33.632135305870285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-2.8421709430404007E-13</v>
      </c>
      <c r="GA186" s="18">
        <f>FZ186*VLOOKUP('Données projet'!$B$17,Paramètres!$A$1:$I$89,3,0)*VLOOKUP('Données projet'!$B$17,Paramètres!$A$1:$I$89,5,0)</f>
        <v>-3.2366642699344083E-13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405.71017054131318</v>
      </c>
      <c r="GF186" s="62">
        <f t="shared" si="158"/>
        <v>276.12900965322166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42.330101333250532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42.330101333250532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-2.8421709430404007E-13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3.0859155231155454E-13</v>
      </c>
      <c r="P187" s="14">
        <f t="shared" si="141"/>
        <v>4.0660414022430783E-12</v>
      </c>
      <c r="Q187" s="22">
        <f t="shared" si="162"/>
        <v>7.619152395849318E-12</v>
      </c>
      <c r="R187" s="62">
        <f t="shared" si="109"/>
        <v>293.33333333334093</v>
      </c>
      <c r="S187" s="62">
        <f ca="1">AVERAGE(OFFSET($R$3,0,0,'Données projet'!$E$9+1,1))-AVERAGE(OFFSET($H$3,0,0,'Données projet'!$E$9+1,1))</f>
        <v>452.54136967045082</v>
      </c>
      <c r="T187" s="62">
        <f t="shared" si="142"/>
        <v>269.67340993773422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59.696413659821943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59.696413659821943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3.4583536034915599E-13</v>
      </c>
      <c r="BF187" s="14">
        <f t="shared" si="167"/>
        <v>4.4967326049770697E-12</v>
      </c>
      <c r="BG187" s="22">
        <f t="shared" si="168"/>
        <v>8.4341392062765094E-12</v>
      </c>
      <c r="BH187" s="62">
        <f t="shared" si="116"/>
        <v>293.33333333334173</v>
      </c>
      <c r="BI187" s="62">
        <f ca="1">AVERAGE(OFFSET($BH$3,0,0,'Données projet'!$E$11+1,1))-AVERAGE(OFFSET($H$3,0,0,'Données projet'!$E$11+1,1))</f>
        <v>502.06005292569733</v>
      </c>
      <c r="BJ187" s="62">
        <f t="shared" si="146"/>
        <v>297.06786598620607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66.901153239455638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66.901153239455638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-2.8421709430404007E-14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-5.1431925385259088E-14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204.787338911576</v>
      </c>
      <c r="CZ187" s="62">
        <f t="shared" si="150"/>
        <v>287.24932051638558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2.2176070421556111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2.2176070421556111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8.5265128291212022E-14</v>
      </c>
      <c r="DP187" s="18">
        <f>DO187*VLOOKUP('Données projet'!$B$14,Paramètres!$A$1:$I$89,3,0)*VLOOKUP('Données projet'!$B$14,Paramètres!$A$1:$I$89,5,0)</f>
        <v>8.1138296081917361E-14</v>
      </c>
      <c r="DQ187" s="14">
        <f t="shared" si="176"/>
        <v>1.2489471326210353E-12</v>
      </c>
      <c r="DR187" s="22">
        <f t="shared" si="177"/>
        <v>2.3165654549909759E-12</v>
      </c>
      <c r="DS187" s="62">
        <f t="shared" si="125"/>
        <v>293.33333333333564</v>
      </c>
      <c r="DT187" s="62">
        <f ca="1">AVERAGE(OFFSET($DS$3,0,0,'Données projet'!$E$14+1,1))-AVERAGE(OFFSET($H$3,0,0,'Données projet'!$E$14+1,1))</f>
        <v>309.55876703480277</v>
      </c>
      <c r="DU187" s="62">
        <f t="shared" si="152"/>
        <v>122.43799205838684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36.901648711074621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36.901648711074621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-3.4106051316484809E-13</v>
      </c>
      <c r="EK187" s="18">
        <f>EJ187*VLOOKUP('Données projet'!$B$15,Paramètres!$A$1:$I$89,3,0)*VLOOKUP('Données projet'!$B$15,Paramètres!$A$1:$I$89,5,0)</f>
        <v>-1.5961632016114892E-13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301.04834785168049</v>
      </c>
      <c r="EP187" s="62">
        <f t="shared" si="154"/>
        <v>164.1450425611464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50.734547950618648</v>
      </c>
      <c r="EW187" s="23">
        <f>EXP(-LN(2)/25)*EW186+(1-EXP(-LN(2)/25))/(LN(2)/25)*Calculateur!ER187*Calculateur!ET187*VLOOKUP('Données projet'!$B$15,Paramètres!$A$1:$I$89,3,0)*0.475*44/12</f>
        <v>6.5515027378030073</v>
      </c>
      <c r="EX187" s="23">
        <f>EXP(-LN(2)/2)*EX186+(1-EXP(-LN(2)/2))/(LN(2)/2)*ER187*EU187*VLOOKUP('Données projet'!$B$15,Paramètres!$A$1:$I$89,3,0)*0.475*44/12</f>
        <v>7.4324903562377541E-9</v>
      </c>
      <c r="EY187" s="24">
        <f t="shared" si="181"/>
        <v>57.286050695854144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-2.8421709430404007E-13</v>
      </c>
      <c r="FF187" s="18">
        <f>FE187*VLOOKUP('Données projet'!$B$16,Paramètres!$A$1:$I$89,3,0)*VLOOKUP('Données projet'!$B$16,Paramètres!$A$1:$I$89,5,0)</f>
        <v>-2.5715962692629546E-13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330.53726676433649</v>
      </c>
      <c r="FK187" s="62">
        <f t="shared" si="156"/>
        <v>228.01260676706528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32.972629646099158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32.972629646099158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-2.8421709430404007E-13</v>
      </c>
      <c r="GA187" s="18">
        <f>FZ187*VLOOKUP('Données projet'!$B$17,Paramètres!$A$1:$I$89,3,0)*VLOOKUP('Données projet'!$B$17,Paramètres!$A$1:$I$89,5,0)</f>
        <v>-3.2366642699344083E-13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405.71017054131318</v>
      </c>
      <c r="GF187" s="62">
        <f t="shared" si="158"/>
        <v>276.12900965322166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41.50003386491791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41.50003386491791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-2.8421709430404007E-13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3.0859155231155454E-13</v>
      </c>
      <c r="P188" s="14">
        <f t="shared" si="141"/>
        <v>4.0660414022430783E-12</v>
      </c>
      <c r="Q188" s="22">
        <f t="shared" si="162"/>
        <v>7.619152395849318E-12</v>
      </c>
      <c r="R188" s="62">
        <f t="shared" si="109"/>
        <v>293.33333333334093</v>
      </c>
      <c r="S188" s="62">
        <f ca="1">AVERAGE(OFFSET($R$3,0,0,'Données projet'!$E$9+1,1))-AVERAGE(OFFSET($H$3,0,0,'Données projet'!$E$9+1,1))</f>
        <v>452.54136967045082</v>
      </c>
      <c r="T188" s="62">
        <f t="shared" si="142"/>
        <v>269.67340993773422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58.52580339916986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58.52580339916986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3.4583536034915599E-13</v>
      </c>
      <c r="BF188" s="14">
        <f t="shared" si="167"/>
        <v>4.4967326049770697E-12</v>
      </c>
      <c r="BG188" s="22">
        <f t="shared" si="168"/>
        <v>8.4341392062765094E-12</v>
      </c>
      <c r="BH188" s="62">
        <f t="shared" si="116"/>
        <v>293.33333333334173</v>
      </c>
      <c r="BI188" s="62">
        <f ca="1">AVERAGE(OFFSET($BH$3,0,0,'Données projet'!$E$11+1,1))-AVERAGE(OFFSET($H$3,0,0,'Données projet'!$E$11+1,1))</f>
        <v>502.06005292569733</v>
      </c>
      <c r="BJ188" s="62">
        <f t="shared" si="146"/>
        <v>297.06786598620607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65.589262430104171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65.589262430104171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-2.8421709430404007E-14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-5.1431925385259088E-14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204.787338911576</v>
      </c>
      <c r="CZ188" s="62">
        <f t="shared" si="150"/>
        <v>287.24932051638558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2.1741211206656765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2.1741211206656765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8.5265128291212022E-14</v>
      </c>
      <c r="DP188" s="18">
        <f>DO188*VLOOKUP('Données projet'!$B$14,Paramètres!$A$1:$I$89,3,0)*VLOOKUP('Données projet'!$B$14,Paramètres!$A$1:$I$89,5,0)</f>
        <v>8.1138296081917361E-14</v>
      </c>
      <c r="DQ188" s="14">
        <f t="shared" si="176"/>
        <v>1.2489471326210353E-12</v>
      </c>
      <c r="DR188" s="22">
        <f t="shared" si="177"/>
        <v>2.3165654549909759E-12</v>
      </c>
      <c r="DS188" s="62">
        <f t="shared" si="125"/>
        <v>293.33333333333564</v>
      </c>
      <c r="DT188" s="62">
        <f ca="1">AVERAGE(OFFSET($DS$3,0,0,'Données projet'!$E$14+1,1))-AVERAGE(OFFSET($H$3,0,0,'Données projet'!$E$14+1,1))</f>
        <v>309.55876703480277</v>
      </c>
      <c r="DU188" s="62">
        <f t="shared" si="152"/>
        <v>122.43799205838684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36.178029887633706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36.178029887633706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-3.4106051316484809E-13</v>
      </c>
      <c r="EK188" s="18">
        <f>EJ188*VLOOKUP('Données projet'!$B$15,Paramètres!$A$1:$I$89,3,0)*VLOOKUP('Données projet'!$B$15,Paramètres!$A$1:$I$89,5,0)</f>
        <v>-1.5961632016114892E-13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301.04834785168049</v>
      </c>
      <c r="EP188" s="62">
        <f t="shared" si="154"/>
        <v>164.1450425611464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49.739674410325698</v>
      </c>
      <c r="EW188" s="23">
        <f>EXP(-LN(2)/25)*EW187+(1-EXP(-LN(2)/25))/(LN(2)/25)*Calculateur!ER188*Calculateur!ET188*VLOOKUP('Données projet'!$B$15,Paramètres!$A$1:$I$89,3,0)*0.475*44/12</f>
        <v>6.3723515509092286</v>
      </c>
      <c r="EX188" s="23">
        <f>EXP(-LN(2)/2)*EX187+(1-EXP(-LN(2)/2))/(LN(2)/2)*ER188*EU188*VLOOKUP('Données projet'!$B$15,Paramètres!$A$1:$I$89,3,0)*0.475*44/12</f>
        <v>5.2555643319993349E-9</v>
      </c>
      <c r="EY188" s="24">
        <f t="shared" si="181"/>
        <v>56.112025966490492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-2.8421709430404007E-13</v>
      </c>
      <c r="FF188" s="18">
        <f>FE188*VLOOKUP('Données projet'!$B$16,Paramètres!$A$1:$I$89,3,0)*VLOOKUP('Données projet'!$B$16,Paramètres!$A$1:$I$89,5,0)</f>
        <v>-2.5715962692629546E-13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330.53726676433649</v>
      </c>
      <c r="FK188" s="62">
        <f t="shared" si="156"/>
        <v>228.01260676706528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32.326056490057411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32.326056490057411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-2.8421709430404007E-13</v>
      </c>
      <c r="GA188" s="18">
        <f>FZ188*VLOOKUP('Données projet'!$B$17,Paramètres!$A$1:$I$89,3,0)*VLOOKUP('Données projet'!$B$17,Paramètres!$A$1:$I$89,5,0)</f>
        <v>-3.2366642699344083E-13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405.71017054131318</v>
      </c>
      <c r="GF188" s="62">
        <f t="shared" si="158"/>
        <v>276.12900965322166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40.686243513348124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40.686243513348124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-2.8421709430404007E-13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3.0859155231155454E-13</v>
      </c>
      <c r="P189" s="14">
        <f t="shared" si="141"/>
        <v>4.0660414022430783E-12</v>
      </c>
      <c r="Q189" s="22">
        <f t="shared" si="162"/>
        <v>7.619152395849318E-12</v>
      </c>
      <c r="R189" s="62">
        <f t="shared" si="109"/>
        <v>293.33333333334093</v>
      </c>
      <c r="S189" s="62">
        <f ca="1">AVERAGE(OFFSET($R$3,0,0,'Données projet'!$E$9+1,1))-AVERAGE(OFFSET($H$3,0,0,'Données projet'!$E$9+1,1))</f>
        <v>452.54136967045082</v>
      </c>
      <c r="T189" s="62">
        <f t="shared" si="142"/>
        <v>269.67340993773422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57.378148091727404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57.378148091727404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3.4583536034915599E-13</v>
      </c>
      <c r="BF189" s="14">
        <f t="shared" si="167"/>
        <v>4.4967326049770697E-12</v>
      </c>
      <c r="BG189" s="22">
        <f t="shared" si="168"/>
        <v>8.4341392062765094E-12</v>
      </c>
      <c r="BH189" s="62">
        <f t="shared" si="116"/>
        <v>293.33333333334173</v>
      </c>
      <c r="BI189" s="62">
        <f ca="1">AVERAGE(OFFSET($BH$3,0,0,'Données projet'!$E$11+1,1))-AVERAGE(OFFSET($H$3,0,0,'Données projet'!$E$11+1,1))</f>
        <v>502.06005292569733</v>
      </c>
      <c r="BJ189" s="62">
        <f t="shared" si="146"/>
        <v>297.06786598620607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64.303096999349691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64.303096999349691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-2.8421709430404007E-14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-5.1431925385259088E-14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204.787338911576</v>
      </c>
      <c r="CZ189" s="62">
        <f t="shared" si="150"/>
        <v>287.24932051638558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2.1314879315723663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2.1314879315723663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8.5265128291212022E-14</v>
      </c>
      <c r="DP189" s="18">
        <f>DO189*VLOOKUP('Données projet'!$B$14,Paramètres!$A$1:$I$89,3,0)*VLOOKUP('Données projet'!$B$14,Paramètres!$A$1:$I$89,5,0)</f>
        <v>8.1138296081917361E-14</v>
      </c>
      <c r="DQ189" s="14">
        <f t="shared" si="176"/>
        <v>1.2489471326210353E-12</v>
      </c>
      <c r="DR189" s="22">
        <f t="shared" si="177"/>
        <v>2.3165654549909759E-12</v>
      </c>
      <c r="DS189" s="62">
        <f t="shared" si="125"/>
        <v>293.33333333333564</v>
      </c>
      <c r="DT189" s="62">
        <f ca="1">AVERAGE(OFFSET($DS$3,0,0,'Données projet'!$E$14+1,1))-AVERAGE(OFFSET($H$3,0,0,'Données projet'!$E$14+1,1))</f>
        <v>309.55876703480277</v>
      </c>
      <c r="DU189" s="62">
        <f t="shared" si="152"/>
        <v>122.43799205838684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35.468600787956561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35.468600787956561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-3.4106051316484809E-13</v>
      </c>
      <c r="EK189" s="18">
        <f>EJ189*VLOOKUP('Données projet'!$B$15,Paramètres!$A$1:$I$89,3,0)*VLOOKUP('Données projet'!$B$15,Paramètres!$A$1:$I$89,5,0)</f>
        <v>-1.5961632016114892E-13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301.04834785168049</v>
      </c>
      <c r="EP189" s="62">
        <f t="shared" si="154"/>
        <v>164.1450425611464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48.764309733344952</v>
      </c>
      <c r="EW189" s="23">
        <f>EXP(-LN(2)/25)*EW188+(1-EXP(-LN(2)/25))/(LN(2)/25)*Calculateur!ER189*Calculateur!ET189*VLOOKUP('Données projet'!$B$15,Paramètres!$A$1:$I$89,3,0)*0.475*44/12</f>
        <v>6.198099262642212</v>
      </c>
      <c r="EX189" s="23">
        <f>EXP(-LN(2)/2)*EX188+(1-EXP(-LN(2)/2))/(LN(2)/2)*ER189*EU189*VLOOKUP('Données projet'!$B$15,Paramètres!$A$1:$I$89,3,0)*0.475*44/12</f>
        <v>3.7162451781188779E-9</v>
      </c>
      <c r="EY189" s="24">
        <f t="shared" si="181"/>
        <v>54.962408999703406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-2.8421709430404007E-13</v>
      </c>
      <c r="FF189" s="18">
        <f>FE189*VLOOKUP('Données projet'!$B$16,Paramètres!$A$1:$I$89,3,0)*VLOOKUP('Données projet'!$B$16,Paramètres!$A$1:$I$89,5,0)</f>
        <v>-2.5715962692629546E-13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330.53726676433649</v>
      </c>
      <c r="FK189" s="62">
        <f t="shared" si="156"/>
        <v>228.01260676706528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31.692162239234957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31.692162239234957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-2.8421709430404007E-13</v>
      </c>
      <c r="GA189" s="18">
        <f>FZ189*VLOOKUP('Données projet'!$B$17,Paramètres!$A$1:$I$89,3,0)*VLOOKUP('Données projet'!$B$17,Paramètres!$A$1:$I$89,5,0)</f>
        <v>-3.2366642699344083E-13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405.71017054131318</v>
      </c>
      <c r="GF189" s="62">
        <f t="shared" si="158"/>
        <v>276.12900965322166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39.888411094209516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39.888411094209516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-2.8421709430404007E-13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3.0859155231155454E-13</v>
      </c>
      <c r="P190" s="14">
        <f t="shared" si="141"/>
        <v>4.0660414022430783E-12</v>
      </c>
      <c r="Q190" s="22">
        <f t="shared" si="162"/>
        <v>7.619152395849318E-12</v>
      </c>
      <c r="R190" s="62">
        <f t="shared" si="109"/>
        <v>293.33333333334093</v>
      </c>
      <c r="S190" s="62">
        <f ca="1">AVERAGE(OFFSET($R$3,0,0,'Données projet'!$E$9+1,1))-AVERAGE(OFFSET($H$3,0,0,'Données projet'!$E$9+1,1))</f>
        <v>452.54136967045082</v>
      </c>
      <c r="T190" s="62">
        <f t="shared" si="142"/>
        <v>269.67340993773422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56.252997604863275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56.252997604863275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3.4583536034915599E-13</v>
      </c>
      <c r="BF190" s="14">
        <f t="shared" si="167"/>
        <v>4.4967326049770697E-12</v>
      </c>
      <c r="BG190" s="22">
        <f t="shared" si="168"/>
        <v>8.4341392062765094E-12</v>
      </c>
      <c r="BH190" s="62">
        <f t="shared" si="116"/>
        <v>293.33333333334173</v>
      </c>
      <c r="BI190" s="62">
        <f ca="1">AVERAGE(OFFSET($BH$3,0,0,'Données projet'!$E$11+1,1))-AVERAGE(OFFSET($H$3,0,0,'Données projet'!$E$11+1,1))</f>
        <v>502.06005292569733</v>
      </c>
      <c r="BJ190" s="62">
        <f t="shared" si="146"/>
        <v>297.06786598620607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63.042152488208856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63.042152488208856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-2.8421709430404007E-14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-5.1431925385259088E-14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204.787338911576</v>
      </c>
      <c r="CZ190" s="62">
        <f t="shared" si="150"/>
        <v>287.24932051638558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2.0896907533134983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2.0896907533134983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8.5265128291212022E-14</v>
      </c>
      <c r="DP190" s="18">
        <f>DO190*VLOOKUP('Données projet'!$B$14,Paramètres!$A$1:$I$89,3,0)*VLOOKUP('Données projet'!$B$14,Paramètres!$A$1:$I$89,5,0)</f>
        <v>8.1138296081917361E-14</v>
      </c>
      <c r="DQ190" s="14">
        <f t="shared" si="176"/>
        <v>1.2489471326210353E-12</v>
      </c>
      <c r="DR190" s="22">
        <f t="shared" si="177"/>
        <v>2.3165654549909759E-12</v>
      </c>
      <c r="DS190" s="62">
        <f t="shared" si="125"/>
        <v>293.33333333333564</v>
      </c>
      <c r="DT190" s="62">
        <f ca="1">AVERAGE(OFFSET($DS$3,0,0,'Données projet'!$E$14+1,1))-AVERAGE(OFFSET($H$3,0,0,'Données projet'!$E$14+1,1))</f>
        <v>309.55876703480277</v>
      </c>
      <c r="DU190" s="62">
        <f t="shared" si="152"/>
        <v>122.43799205838684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34.773083160215059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34.773083160215059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-3.4106051316484809E-13</v>
      </c>
      <c r="EK190" s="18">
        <f>EJ190*VLOOKUP('Données projet'!$B$15,Paramètres!$A$1:$I$89,3,0)*VLOOKUP('Données projet'!$B$15,Paramètres!$A$1:$I$89,5,0)</f>
        <v>-1.5961632016114892E-13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301.04834785168049</v>
      </c>
      <c r="EP190" s="62">
        <f t="shared" si="154"/>
        <v>164.1450425611464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47.808071362766086</v>
      </c>
      <c r="EW190" s="23">
        <f>EXP(-LN(2)/25)*EW189+(1-EXP(-LN(2)/25))/(LN(2)/25)*Calculateur!ER190*Calculateur!ET190*VLOOKUP('Données projet'!$B$15,Paramètres!$A$1:$I$89,3,0)*0.475*44/12</f>
        <v>6.0286119123613862</v>
      </c>
      <c r="EX190" s="23">
        <f>EXP(-LN(2)/2)*EX189+(1-EXP(-LN(2)/2))/(LN(2)/2)*ER190*EU190*VLOOKUP('Données projet'!$B$15,Paramètres!$A$1:$I$89,3,0)*0.475*44/12</f>
        <v>2.6277821659996679E-9</v>
      </c>
      <c r="EY190" s="24">
        <f t="shared" si="181"/>
        <v>53.836683277755249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-2.8421709430404007E-13</v>
      </c>
      <c r="FF190" s="18">
        <f>FE190*VLOOKUP('Données projet'!$B$16,Paramètres!$A$1:$I$89,3,0)*VLOOKUP('Données projet'!$B$16,Paramètres!$A$1:$I$89,5,0)</f>
        <v>-2.5715962692629546E-13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330.53726676433649</v>
      </c>
      <c r="FK190" s="62">
        <f t="shared" si="156"/>
        <v>228.01260676706528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31.070698268033816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31.070698268033816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-2.8421709430404007E-13</v>
      </c>
      <c r="GA190" s="18">
        <f>FZ190*VLOOKUP('Données projet'!$B$17,Paramètres!$A$1:$I$89,3,0)*VLOOKUP('Données projet'!$B$17,Paramètres!$A$1:$I$89,5,0)</f>
        <v>-3.2366642699344083E-13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405.71017054131318</v>
      </c>
      <c r="GF190" s="62">
        <f t="shared" si="158"/>
        <v>276.12900965322166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39.106223682180492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39.106223682180492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-2.8421709430404007E-13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3.0859155231155454E-13</v>
      </c>
      <c r="P191" s="14">
        <f t="shared" si="141"/>
        <v>4.0660414022430783E-12</v>
      </c>
      <c r="Q191" s="22">
        <f t="shared" si="162"/>
        <v>7.619152395849318E-12</v>
      </c>
      <c r="R191" s="62">
        <f t="shared" si="109"/>
        <v>293.33333333334093</v>
      </c>
      <c r="S191" s="62">
        <f ca="1">AVERAGE(OFFSET($R$3,0,0,'Données projet'!$E$9+1,1))-AVERAGE(OFFSET($H$3,0,0,'Données projet'!$E$9+1,1))</f>
        <v>452.54136967045082</v>
      </c>
      <c r="T191" s="62">
        <f t="shared" si="142"/>
        <v>269.67340993773422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55.149910632772524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55.149910632772524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3.4583536034915599E-13</v>
      </c>
      <c r="BF191" s="14">
        <f t="shared" si="167"/>
        <v>4.4967326049770697E-12</v>
      </c>
      <c r="BG191" s="22">
        <f t="shared" si="168"/>
        <v>8.4341392062765094E-12</v>
      </c>
      <c r="BH191" s="62">
        <f t="shared" si="116"/>
        <v>293.33333333334173</v>
      </c>
      <c r="BI191" s="62">
        <f ca="1">AVERAGE(OFFSET($BH$3,0,0,'Données projet'!$E$11+1,1))-AVERAGE(OFFSET($H$3,0,0,'Données projet'!$E$11+1,1))</f>
        <v>502.06005292569733</v>
      </c>
      <c r="BJ191" s="62">
        <f t="shared" si="146"/>
        <v>297.06786598620607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61.805934329831288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61.805934329831288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-2.8421709430404007E-14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-5.1431925385259088E-14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204.787338911576</v>
      </c>
      <c r="CZ191" s="62">
        <f t="shared" si="150"/>
        <v>287.24932051638558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2.0487131922265251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2.0487131922265251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8.5265128291212022E-14</v>
      </c>
      <c r="DP191" s="18">
        <f>DO191*VLOOKUP('Données projet'!$B$14,Paramètres!$A$1:$I$89,3,0)*VLOOKUP('Données projet'!$B$14,Paramètres!$A$1:$I$89,5,0)</f>
        <v>8.1138296081917361E-14</v>
      </c>
      <c r="DQ191" s="14">
        <f t="shared" si="176"/>
        <v>1.2489471326210353E-12</v>
      </c>
      <c r="DR191" s="22">
        <f t="shared" si="177"/>
        <v>2.3165654549909759E-12</v>
      </c>
      <c r="DS191" s="62">
        <f t="shared" si="125"/>
        <v>293.33333333333564</v>
      </c>
      <c r="DT191" s="62">
        <f ca="1">AVERAGE(OFFSET($DS$3,0,0,'Données projet'!$E$14+1,1))-AVERAGE(OFFSET($H$3,0,0,'Données projet'!$E$14+1,1))</f>
        <v>309.55876703480277</v>
      </c>
      <c r="DU191" s="62">
        <f t="shared" si="152"/>
        <v>122.43799205838684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34.091204208929703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34.091204208929703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-3.4106051316484809E-13</v>
      </c>
      <c r="EK191" s="18">
        <f>EJ191*VLOOKUP('Données projet'!$B$15,Paramètres!$A$1:$I$89,3,0)*VLOOKUP('Données projet'!$B$15,Paramètres!$A$1:$I$89,5,0)</f>
        <v>-1.5961632016114892E-13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301.04834785168049</v>
      </c>
      <c r="EP191" s="62">
        <f t="shared" si="154"/>
        <v>164.1450425611464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46.87058424338646</v>
      </c>
      <c r="EW191" s="23">
        <f>EXP(-LN(2)/25)*EW190+(1-EXP(-LN(2)/25))/(LN(2)/25)*Calculateur!ER191*Calculateur!ET191*VLOOKUP('Données projet'!$B$15,Paramètres!$A$1:$I$89,3,0)*0.475*44/12</f>
        <v>5.8637592025869418</v>
      </c>
      <c r="EX191" s="23">
        <f>EXP(-LN(2)/2)*EX190+(1-EXP(-LN(2)/2))/(LN(2)/2)*ER191*EU191*VLOOKUP('Données projet'!$B$15,Paramètres!$A$1:$I$89,3,0)*0.475*44/12</f>
        <v>1.8581225890594391E-9</v>
      </c>
      <c r="EY191" s="24">
        <f t="shared" si="181"/>
        <v>52.734343447831527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-2.8421709430404007E-13</v>
      </c>
      <c r="FF191" s="18">
        <f>FE191*VLOOKUP('Données projet'!$B$16,Paramètres!$A$1:$I$89,3,0)*VLOOKUP('Données projet'!$B$16,Paramètres!$A$1:$I$89,5,0)</f>
        <v>-2.5715962692629546E-13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330.53726676433649</v>
      </c>
      <c r="FK191" s="62">
        <f t="shared" si="156"/>
        <v>228.01260676706528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30.461420826252336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30.461420826252336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-2.8421709430404007E-13</v>
      </c>
      <c r="GA191" s="18">
        <f>FZ191*VLOOKUP('Données projet'!$B$17,Paramètres!$A$1:$I$89,3,0)*VLOOKUP('Données projet'!$B$17,Paramètres!$A$1:$I$89,5,0)</f>
        <v>-3.2366642699344083E-13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405.71017054131318</v>
      </c>
      <c r="GF191" s="62">
        <f t="shared" si="158"/>
        <v>276.12900965322166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38.339374488214148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38.339374488214148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-2.8421709430404007E-13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3.0859155231155454E-13</v>
      </c>
      <c r="P192" s="14">
        <f t="shared" si="141"/>
        <v>4.0660414022430783E-12</v>
      </c>
      <c r="Q192" s="22">
        <f t="shared" si="162"/>
        <v>7.619152395849318E-12</v>
      </c>
      <c r="R192" s="62">
        <f t="shared" si="109"/>
        <v>293.33333333334093</v>
      </c>
      <c r="S192" s="62">
        <f ca="1">AVERAGE(OFFSET($R$3,0,0,'Données projet'!$E$9+1,1))-AVERAGE(OFFSET($H$3,0,0,'Données projet'!$E$9+1,1))</f>
        <v>452.54136967045082</v>
      </c>
      <c r="T192" s="62">
        <f t="shared" si="142"/>
        <v>269.67340993773422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54.06845452338785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54.06845452338785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3.4583536034915599E-13</v>
      </c>
      <c r="BF192" s="14">
        <f t="shared" si="167"/>
        <v>4.4967326049770697E-12</v>
      </c>
      <c r="BG192" s="22">
        <f t="shared" si="168"/>
        <v>8.4341392062765094E-12</v>
      </c>
      <c r="BH192" s="62">
        <f t="shared" si="116"/>
        <v>293.33333333334173</v>
      </c>
      <c r="BI192" s="62">
        <f ca="1">AVERAGE(OFFSET($BH$3,0,0,'Données projet'!$E$11+1,1))-AVERAGE(OFFSET($H$3,0,0,'Données projet'!$E$11+1,1))</f>
        <v>502.06005292569733</v>
      </c>
      <c r="BJ192" s="62">
        <f t="shared" si="146"/>
        <v>297.06786598620607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60.593957655520882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60.593957655520882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-2.8421709430404007E-14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-5.1431925385259088E-14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204.787338911576</v>
      </c>
      <c r="CZ192" s="62">
        <f t="shared" si="150"/>
        <v>287.24932051638558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2.0085391761186235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2.0085391761186235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8.5265128291212022E-14</v>
      </c>
      <c r="DP192" s="18">
        <f>DO192*VLOOKUP('Données projet'!$B$14,Paramètres!$A$1:$I$89,3,0)*VLOOKUP('Données projet'!$B$14,Paramètres!$A$1:$I$89,5,0)</f>
        <v>8.1138296081917361E-14</v>
      </c>
      <c r="DQ192" s="14">
        <f t="shared" si="176"/>
        <v>1.2489471326210353E-12</v>
      </c>
      <c r="DR192" s="22">
        <f t="shared" si="177"/>
        <v>2.3165654549909759E-12</v>
      </c>
      <c r="DS192" s="62">
        <f t="shared" si="125"/>
        <v>293.33333333333564</v>
      </c>
      <c r="DT192" s="62">
        <f ca="1">AVERAGE(OFFSET($DS$3,0,0,'Données projet'!$E$14+1,1))-AVERAGE(OFFSET($H$3,0,0,'Données projet'!$E$14+1,1))</f>
        <v>309.55876703480277</v>
      </c>
      <c r="DU192" s="62">
        <f t="shared" si="152"/>
        <v>122.43799205838684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33.422696487973965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33.422696487973965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-3.4106051316484809E-13</v>
      </c>
      <c r="EK192" s="18">
        <f>EJ192*VLOOKUP('Données projet'!$B$15,Paramètres!$A$1:$I$89,3,0)*VLOOKUP('Données projet'!$B$15,Paramètres!$A$1:$I$89,5,0)</f>
        <v>-1.5961632016114892E-13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301.04834785168049</v>
      </c>
      <c r="EP192" s="62">
        <f t="shared" si="154"/>
        <v>164.1450425611464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45.95148067460719</v>
      </c>
      <c r="EW192" s="23">
        <f>EXP(-LN(2)/25)*EW191+(1-EXP(-LN(2)/25))/(LN(2)/25)*Calculateur!ER192*Calculateur!ET192*VLOOKUP('Données projet'!$B$15,Paramètres!$A$1:$I$89,3,0)*0.475*44/12</f>
        <v>5.7034143988305068</v>
      </c>
      <c r="EX192" s="23">
        <f>EXP(-LN(2)/2)*EX191+(1-EXP(-LN(2)/2))/(LN(2)/2)*ER192*EU192*VLOOKUP('Données projet'!$B$15,Paramètres!$A$1:$I$89,3,0)*0.475*44/12</f>
        <v>1.3138910829998341E-9</v>
      </c>
      <c r="EY192" s="24">
        <f t="shared" si="181"/>
        <v>51.654895074751593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-2.8421709430404007E-13</v>
      </c>
      <c r="FF192" s="18">
        <f>FE192*VLOOKUP('Données projet'!$B$16,Paramètres!$A$1:$I$89,3,0)*VLOOKUP('Données projet'!$B$16,Paramètres!$A$1:$I$89,5,0)</f>
        <v>-2.5715962692629546E-13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330.53726676433649</v>
      </c>
      <c r="FK192" s="62">
        <f t="shared" si="156"/>
        <v>228.01260676706528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29.864090943481646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29.864090943481646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-2.8421709430404007E-13</v>
      </c>
      <c r="GA192" s="18">
        <f>FZ192*VLOOKUP('Données projet'!$B$17,Paramètres!$A$1:$I$89,3,0)*VLOOKUP('Données projet'!$B$17,Paramètres!$A$1:$I$89,5,0)</f>
        <v>-3.2366642699344083E-13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405.71017054131318</v>
      </c>
      <c r="GF192" s="62">
        <f t="shared" si="158"/>
        <v>276.12900965322166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37.587562739209659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37.587562739209659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-2.8421709430404007E-13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3.0859155231155454E-13</v>
      </c>
      <c r="P193" s="14">
        <f t="shared" si="141"/>
        <v>4.0660414022430783E-12</v>
      </c>
      <c r="Q193" s="22">
        <f t="shared" si="162"/>
        <v>7.619152395849318E-12</v>
      </c>
      <c r="R193" s="62">
        <f t="shared" si="109"/>
        <v>293.33333333334093</v>
      </c>
      <c r="S193" s="62">
        <f ca="1">AVERAGE(OFFSET($R$3,0,0,'Données projet'!$E$9+1,1))-AVERAGE(OFFSET($H$3,0,0,'Données projet'!$E$9+1,1))</f>
        <v>452.54136967045082</v>
      </c>
      <c r="T193" s="62">
        <f t="shared" si="142"/>
        <v>269.67340993773422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53.008205108685118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53.008205108685118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3.4583536034915599E-13</v>
      </c>
      <c r="BF193" s="14">
        <f t="shared" si="167"/>
        <v>4.4967326049770697E-12</v>
      </c>
      <c r="BG193" s="22">
        <f t="shared" si="168"/>
        <v>8.4341392062765094E-12</v>
      </c>
      <c r="BH193" s="62">
        <f t="shared" si="116"/>
        <v>293.33333333334173</v>
      </c>
      <c r="BI193" s="62">
        <f ca="1">AVERAGE(OFFSET($BH$3,0,0,'Données projet'!$E$11+1,1))-AVERAGE(OFFSET($H$3,0,0,'Données projet'!$E$11+1,1))</f>
        <v>502.06005292569733</v>
      </c>
      <c r="BJ193" s="62">
        <f t="shared" si="146"/>
        <v>297.06786598620607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59.405747104560923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59.405747104560923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-2.8421709430404007E-14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-5.1431925385259088E-14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204.787338911576</v>
      </c>
      <c r="CZ193" s="62">
        <f t="shared" si="150"/>
        <v>287.24932051638558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1.9691529479628673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1.9691529479628673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8.5265128291212022E-14</v>
      </c>
      <c r="DP193" s="18">
        <f>DO193*VLOOKUP('Données projet'!$B$14,Paramètres!$A$1:$I$89,3,0)*VLOOKUP('Données projet'!$B$14,Paramètres!$A$1:$I$89,5,0)</f>
        <v>8.1138296081917361E-14</v>
      </c>
      <c r="DQ193" s="14">
        <f t="shared" si="176"/>
        <v>1.2489471326210353E-12</v>
      </c>
      <c r="DR193" s="22">
        <f t="shared" si="177"/>
        <v>2.3165654549909759E-12</v>
      </c>
      <c r="DS193" s="62">
        <f t="shared" si="125"/>
        <v>293.33333333333564</v>
      </c>
      <c r="DT193" s="62">
        <f ca="1">AVERAGE(OFFSET($DS$3,0,0,'Données projet'!$E$14+1,1))-AVERAGE(OFFSET($H$3,0,0,'Données projet'!$E$14+1,1))</f>
        <v>309.55876703480277</v>
      </c>
      <c r="DU193" s="62">
        <f t="shared" si="152"/>
        <v>122.43799205838684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32.767297795676718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32.767297795676718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-3.4106051316484809E-13</v>
      </c>
      <c r="EK193" s="18">
        <f>EJ193*VLOOKUP('Données projet'!$B$15,Paramètres!$A$1:$I$89,3,0)*VLOOKUP('Données projet'!$B$15,Paramètres!$A$1:$I$89,5,0)</f>
        <v>-1.5961632016114892E-13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301.04834785168049</v>
      </c>
      <c r="EP193" s="62">
        <f t="shared" si="154"/>
        <v>164.1450425611464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45.050400166213855</v>
      </c>
      <c r="EW193" s="23">
        <f>EXP(-LN(2)/25)*EW192+(1-EXP(-LN(2)/25))/(LN(2)/25)*Calculateur!ER193*Calculateur!ET193*VLOOKUP('Données projet'!$B$15,Paramètres!$A$1:$I$89,3,0)*0.475*44/12</f>
        <v>5.5474542321649585</v>
      </c>
      <c r="EX193" s="23">
        <f>EXP(-LN(2)/2)*EX192+(1-EXP(-LN(2)/2))/(LN(2)/2)*ER193*EU193*VLOOKUP('Données projet'!$B$15,Paramètres!$A$1:$I$89,3,0)*0.475*44/12</f>
        <v>9.2906129452971977E-10</v>
      </c>
      <c r="EY193" s="24">
        <f t="shared" si="181"/>
        <v>50.597854399307877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-2.8421709430404007E-13</v>
      </c>
      <c r="FF193" s="18">
        <f>FE193*VLOOKUP('Données projet'!$B$16,Paramètres!$A$1:$I$89,3,0)*VLOOKUP('Données projet'!$B$16,Paramètres!$A$1:$I$89,5,0)</f>
        <v>-2.5715962692629546E-13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330.53726676433649</v>
      </c>
      <c r="FK193" s="62">
        <f t="shared" si="156"/>
        <v>228.01260676706528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29.278474335376835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29.278474335376835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-2.8421709430404007E-13</v>
      </c>
      <c r="GA193" s="18">
        <f>FZ193*VLOOKUP('Données projet'!$B$17,Paramètres!$A$1:$I$89,3,0)*VLOOKUP('Données projet'!$B$17,Paramètres!$A$1:$I$89,5,0)</f>
        <v>-3.2366642699344083E-13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405.71017054131318</v>
      </c>
      <c r="GF193" s="62">
        <f t="shared" si="158"/>
        <v>276.12900965322166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36.850493560043262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36.850493560043262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-2.8421709430404007E-13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3.0859155231155454E-13</v>
      </c>
      <c r="P194" s="14">
        <f t="shared" si="141"/>
        <v>4.0660414022430783E-12</v>
      </c>
      <c r="Q194" s="22">
        <f t="shared" si="162"/>
        <v>7.619152395849318E-12</v>
      </c>
      <c r="R194" s="62">
        <f t="shared" si="109"/>
        <v>293.33333333334093</v>
      </c>
      <c r="S194" s="62">
        <f ca="1">AVERAGE(OFFSET($R$3,0,0,'Données projet'!$E$9+1,1))-AVERAGE(OFFSET($H$3,0,0,'Données projet'!$E$9+1,1))</f>
        <v>452.54136967045082</v>
      </c>
      <c r="T194" s="62">
        <f t="shared" si="142"/>
        <v>269.67340993773422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51.968746538316417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51.968746538316417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3.4583536034915599E-13</v>
      </c>
      <c r="BF194" s="14">
        <f t="shared" si="167"/>
        <v>4.4967326049770697E-12</v>
      </c>
      <c r="BG194" s="22">
        <f t="shared" si="168"/>
        <v>8.4341392062765094E-12</v>
      </c>
      <c r="BH194" s="62">
        <f t="shared" si="116"/>
        <v>293.33333333334173</v>
      </c>
      <c r="BI194" s="62">
        <f ca="1">AVERAGE(OFFSET($BH$3,0,0,'Données projet'!$E$11+1,1))-AVERAGE(OFFSET($H$3,0,0,'Données projet'!$E$11+1,1))</f>
        <v>502.06005292569733</v>
      </c>
      <c r="BJ194" s="62">
        <f t="shared" si="146"/>
        <v>297.06786598620607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58.240836637768417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58.240836637768417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-2.8421709430404007E-14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-5.1431925385259088E-14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204.787338911576</v>
      </c>
      <c r="CZ194" s="62">
        <f t="shared" si="150"/>
        <v>287.24932051638558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1.9305390597180185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1.9305390597180185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8.5265128291212022E-14</v>
      </c>
      <c r="DP194" s="18">
        <f>DO194*VLOOKUP('Données projet'!$B$14,Paramètres!$A$1:$I$89,3,0)*VLOOKUP('Données projet'!$B$14,Paramètres!$A$1:$I$89,5,0)</f>
        <v>8.1138296081917361E-14</v>
      </c>
      <c r="DQ194" s="14">
        <f t="shared" si="176"/>
        <v>1.2489471326210353E-12</v>
      </c>
      <c r="DR194" s="22">
        <f t="shared" si="177"/>
        <v>2.3165654549909759E-12</v>
      </c>
      <c r="DS194" s="62">
        <f t="shared" si="125"/>
        <v>293.33333333333564</v>
      </c>
      <c r="DT194" s="62">
        <f ca="1">AVERAGE(OFFSET($DS$3,0,0,'Données projet'!$E$14+1,1))-AVERAGE(OFFSET($H$3,0,0,'Données projet'!$E$14+1,1))</f>
        <v>309.55876703480277</v>
      </c>
      <c r="DU194" s="62">
        <f t="shared" si="152"/>
        <v>122.43799205838684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32.124751071981692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32.124751071981692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-3.4106051316484809E-13</v>
      </c>
      <c r="EK194" s="18">
        <f>EJ194*VLOOKUP('Données projet'!$B$15,Paramètres!$A$1:$I$89,3,0)*VLOOKUP('Données projet'!$B$15,Paramètres!$A$1:$I$89,5,0)</f>
        <v>-1.5961632016114892E-13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301.04834785168049</v>
      </c>
      <c r="EP194" s="62">
        <f t="shared" si="154"/>
        <v>164.1450425611464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44.166989296985271</v>
      </c>
      <c r="EW194" s="23">
        <f>EXP(-LN(2)/25)*EW193+(1-EXP(-LN(2)/25))/(LN(2)/25)*Calculateur!ER194*Calculateur!ET194*VLOOKUP('Données projet'!$B$15,Paramètres!$A$1:$I$89,3,0)*0.475*44/12</f>
        <v>5.3957588044584686</v>
      </c>
      <c r="EX194" s="23">
        <f>EXP(-LN(2)/2)*EX193+(1-EXP(-LN(2)/2))/(LN(2)/2)*ER194*EU194*VLOOKUP('Données projet'!$B$15,Paramètres!$A$1:$I$89,3,0)*0.475*44/12</f>
        <v>6.5694554149991717E-10</v>
      </c>
      <c r="EY194" s="24">
        <f t="shared" si="181"/>
        <v>49.562748102100684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-2.8421709430404007E-13</v>
      </c>
      <c r="FF194" s="18">
        <f>FE194*VLOOKUP('Données projet'!$B$16,Paramètres!$A$1:$I$89,3,0)*VLOOKUP('Données projet'!$B$16,Paramètres!$A$1:$I$89,5,0)</f>
        <v>-2.5715962692629546E-13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330.53726676433649</v>
      </c>
      <c r="FK194" s="62">
        <f t="shared" si="156"/>
        <v>228.01260676706528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28.704341311766097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28.704341311766097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-2.8421709430404007E-13</v>
      </c>
      <c r="GA194" s="18">
        <f>FZ194*VLOOKUP('Données projet'!$B$17,Paramètres!$A$1:$I$89,3,0)*VLOOKUP('Données projet'!$B$17,Paramètres!$A$1:$I$89,5,0)</f>
        <v>-3.2366642699344083E-13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405.71017054131318</v>
      </c>
      <c r="GF194" s="62">
        <f t="shared" si="158"/>
        <v>276.12900965322166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36.127877857912509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36.127877857912509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-2.8421709430404007E-13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3.0859155231155454E-13</v>
      </c>
      <c r="P195" s="14">
        <f t="shared" si="141"/>
        <v>4.0660414022430783E-12</v>
      </c>
      <c r="Q195" s="22">
        <f t="shared" si="162"/>
        <v>7.619152395849318E-12</v>
      </c>
      <c r="R195" s="62">
        <f t="shared" ref="R195:R203" si="191">Q195+(I195+J195)*44/12</f>
        <v>293.33333333334093</v>
      </c>
      <c r="S195" s="62">
        <f ca="1">AVERAGE(OFFSET($R$3,0,0,'Données projet'!$E$9+1,1))-AVERAGE(OFFSET($H$3,0,0,'Données projet'!$E$9+1,1))</f>
        <v>452.54136967045082</v>
      </c>
      <c r="T195" s="62">
        <f t="shared" si="142"/>
        <v>269.67340993773422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50.94967111650552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50.94967111650552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3.4583536034915599E-13</v>
      </c>
      <c r="BF195" s="14">
        <f t="shared" si="167"/>
        <v>4.4967326049770697E-12</v>
      </c>
      <c r="BG195" s="22">
        <f t="shared" si="168"/>
        <v>8.4341392062765094E-12</v>
      </c>
      <c r="BH195" s="62">
        <f t="shared" si="116"/>
        <v>293.33333333334173</v>
      </c>
      <c r="BI195" s="62">
        <f ca="1">AVERAGE(OFFSET($BH$3,0,0,'Données projet'!$E$11+1,1))-AVERAGE(OFFSET($H$3,0,0,'Données projet'!$E$11+1,1))</f>
        <v>502.06005292569733</v>
      </c>
      <c r="BJ195" s="62">
        <f t="shared" si="146"/>
        <v>297.06786598620607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57.09876935470448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57.09876935470448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-2.8421709430404007E-14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-5.1431925385259088E-14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204.787338911576</v>
      </c>
      <c r="CZ195" s="62">
        <f t="shared" si="150"/>
        <v>287.24932051638558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1.8926823662695049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1.8926823662695049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8.5265128291212022E-14</v>
      </c>
      <c r="DP195" s="18">
        <f>DO195*VLOOKUP('Données projet'!$B$14,Paramètres!$A$1:$I$89,3,0)*VLOOKUP('Données projet'!$B$14,Paramètres!$A$1:$I$89,5,0)</f>
        <v>8.1138296081917361E-14</v>
      </c>
      <c r="DQ195" s="14">
        <f t="shared" si="176"/>
        <v>1.2489471326210353E-12</v>
      </c>
      <c r="DR195" s="22">
        <f t="shared" si="177"/>
        <v>2.3165654549909759E-12</v>
      </c>
      <c r="DS195" s="62">
        <f t="shared" si="125"/>
        <v>293.33333333333564</v>
      </c>
      <c r="DT195" s="62">
        <f ca="1">AVERAGE(OFFSET($DS$3,0,0,'Données projet'!$E$14+1,1))-AVERAGE(OFFSET($H$3,0,0,'Données projet'!$E$14+1,1))</f>
        <v>309.55876703480277</v>
      </c>
      <c r="DU195" s="62">
        <f t="shared" si="152"/>
        <v>122.43799205838684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31.494804297623521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31.494804297623521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-3.4106051316484809E-13</v>
      </c>
      <c r="EK195" s="18">
        <f>EJ195*VLOOKUP('Données projet'!$B$15,Paramètres!$A$1:$I$89,3,0)*VLOOKUP('Données projet'!$B$15,Paramètres!$A$1:$I$89,5,0)</f>
        <v>-1.5961632016114892E-13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301.04834785168049</v>
      </c>
      <c r="EP195" s="62">
        <f t="shared" si="154"/>
        <v>164.1450425611464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43.300901576074835</v>
      </c>
      <c r="EW195" s="23">
        <f>EXP(-LN(2)/25)*EW194+(1-EXP(-LN(2)/25))/(LN(2)/25)*Calculateur!ER195*Calculateur!ET195*VLOOKUP('Données projet'!$B$15,Paramètres!$A$1:$I$89,3,0)*0.475*44/12</f>
        <v>5.2482114961999287</v>
      </c>
      <c r="EX195" s="23">
        <f>EXP(-LN(2)/2)*EX194+(1-EXP(-LN(2)/2))/(LN(2)/2)*ER195*EU195*VLOOKUP('Données projet'!$B$15,Paramètres!$A$1:$I$89,3,0)*0.475*44/12</f>
        <v>4.6453064726485994E-10</v>
      </c>
      <c r="EY195" s="24">
        <f t="shared" si="181"/>
        <v>48.549113072739296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-2.8421709430404007E-13</v>
      </c>
      <c r="FF195" s="18">
        <f>FE195*VLOOKUP('Données projet'!$B$16,Paramètres!$A$1:$I$89,3,0)*VLOOKUP('Données projet'!$B$16,Paramètres!$A$1:$I$89,5,0)</f>
        <v>-2.5715962692629546E-13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330.53726676433649</v>
      </c>
      <c r="FK195" s="62">
        <f t="shared" si="156"/>
        <v>228.01260676706528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28.141466686561799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28.141466686561799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-2.8421709430404007E-13</v>
      </c>
      <c r="GA195" s="18">
        <f>FZ195*VLOOKUP('Données projet'!$B$17,Paramètres!$A$1:$I$89,3,0)*VLOOKUP('Données projet'!$B$17,Paramètres!$A$1:$I$89,5,0)</f>
        <v>-3.2366642699344083E-13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405.71017054131318</v>
      </c>
      <c r="GF195" s="62">
        <f t="shared" si="158"/>
        <v>276.12900965322166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35.419432208948479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35.419432208948479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-2.8421709430404007E-13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3.0859155231155454E-13</v>
      </c>
      <c r="P196" s="14">
        <f t="shared" si="141"/>
        <v>4.0660414022430783E-12</v>
      </c>
      <c r="Q196" s="22">
        <f t="shared" si="162"/>
        <v>7.619152395849318E-12</v>
      </c>
      <c r="R196" s="62">
        <f t="shared" si="191"/>
        <v>293.33333333334093</v>
      </c>
      <c r="S196" s="62">
        <f ca="1">AVERAGE(OFFSET($R$3,0,0,'Données projet'!$E$9+1,1))-AVERAGE(OFFSET($H$3,0,0,'Données projet'!$E$9+1,1))</f>
        <v>452.54136967045082</v>
      </c>
      <c r="T196" s="62">
        <f t="shared" si="142"/>
        <v>269.67340993773422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49.950579142141706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49.950579142141706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3.4583536034915599E-13</v>
      </c>
      <c r="BF196" s="14">
        <f t="shared" si="167"/>
        <v>4.4967326049770697E-12</v>
      </c>
      <c r="BG196" s="22">
        <f t="shared" si="168"/>
        <v>8.4341392062765094E-12</v>
      </c>
      <c r="BH196" s="62">
        <f t="shared" ref="BH196:BH203" si="194">BG196+(AY196+AZ196)*44/12</f>
        <v>293.33333333334173</v>
      </c>
      <c r="BI196" s="62">
        <f ca="1">AVERAGE(OFFSET($BH$3,0,0,'Données projet'!$E$11+1,1))-AVERAGE(OFFSET($H$3,0,0,'Données projet'!$E$11+1,1))</f>
        <v>502.06005292569733</v>
      </c>
      <c r="BJ196" s="62">
        <f t="shared" si="146"/>
        <v>297.06786598620607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55.979097314469172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55.979097314469172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-2.8421709430404007E-14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-5.1431925385259088E-14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204.787338911576</v>
      </c>
      <c r="CZ196" s="62">
        <f t="shared" si="150"/>
        <v>287.24932051638558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1.8555680194892137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1.8555680194892137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8.5265128291212022E-14</v>
      </c>
      <c r="DP196" s="18">
        <f>DO196*VLOOKUP('Données projet'!$B$14,Paramètres!$A$1:$I$89,3,0)*VLOOKUP('Données projet'!$B$14,Paramètres!$A$1:$I$89,5,0)</f>
        <v>8.1138296081917361E-14</v>
      </c>
      <c r="DQ196" s="14">
        <f t="shared" si="176"/>
        <v>1.2489471326210353E-12</v>
      </c>
      <c r="DR196" s="22">
        <f t="shared" si="177"/>
        <v>2.3165654549909759E-12</v>
      </c>
      <c r="DS196" s="62">
        <f t="shared" ref="DS196:DS203" si="197">DR196+(DJ196+DK196)*44/12</f>
        <v>293.33333333333564</v>
      </c>
      <c r="DT196" s="62">
        <f ca="1">AVERAGE(OFFSET($DS$3,0,0,'Données projet'!$E$14+1,1))-AVERAGE(OFFSET($H$3,0,0,'Données projet'!$E$14+1,1))</f>
        <v>309.55876703480277</v>
      </c>
      <c r="DU196" s="62">
        <f t="shared" si="152"/>
        <v>122.43799205838684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30.877210395280922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30.877210395280922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-3.4106051316484809E-13</v>
      </c>
      <c r="EK196" s="18">
        <f>EJ196*VLOOKUP('Données projet'!$B$15,Paramètres!$A$1:$I$89,3,0)*VLOOKUP('Données projet'!$B$15,Paramètres!$A$1:$I$89,5,0)</f>
        <v>-1.5961632016114892E-13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301.04834785168049</v>
      </c>
      <c r="EP196" s="62">
        <f t="shared" si="154"/>
        <v>164.1450425611464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42.451797307110105</v>
      </c>
      <c r="EW196" s="23">
        <f>EXP(-LN(2)/25)*EW195+(1-EXP(-LN(2)/25))/(LN(2)/25)*Calculateur!ER196*Calculateur!ET196*VLOOKUP('Données projet'!$B$15,Paramètres!$A$1:$I$89,3,0)*0.475*44/12</f>
        <v>5.1046988768448935</v>
      </c>
      <c r="EX196" s="23">
        <f>EXP(-LN(2)/2)*EX195+(1-EXP(-LN(2)/2))/(LN(2)/2)*ER196*EU196*VLOOKUP('Données projet'!$B$15,Paramètres!$A$1:$I$89,3,0)*0.475*44/12</f>
        <v>3.2847277074995864E-10</v>
      </c>
      <c r="EY196" s="24">
        <f t="shared" si="181"/>
        <v>47.556496184283468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-2.8421709430404007E-13</v>
      </c>
      <c r="FF196" s="18">
        <f>FE196*VLOOKUP('Données projet'!$B$16,Paramètres!$A$1:$I$89,3,0)*VLOOKUP('Données projet'!$B$16,Paramètres!$A$1:$I$89,5,0)</f>
        <v>-2.5715962692629546E-13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330.53726676433649</v>
      </c>
      <c r="FK196" s="62">
        <f t="shared" si="156"/>
        <v>228.01260676706528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27.589629689438137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27.589629689438137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-2.8421709430404007E-13</v>
      </c>
      <c r="GA196" s="18">
        <f>FZ196*VLOOKUP('Données projet'!$B$17,Paramètres!$A$1:$I$89,3,0)*VLOOKUP('Données projet'!$B$17,Paramètres!$A$1:$I$89,5,0)</f>
        <v>-3.2366642699344083E-13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405.71017054131318</v>
      </c>
      <c r="GF196" s="62">
        <f t="shared" si="158"/>
        <v>276.12900965322166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34.724878747051456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34.724878747051456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-2.8421709430404007E-13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3.0859155231155454E-13</v>
      </c>
      <c r="P197" s="14">
        <f t="shared" ref="P197:P203" si="203">EXP(-1.0587+0.8836*LN(O197)+0.284)</f>
        <v>4.0660414022430783E-12</v>
      </c>
      <c r="Q197" s="22">
        <f t="shared" si="162"/>
        <v>7.619152395849318E-12</v>
      </c>
      <c r="R197" s="62">
        <f t="shared" si="191"/>
        <v>293.33333333334093</v>
      </c>
      <c r="S197" s="62">
        <f ca="1">AVERAGE(OFFSET($R$3,0,0,'Données projet'!$E$9+1,1))-AVERAGE(OFFSET($H$3,0,0,'Données projet'!$E$9+1,1))</f>
        <v>452.54136967045082</v>
      </c>
      <c r="T197" s="62">
        <f t="shared" ref="T197:T203" si="204">$T$3</f>
        <v>269.67340993773422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48.971078752009234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48.971078752009234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3.4583536034915599E-13</v>
      </c>
      <c r="BF197" s="14">
        <f t="shared" si="167"/>
        <v>4.4967326049770697E-12</v>
      </c>
      <c r="BG197" s="22">
        <f t="shared" si="168"/>
        <v>8.4341392062765094E-12</v>
      </c>
      <c r="BH197" s="62">
        <f t="shared" si="194"/>
        <v>293.33333333334173</v>
      </c>
      <c r="BI197" s="62">
        <f ca="1">AVERAGE(OFFSET($BH$3,0,0,'Données projet'!$E$11+1,1))-AVERAGE(OFFSET($H$3,0,0,'Données projet'!$E$11+1,1))</f>
        <v>502.06005292569733</v>
      </c>
      <c r="BJ197" s="62">
        <f t="shared" ref="BJ197:BJ203" si="206">$BJ$3</f>
        <v>297.06786598620607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54.881381360010366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54.881381360010366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-2.8421709430404007E-14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-5.1431925385259088E-14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204.787338911576</v>
      </c>
      <c r="CZ197" s="62">
        <f t="shared" ref="CZ197:CZ203" si="208">$CZ$3</f>
        <v>287.24932051638558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1.8191814624117677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1.8191814624117677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8.5265128291212022E-14</v>
      </c>
      <c r="DP197" s="18">
        <f>DO197*VLOOKUP('Données projet'!$B$14,Paramètres!$A$1:$I$89,3,0)*VLOOKUP('Données projet'!$B$14,Paramètres!$A$1:$I$89,5,0)</f>
        <v>8.1138296081917361E-14</v>
      </c>
      <c r="DQ197" s="14">
        <f t="shared" si="176"/>
        <v>1.2489471326210353E-12</v>
      </c>
      <c r="DR197" s="22">
        <f t="shared" si="177"/>
        <v>2.3165654549909759E-12</v>
      </c>
      <c r="DS197" s="62">
        <f t="shared" si="197"/>
        <v>293.33333333333564</v>
      </c>
      <c r="DT197" s="62">
        <f ca="1">AVERAGE(OFFSET($DS$3,0,0,'Données projet'!$E$14+1,1))-AVERAGE(OFFSET($H$3,0,0,'Données projet'!$E$14+1,1))</f>
        <v>309.55876703480277</v>
      </c>
      <c r="DU197" s="62">
        <f t="shared" ref="DU197:DU203" si="209">$DU$3</f>
        <v>122.43799205838684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30.271727132668175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30.271727132668175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-3.4106051316484809E-13</v>
      </c>
      <c r="EK197" s="18">
        <f>EJ197*VLOOKUP('Données projet'!$B$15,Paramètres!$A$1:$I$89,3,0)*VLOOKUP('Données projet'!$B$15,Paramètres!$A$1:$I$89,5,0)</f>
        <v>-1.5961632016114892E-13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301.04834785168049</v>
      </c>
      <c r="EP197" s="62">
        <f t="shared" ref="EP197:EP203" si="210">$EP$3</f>
        <v>164.1450425611464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41.61934345495731</v>
      </c>
      <c r="EW197" s="23">
        <f>EXP(-LN(2)/25)*EW196+(1-EXP(-LN(2)/25))/(LN(2)/25)*Calculateur!ER197*Calculateur!ET197*VLOOKUP('Données projet'!$B$15,Paramètres!$A$1:$I$89,3,0)*0.475*44/12</f>
        <v>4.9651106176131226</v>
      </c>
      <c r="EX197" s="23">
        <f>EXP(-LN(2)/2)*EX196+(1-EXP(-LN(2)/2))/(LN(2)/2)*ER197*EU197*VLOOKUP('Données projet'!$B$15,Paramètres!$A$1:$I$89,3,0)*0.475*44/12</f>
        <v>2.3226532363243E-10</v>
      </c>
      <c r="EY197" s="24">
        <f t="shared" si="181"/>
        <v>46.584454072802693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-2.8421709430404007E-13</v>
      </c>
      <c r="FF197" s="18">
        <f>FE197*VLOOKUP('Données projet'!$B$16,Paramètres!$A$1:$I$89,3,0)*VLOOKUP('Données projet'!$B$16,Paramètres!$A$1:$I$89,5,0)</f>
        <v>-2.5715962692629546E-13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330.53726676433649</v>
      </c>
      <c r="FK197" s="62">
        <f t="shared" ref="FK197:FK203" si="211">$FK$3</f>
        <v>228.01260676706528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27.048613879240737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27.048613879240737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-2.8421709430404007E-13</v>
      </c>
      <c r="GA197" s="18">
        <f>FZ197*VLOOKUP('Données projet'!$B$17,Paramètres!$A$1:$I$89,3,0)*VLOOKUP('Données projet'!$B$17,Paramètres!$A$1:$I$89,5,0)</f>
        <v>-3.2366642699344083E-13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405.71017054131318</v>
      </c>
      <c r="GF197" s="62">
        <f t="shared" ref="GF197:GF203" si="212">$GF$3</f>
        <v>276.12900965322166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34.043945054906452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34.043945054906452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-2.8421709430404007E-13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3.0859155231155454E-13</v>
      </c>
      <c r="P198" s="14">
        <f t="shared" si="203"/>
        <v>4.0660414022430783E-12</v>
      </c>
      <c r="Q198" s="22">
        <f t="shared" si="162"/>
        <v>7.619152395849318E-12</v>
      </c>
      <c r="R198" s="62">
        <f t="shared" si="191"/>
        <v>293.33333333334093</v>
      </c>
      <c r="S198" s="62">
        <f ca="1">AVERAGE(OFFSET($R$3,0,0,'Données projet'!$E$9+1,1))-AVERAGE(OFFSET($H$3,0,0,'Données projet'!$E$9+1,1))</f>
        <v>452.54136967045082</v>
      </c>
      <c r="T198" s="62">
        <f t="shared" si="204"/>
        <v>269.67340993773422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48.010785767091015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48.010785767091015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3.4583536034915599E-13</v>
      </c>
      <c r="BF198" s="14">
        <f t="shared" si="167"/>
        <v>4.4967326049770697E-12</v>
      </c>
      <c r="BG198" s="22">
        <f t="shared" si="168"/>
        <v>8.4341392062765094E-12</v>
      </c>
      <c r="BH198" s="62">
        <f t="shared" si="194"/>
        <v>293.33333333334173</v>
      </c>
      <c r="BI198" s="62">
        <f ca="1">AVERAGE(OFFSET($BH$3,0,0,'Données projet'!$E$11+1,1))-AVERAGE(OFFSET($H$3,0,0,'Données projet'!$E$11+1,1))</f>
        <v>502.06005292569733</v>
      </c>
      <c r="BJ198" s="62">
        <f t="shared" si="206"/>
        <v>297.06786598620607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53.805190945877875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53.805190945877875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-2.8421709430404007E-14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-5.1431925385259088E-14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204.787338911576</v>
      </c>
      <c r="CZ198" s="62">
        <f t="shared" si="208"/>
        <v>287.24932051638558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1.7835084235250021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1.7835084235250021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8.5265128291212022E-14</v>
      </c>
      <c r="DP198" s="18">
        <f>DO198*VLOOKUP('Données projet'!$B$14,Paramètres!$A$1:$I$89,3,0)*VLOOKUP('Données projet'!$B$14,Paramètres!$A$1:$I$89,5,0)</f>
        <v>8.1138296081917361E-14</v>
      </c>
      <c r="DQ198" s="14">
        <f t="shared" si="176"/>
        <v>1.2489471326210353E-12</v>
      </c>
      <c r="DR198" s="22">
        <f t="shared" si="177"/>
        <v>2.3165654549909759E-12</v>
      </c>
      <c r="DS198" s="62">
        <f t="shared" si="197"/>
        <v>293.33333333333564</v>
      </c>
      <c r="DT198" s="62">
        <f ca="1">AVERAGE(OFFSET($DS$3,0,0,'Données projet'!$E$14+1,1))-AVERAGE(OFFSET($H$3,0,0,'Données projet'!$E$14+1,1))</f>
        <v>309.55876703480277</v>
      </c>
      <c r="DU198" s="62">
        <f t="shared" si="209"/>
        <v>122.43799205838684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29.678117027526941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29.678117027526941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-3.4106051316484809E-13</v>
      </c>
      <c r="EK198" s="18">
        <f>EJ198*VLOOKUP('Données projet'!$B$15,Paramètres!$A$1:$I$89,3,0)*VLOOKUP('Données projet'!$B$15,Paramètres!$A$1:$I$89,5,0)</f>
        <v>-1.5961632016114892E-13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301.04834785168049</v>
      </c>
      <c r="EP198" s="62">
        <f t="shared" si="210"/>
        <v>164.1450425611464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40.803213515098513</v>
      </c>
      <c r="EW198" s="23">
        <f>EXP(-LN(2)/25)*EW197+(1-EXP(-LN(2)/25))/(LN(2)/25)*Calculateur!ER198*Calculateur!ET198*VLOOKUP('Données projet'!$B$15,Paramètres!$A$1:$I$89,3,0)*0.475*44/12</f>
        <v>4.8293394066706723</v>
      </c>
      <c r="EX198" s="23">
        <f>EXP(-LN(2)/2)*EX197+(1-EXP(-LN(2)/2))/(LN(2)/2)*ER198*EU198*VLOOKUP('Données projet'!$B$15,Paramètres!$A$1:$I$89,3,0)*0.475*44/12</f>
        <v>1.6423638537497934E-10</v>
      </c>
      <c r="EY198" s="24">
        <f t="shared" si="181"/>
        <v>45.632552921933417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-2.8421709430404007E-13</v>
      </c>
      <c r="FF198" s="18">
        <f>FE198*VLOOKUP('Données projet'!$B$16,Paramètres!$A$1:$I$89,3,0)*VLOOKUP('Données projet'!$B$16,Paramètres!$A$1:$I$89,5,0)</f>
        <v>-2.5715962692629546E-13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330.53726676433649</v>
      </c>
      <c r="FK198" s="62">
        <f t="shared" si="211"/>
        <v>228.01260676706528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26.518207059094248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26.518207059094248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-2.8421709430404007E-13</v>
      </c>
      <c r="GA198" s="18">
        <f>FZ198*VLOOKUP('Données projet'!$B$17,Paramètres!$A$1:$I$89,3,0)*VLOOKUP('Données projet'!$B$17,Paramètres!$A$1:$I$89,5,0)</f>
        <v>-3.2366642699344083E-13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405.71017054131318</v>
      </c>
      <c r="GF198" s="62">
        <f t="shared" si="212"/>
        <v>276.12900965322166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33.376364057135874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33.376364057135874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-2.8421709430404007E-13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3.0859155231155454E-13</v>
      </c>
      <c r="P199" s="14">
        <f t="shared" si="203"/>
        <v>4.0660414022430783E-12</v>
      </c>
      <c r="Q199" s="22">
        <f t="shared" si="162"/>
        <v>7.619152395849318E-12</v>
      </c>
      <c r="R199" s="62">
        <f t="shared" si="191"/>
        <v>293.33333333334093</v>
      </c>
      <c r="S199" s="62">
        <f ca="1">AVERAGE(OFFSET($R$3,0,0,'Données projet'!$E$9+1,1))-AVERAGE(OFFSET($H$3,0,0,'Données projet'!$E$9+1,1))</f>
        <v>452.54136967045082</v>
      </c>
      <c r="T199" s="62">
        <f t="shared" si="204"/>
        <v>269.67340993773422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47.069323541886156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47.069323541886156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3.4583536034915599E-13</v>
      </c>
      <c r="BF199" s="14">
        <f t="shared" si="167"/>
        <v>4.4967326049770697E-12</v>
      </c>
      <c r="BG199" s="22">
        <f t="shared" si="168"/>
        <v>8.4341392062765094E-12</v>
      </c>
      <c r="BH199" s="62">
        <f t="shared" si="194"/>
        <v>293.33333333334173</v>
      </c>
      <c r="BI199" s="62">
        <f ca="1">AVERAGE(OFFSET($BH$3,0,0,'Données projet'!$E$11+1,1))-AVERAGE(OFFSET($H$3,0,0,'Données projet'!$E$11+1,1))</f>
        <v>502.06005292569733</v>
      </c>
      <c r="BJ199" s="62">
        <f t="shared" si="206"/>
        <v>297.06786598620607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52.750103969355187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52.750103969355187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-2.8421709430404007E-14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-5.1431925385259088E-14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204.787338911576</v>
      </c>
      <c r="CZ199" s="62">
        <f t="shared" si="208"/>
        <v>287.24932051638558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1.7485349111724005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1.7485349111724005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8.5265128291212022E-14</v>
      </c>
      <c r="DP199" s="18">
        <f>DO199*VLOOKUP('Données projet'!$B$14,Paramètres!$A$1:$I$89,3,0)*VLOOKUP('Données projet'!$B$14,Paramètres!$A$1:$I$89,5,0)</f>
        <v>8.1138296081917361E-14</v>
      </c>
      <c r="DQ199" s="14">
        <f t="shared" si="176"/>
        <v>1.2489471326210353E-12</v>
      </c>
      <c r="DR199" s="22">
        <f t="shared" si="177"/>
        <v>2.3165654549909759E-12</v>
      </c>
      <c r="DS199" s="62">
        <f t="shared" si="197"/>
        <v>293.33333333333564</v>
      </c>
      <c r="DT199" s="62">
        <f ca="1">AVERAGE(OFFSET($DS$3,0,0,'Données projet'!$E$14+1,1))-AVERAGE(OFFSET($H$3,0,0,'Données projet'!$E$14+1,1))</f>
        <v>309.55876703480277</v>
      </c>
      <c r="DU199" s="62">
        <f t="shared" si="209"/>
        <v>122.43799205838684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29.096147254481114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29.096147254481114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-3.4106051316484809E-13</v>
      </c>
      <c r="EK199" s="18">
        <f>EJ199*VLOOKUP('Données projet'!$B$15,Paramètres!$A$1:$I$89,3,0)*VLOOKUP('Données projet'!$B$15,Paramètres!$A$1:$I$89,5,0)</f>
        <v>-1.5961632016114892E-13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301.04834785168049</v>
      </c>
      <c r="EP199" s="62">
        <f t="shared" si="210"/>
        <v>164.1450425611464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40.00308738557024</v>
      </c>
      <c r="EW199" s="23">
        <f>EXP(-LN(2)/25)*EW198+(1-EXP(-LN(2)/25))/(LN(2)/25)*Calculateur!ER199*Calculateur!ET199*VLOOKUP('Données projet'!$B$15,Paramètres!$A$1:$I$89,3,0)*0.475*44/12</f>
        <v>4.697280866631341</v>
      </c>
      <c r="EX199" s="23">
        <f>EXP(-LN(2)/2)*EX198+(1-EXP(-LN(2)/2))/(LN(2)/2)*ER199*EU199*VLOOKUP('Données projet'!$B$15,Paramètres!$A$1:$I$89,3,0)*0.475*44/12</f>
        <v>1.1613266181621502E-10</v>
      </c>
      <c r="EY199" s="24">
        <f t="shared" si="181"/>
        <v>44.700368252317709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-2.8421709430404007E-13</v>
      </c>
      <c r="FF199" s="18">
        <f>FE199*VLOOKUP('Données projet'!$B$16,Paramètres!$A$1:$I$89,3,0)*VLOOKUP('Données projet'!$B$16,Paramètres!$A$1:$I$89,5,0)</f>
        <v>-2.5715962692629546E-13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330.53726676433649</v>
      </c>
      <c r="FK199" s="62">
        <f t="shared" si="211"/>
        <v>228.01260676706528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25.998201193174616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25.998201193174616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-2.8421709430404007E-13</v>
      </c>
      <c r="GA199" s="18">
        <f>FZ199*VLOOKUP('Données projet'!$B$17,Paramètres!$A$1:$I$89,3,0)*VLOOKUP('Données projet'!$B$17,Paramètres!$A$1:$I$89,5,0)</f>
        <v>-3.2366642699344083E-13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405.71017054131318</v>
      </c>
      <c r="GF199" s="62">
        <f t="shared" si="212"/>
        <v>276.12900965322166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32.72187391554737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32.72187391554737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-2.8421709430404007E-13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3.0859155231155454E-13</v>
      </c>
      <c r="P200" s="14">
        <f t="shared" si="203"/>
        <v>4.0660414022430783E-12</v>
      </c>
      <c r="Q200" s="22">
        <f t="shared" si="162"/>
        <v>7.619152395849318E-12</v>
      </c>
      <c r="R200" s="62">
        <f t="shared" si="191"/>
        <v>293.33333333334093</v>
      </c>
      <c r="S200" s="62">
        <f ca="1">AVERAGE(OFFSET($R$3,0,0,'Données projet'!$E$9+1,1))-AVERAGE(OFFSET($H$3,0,0,'Données projet'!$E$9+1,1))</f>
        <v>452.54136967045082</v>
      </c>
      <c r="T200" s="62">
        <f t="shared" si="204"/>
        <v>269.67340993773422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46.146322816682307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46.146322816682307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3.4583536034915599E-13</v>
      </c>
      <c r="BF200" s="14">
        <f t="shared" si="167"/>
        <v>4.4967326049770697E-12</v>
      </c>
      <c r="BG200" s="22">
        <f t="shared" si="168"/>
        <v>8.4341392062765094E-12</v>
      </c>
      <c r="BH200" s="62">
        <f t="shared" si="194"/>
        <v>293.33333333334173</v>
      </c>
      <c r="BI200" s="62">
        <f ca="1">AVERAGE(OFFSET($BH$3,0,0,'Données projet'!$E$11+1,1))-AVERAGE(OFFSET($H$3,0,0,'Données projet'!$E$11+1,1))</f>
        <v>502.06005292569733</v>
      </c>
      <c r="BJ200" s="62">
        <f t="shared" si="206"/>
        <v>297.06786598620607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51.7157066049026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51.7157066049026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-2.8421709430404007E-14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-5.1431925385259088E-14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204.787338911576</v>
      </c>
      <c r="CZ200" s="62">
        <f t="shared" si="208"/>
        <v>287.24932051638558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1.7142472080652973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1.7142472080652973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8.5265128291212022E-14</v>
      </c>
      <c r="DP200" s="18">
        <f>DO200*VLOOKUP('Données projet'!$B$14,Paramètres!$A$1:$I$89,3,0)*VLOOKUP('Données projet'!$B$14,Paramètres!$A$1:$I$89,5,0)</f>
        <v>8.1138296081917361E-14</v>
      </c>
      <c r="DQ200" s="14">
        <f t="shared" si="176"/>
        <v>1.2489471326210353E-12</v>
      </c>
      <c r="DR200" s="22">
        <f t="shared" si="177"/>
        <v>2.3165654549909759E-12</v>
      </c>
      <c r="DS200" s="62">
        <f t="shared" si="197"/>
        <v>293.33333333333564</v>
      </c>
      <c r="DT200" s="62">
        <f ca="1">AVERAGE(OFFSET($DS$3,0,0,'Données projet'!$E$14+1,1))-AVERAGE(OFFSET($H$3,0,0,'Données projet'!$E$14+1,1))</f>
        <v>309.55876703480277</v>
      </c>
      <c r="DU200" s="62">
        <f t="shared" si="209"/>
        <v>122.43799205838684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28.525589553718202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28.525589553718202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-3.4106051316484809E-13</v>
      </c>
      <c r="EK200" s="18">
        <f>EJ200*VLOOKUP('Données projet'!$B$15,Paramètres!$A$1:$I$89,3,0)*VLOOKUP('Données projet'!$B$15,Paramètres!$A$1:$I$89,5,0)</f>
        <v>-1.5961632016114892E-13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301.04834785168049</v>
      </c>
      <c r="EP200" s="62">
        <f t="shared" si="210"/>
        <v>164.1450425611464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39.218651241413262</v>
      </c>
      <c r="EW200" s="23">
        <f>EXP(-LN(2)/25)*EW199+(1-EXP(-LN(2)/25))/(LN(2)/25)*Calculateur!ER200*Calculateur!ET200*VLOOKUP('Données projet'!$B$15,Paramètres!$A$1:$I$89,3,0)*0.475*44/12</f>
        <v>4.568833474314042</v>
      </c>
      <c r="EX200" s="23">
        <f>EXP(-LN(2)/2)*EX199+(1-EXP(-LN(2)/2))/(LN(2)/2)*ER200*EU200*VLOOKUP('Données projet'!$B$15,Paramètres!$A$1:$I$89,3,0)*0.475*44/12</f>
        <v>8.2118192687489685E-11</v>
      </c>
      <c r="EY200" s="24">
        <f t="shared" si="181"/>
        <v>43.78748471580942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-2.8421709430404007E-13</v>
      </c>
      <c r="FF200" s="18">
        <f>FE200*VLOOKUP('Données projet'!$B$16,Paramètres!$A$1:$I$89,3,0)*VLOOKUP('Données projet'!$B$16,Paramètres!$A$1:$I$89,5,0)</f>
        <v>-2.5715962692629546E-13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330.53726676433649</v>
      </c>
      <c r="FK200" s="62">
        <f t="shared" si="211"/>
        <v>228.01260676706528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25.488392325113406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25.488392325113406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-2.8421709430404007E-13</v>
      </c>
      <c r="GA200" s="18">
        <f>FZ200*VLOOKUP('Données projet'!$B$17,Paramètres!$A$1:$I$89,3,0)*VLOOKUP('Données projet'!$B$17,Paramètres!$A$1:$I$89,5,0)</f>
        <v>-3.2366642699344083E-13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405.71017054131318</v>
      </c>
      <c r="GF200" s="62">
        <f t="shared" si="212"/>
        <v>276.12900965322166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32.08021792643585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32.08021792643585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-2.8421709430404007E-13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3.0859155231155454E-13</v>
      </c>
      <c r="P201" s="14">
        <f t="shared" si="203"/>
        <v>4.0660414022430783E-12</v>
      </c>
      <c r="Q201" s="22">
        <f t="shared" si="162"/>
        <v>7.619152395849318E-12</v>
      </c>
      <c r="R201" s="62">
        <f t="shared" si="191"/>
        <v>293.33333333334093</v>
      </c>
      <c r="S201" s="62">
        <f ca="1">AVERAGE(OFFSET($R$3,0,0,'Données projet'!$E$9+1,1))-AVERAGE(OFFSET($H$3,0,0,'Données projet'!$E$9+1,1))</f>
        <v>452.54136967045082</v>
      </c>
      <c r="T201" s="62">
        <f t="shared" si="204"/>
        <v>269.67340993773422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45.241421572724853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45.241421572724853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3.4583536034915599E-13</v>
      </c>
      <c r="BF201" s="14">
        <f t="shared" si="167"/>
        <v>4.4967326049770697E-12</v>
      </c>
      <c r="BG201" s="22">
        <f t="shared" si="168"/>
        <v>8.4341392062765094E-12</v>
      </c>
      <c r="BH201" s="62">
        <f t="shared" si="194"/>
        <v>293.33333333334173</v>
      </c>
      <c r="BI201" s="62">
        <f ca="1">AVERAGE(OFFSET($BH$3,0,0,'Données projet'!$E$11+1,1))-AVERAGE(OFFSET($H$3,0,0,'Données projet'!$E$11+1,1))</f>
        <v>502.06005292569733</v>
      </c>
      <c r="BJ201" s="62">
        <f t="shared" si="206"/>
        <v>297.06786598620607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50.701593141846828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50.701593141846828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-2.8421709430404007E-14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-5.1431925385259088E-14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204.787338911576</v>
      </c>
      <c r="CZ201" s="62">
        <f t="shared" si="208"/>
        <v>287.24932051638558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1.6806318659026904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1.6806318659026904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8.5265128291212022E-14</v>
      </c>
      <c r="DP201" s="18">
        <f>DO201*VLOOKUP('Données projet'!$B$14,Paramètres!$A$1:$I$89,3,0)*VLOOKUP('Données projet'!$B$14,Paramètres!$A$1:$I$89,5,0)</f>
        <v>8.1138296081917361E-14</v>
      </c>
      <c r="DQ201" s="14">
        <f t="shared" si="176"/>
        <v>1.2489471326210353E-12</v>
      </c>
      <c r="DR201" s="22">
        <f t="shared" si="177"/>
        <v>2.3165654549909759E-12</v>
      </c>
      <c r="DS201" s="62">
        <f t="shared" si="197"/>
        <v>293.33333333333564</v>
      </c>
      <c r="DT201" s="62">
        <f ca="1">AVERAGE(OFFSET($DS$3,0,0,'Données projet'!$E$14+1,1))-AVERAGE(OFFSET($H$3,0,0,'Données projet'!$E$14+1,1))</f>
        <v>309.55876703480277</v>
      </c>
      <c r="DU201" s="62">
        <f t="shared" si="209"/>
        <v>122.43799205838684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27.966220141461417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27.966220141461417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-3.4106051316484809E-13</v>
      </c>
      <c r="EK201" s="18">
        <f>EJ201*VLOOKUP('Données projet'!$B$15,Paramètres!$A$1:$I$89,3,0)*VLOOKUP('Données projet'!$B$15,Paramètres!$A$1:$I$89,5,0)</f>
        <v>-1.5961632016114892E-13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301.04834785168049</v>
      </c>
      <c r="EP201" s="62">
        <f t="shared" si="210"/>
        <v>164.1450425611464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38.449597411584399</v>
      </c>
      <c r="EW201" s="23">
        <f>EXP(-LN(2)/25)*EW200+(1-EXP(-LN(2)/25))/(LN(2)/25)*Calculateur!ER201*Calculateur!ET201*VLOOKUP('Données projet'!$B$15,Paramètres!$A$1:$I$89,3,0)*0.475*44/12</f>
        <v>4.4438984826944141</v>
      </c>
      <c r="EX201" s="23">
        <f>EXP(-LN(2)/2)*EX200+(1-EXP(-LN(2)/2))/(LN(2)/2)*ER201*EU201*VLOOKUP('Données projet'!$B$15,Paramètres!$A$1:$I$89,3,0)*0.475*44/12</f>
        <v>5.8066330908107518E-11</v>
      </c>
      <c r="EY201" s="24">
        <f t="shared" si="181"/>
        <v>42.89349589433688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-2.8421709430404007E-13</v>
      </c>
      <c r="FF201" s="18">
        <f>FE201*VLOOKUP('Données projet'!$B$16,Paramètres!$A$1:$I$89,3,0)*VLOOKUP('Données projet'!$B$16,Paramètres!$A$1:$I$89,5,0)</f>
        <v>-2.5715962692629546E-13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330.53726676433649</v>
      </c>
      <c r="FK201" s="62">
        <f t="shared" si="211"/>
        <v>228.01260676706528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24.988580498002172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24.988580498002172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-2.8421709430404007E-13</v>
      </c>
      <c r="GA201" s="18">
        <f>FZ201*VLOOKUP('Données projet'!$B$17,Paramètres!$A$1:$I$89,3,0)*VLOOKUP('Données projet'!$B$17,Paramètres!$A$1:$I$89,5,0)</f>
        <v>-3.2366642699344083E-13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405.71017054131318</v>
      </c>
      <c r="GF201" s="62">
        <f t="shared" si="212"/>
        <v>276.12900965322166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31.451144419899297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31.451144419899297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-2.8421709430404007E-13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3.0859155231155454E-13</v>
      </c>
      <c r="P202" s="14">
        <f t="shared" si="203"/>
        <v>4.0660414022430783E-12</v>
      </c>
      <c r="Q202" s="22">
        <f t="shared" si="162"/>
        <v>7.619152395849318E-12</v>
      </c>
      <c r="R202" s="62">
        <f t="shared" si="191"/>
        <v>293.33333333334093</v>
      </c>
      <c r="S202" s="62">
        <f ca="1">AVERAGE(OFFSET($R$3,0,0,'Données projet'!$E$9+1,1))-AVERAGE(OFFSET($H$3,0,0,'Données projet'!$E$9+1,1))</f>
        <v>452.54136967045082</v>
      </c>
      <c r="T202" s="62">
        <f t="shared" si="204"/>
        <v>269.67340993773422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44.35426489022614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44.35426489022614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3.4583536034915599E-13</v>
      </c>
      <c r="BF202" s="14">
        <f t="shared" si="167"/>
        <v>4.4967326049770697E-12</v>
      </c>
      <c r="BG202" s="22">
        <f t="shared" si="168"/>
        <v>8.4341392062765094E-12</v>
      </c>
      <c r="BH202" s="62">
        <f t="shared" si="194"/>
        <v>293.33333333334173</v>
      </c>
      <c r="BI202" s="62">
        <f ca="1">AVERAGE(OFFSET($BH$3,0,0,'Données projet'!$E$11+1,1))-AVERAGE(OFFSET($H$3,0,0,'Données projet'!$E$11+1,1))</f>
        <v>502.06005292569733</v>
      </c>
      <c r="BJ202" s="62">
        <f t="shared" si="206"/>
        <v>297.06786598620607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49.707365825253447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49.707365825253447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-2.8421709430404007E-14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-5.1431925385259088E-14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204.787338911576</v>
      </c>
      <c r="CZ202" s="62">
        <f t="shared" si="208"/>
        <v>287.24932051638558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1.6476757000965583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1.6476757000965583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8.5265128291212022E-14</v>
      </c>
      <c r="DP202" s="18">
        <f>DO202*VLOOKUP('Données projet'!$B$14,Paramètres!$A$1:$I$89,3,0)*VLOOKUP('Données projet'!$B$14,Paramètres!$A$1:$I$89,5,0)</f>
        <v>8.1138296081917361E-14</v>
      </c>
      <c r="DQ202" s="14">
        <f t="shared" si="176"/>
        <v>1.2489471326210353E-12</v>
      </c>
      <c r="DR202" s="22">
        <f t="shared" si="177"/>
        <v>2.3165654549909759E-12</v>
      </c>
      <c r="DS202" s="62">
        <f t="shared" si="197"/>
        <v>293.33333333333564</v>
      </c>
      <c r="DT202" s="62">
        <f ca="1">AVERAGE(OFFSET($DS$3,0,0,'Données projet'!$E$14+1,1))-AVERAGE(OFFSET($H$3,0,0,'Données projet'!$E$14+1,1))</f>
        <v>309.55876703480277</v>
      </c>
      <c r="DU202" s="62">
        <f t="shared" si="209"/>
        <v>122.43799205838684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27.417819622197335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27.417819622197335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-3.4106051316484809E-13</v>
      </c>
      <c r="EK202" s="18">
        <f>EJ202*VLOOKUP('Données projet'!$B$15,Paramètres!$A$1:$I$89,3,0)*VLOOKUP('Données projet'!$B$15,Paramètres!$A$1:$I$89,5,0)</f>
        <v>-1.5961632016114892E-13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301.04834785168049</v>
      </c>
      <c r="EP202" s="62">
        <f t="shared" si="210"/>
        <v>164.1450425611464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37.695624258281967</v>
      </c>
      <c r="EW202" s="23">
        <f>EXP(-LN(2)/25)*EW201+(1-EXP(-LN(2)/25))/(LN(2)/25)*Calculateur!ER202*Calculateur!ET202*VLOOKUP('Données projet'!$B$15,Paramètres!$A$1:$I$89,3,0)*0.475*44/12</f>
        <v>4.322379844990671</v>
      </c>
      <c r="EX202" s="23">
        <f>EXP(-LN(2)/2)*EX201+(1-EXP(-LN(2)/2))/(LN(2)/2)*ER202*EU202*VLOOKUP('Données projet'!$B$15,Paramètres!$A$1:$I$89,3,0)*0.475*44/12</f>
        <v>4.1059096343744849E-11</v>
      </c>
      <c r="EY202" s="24">
        <f t="shared" si="181"/>
        <v>42.0180041033137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-2.8421709430404007E-13</v>
      </c>
      <c r="FF202" s="18">
        <f>FE202*VLOOKUP('Données projet'!$B$16,Paramètres!$A$1:$I$89,3,0)*VLOOKUP('Données projet'!$B$16,Paramètres!$A$1:$I$89,5,0)</f>
        <v>-2.5715962692629546E-13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330.53726676433649</v>
      </c>
      <c r="FK202" s="62">
        <f t="shared" si="211"/>
        <v>228.01260676706528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24.498569675965477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24.498569675965477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-2.8421709430404007E-13</v>
      </c>
      <c r="GA202" s="18">
        <f>FZ202*VLOOKUP('Données projet'!$B$17,Paramètres!$A$1:$I$89,3,0)*VLOOKUP('Données projet'!$B$17,Paramètres!$A$1:$I$89,5,0)</f>
        <v>-3.2366642699344083E-13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405.71017054131318</v>
      </c>
      <c r="GF202" s="62">
        <f t="shared" si="212"/>
        <v>276.12900965322166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30.834406661128973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30.834406661128973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-2.8421709430404007E-13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3.0859155231155454E-13</v>
      </c>
      <c r="P203" s="14">
        <f t="shared" si="203"/>
        <v>4.0660414022430783E-12</v>
      </c>
      <c r="Q203" s="22">
        <f t="shared" si="162"/>
        <v>7.619152395849318E-12</v>
      </c>
      <c r="R203" s="62">
        <f t="shared" si="191"/>
        <v>293.33333333334093</v>
      </c>
      <c r="S203" s="62">
        <f ca="1">AVERAGE(OFFSET($R$3,0,0,'Données projet'!$E$9+1,1))-AVERAGE(OFFSET($H$3,0,0,'Données projet'!$E$9+1,1))</f>
        <v>452.54136967045082</v>
      </c>
      <c r="T203" s="62">
        <f t="shared" si="204"/>
        <v>269.67340993773422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43.484504809159084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43.484504809159084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3.4583536034915599E-13</v>
      </c>
      <c r="BF203" s="14">
        <f t="shared" si="167"/>
        <v>4.4967326049770697E-12</v>
      </c>
      <c r="BG203" s="22">
        <f t="shared" si="168"/>
        <v>8.4341392062765094E-12</v>
      </c>
      <c r="BH203" s="62">
        <f t="shared" si="194"/>
        <v>293.33333333334173</v>
      </c>
      <c r="BI203" s="62">
        <f ca="1">AVERAGE(OFFSET($BH$3,0,0,'Données projet'!$E$11+1,1))-AVERAGE(OFFSET($H$3,0,0,'Données projet'!$E$11+1,1))</f>
        <v>502.06005292569733</v>
      </c>
      <c r="BJ203" s="62">
        <f t="shared" si="206"/>
        <v>297.06786598620607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48.732634699919679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48.732634699919679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-2.8421709430404007E-14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-5.1431925385259088E-14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204.787338911576</v>
      </c>
      <c r="CZ203" s="62">
        <f t="shared" si="208"/>
        <v>287.24932051638558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1.615365784600608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1.615365784600608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8.5265128291212022E-14</v>
      </c>
      <c r="DP203" s="18">
        <f>DO203*VLOOKUP('Données projet'!$B$14,Paramètres!$A$1:$I$89,3,0)*VLOOKUP('Données projet'!$B$14,Paramètres!$A$1:$I$89,5,0)</f>
        <v>8.1138296081917361E-14</v>
      </c>
      <c r="DQ203" s="14">
        <f t="shared" si="176"/>
        <v>1.2489471326210353E-12</v>
      </c>
      <c r="DR203" s="22">
        <f t="shared" si="177"/>
        <v>2.3165654549909759E-12</v>
      </c>
      <c r="DS203" s="62">
        <f t="shared" si="197"/>
        <v>293.33333333333564</v>
      </c>
      <c r="DT203" s="62">
        <f ca="1">AVERAGE(OFFSET($DS$3,0,0,'Données projet'!$E$14+1,1))-AVERAGE(OFFSET($H$3,0,0,'Données projet'!$E$14+1,1))</f>
        <v>309.55876703480277</v>
      </c>
      <c r="DU203" s="62">
        <f t="shared" si="209"/>
        <v>122.43799205838684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26.880172902624736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26.880172902624736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-3.4106051316484809E-13</v>
      </c>
      <c r="EK203" s="18">
        <f>EJ203*VLOOKUP('Données projet'!$B$15,Paramètres!$A$1:$I$89,3,0)*VLOOKUP('Données projet'!$B$15,Paramètres!$A$1:$I$89,5,0)</f>
        <v>-1.5961632016114892E-13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301.04834785168049</v>
      </c>
      <c r="EP203" s="62">
        <f t="shared" si="210"/>
        <v>164.1450425611464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36.956436058637578</v>
      </c>
      <c r="EW203" s="23">
        <f>EXP(-LN(2)/25)*EW202+(1-EXP(-LN(2)/25))/(LN(2)/25)*Calculateur!ER203*Calculateur!ET203*VLOOKUP('Données projet'!$B$15,Paramètres!$A$1:$I$89,3,0)*0.475*44/12</f>
        <v>4.2041841408253235</v>
      </c>
      <c r="EX203" s="23">
        <f>EXP(-LN(2)/2)*EX202+(1-EXP(-LN(2)/2))/(LN(2)/2)*ER203*EU203*VLOOKUP('Données projet'!$B$15,Paramètres!$A$1:$I$89,3,0)*0.475*44/12</f>
        <v>2.9033165454053766E-11</v>
      </c>
      <c r="EY203" s="24">
        <f t="shared" si="181"/>
        <v>41.160620199491937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-2.8421709430404007E-13</v>
      </c>
      <c r="FF203" s="18">
        <f>FE203*VLOOKUP('Données projet'!$B$16,Paramètres!$A$1:$I$89,3,0)*VLOOKUP('Données projet'!$B$16,Paramètres!$A$1:$I$89,5,0)</f>
        <v>-2.5715962692629546E-13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330.53726676433649</v>
      </c>
      <c r="FK203" s="62">
        <f t="shared" si="211"/>
        <v>228.01260676706528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24.018167667271832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24.018167667271832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-2.8421709430404007E-13</v>
      </c>
      <c r="GA203" s="18">
        <f>FZ203*VLOOKUP('Données projet'!$B$17,Paramètres!$A$1:$I$89,3,0)*VLOOKUP('Données projet'!$B$17,Paramètres!$A$1:$I$89,5,0)</f>
        <v>-3.2366642699344083E-13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405.71017054131318</v>
      </c>
      <c r="GF203" s="62">
        <f t="shared" si="212"/>
        <v>276.12900965322166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30.229762753635246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30.229762753635246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-2.8421709430404007E-13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1.1289835501862808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1.2299854424358712</v>
      </c>
      <c r="BA205" s="88">
        <f>EXP(LN('Données projet'!B88)/'Données projet'!A88)</f>
        <v>1.1289835501862808</v>
      </c>
      <c r="BV205" s="88">
        <f>EXP(LN('Données projet'!B114)/'Données projet'!A114)</f>
        <v>1.2168153645440281</v>
      </c>
      <c r="CQ205" s="88">
        <f>EXP(LN('Données projet'!B140)/'Données projet'!A140)</f>
        <v>1.781611021057719</v>
      </c>
      <c r="DL205" s="88">
        <f>EXP(LN('Données projet'!B166)/'Données projet'!A166)</f>
        <v>1.104350409980585</v>
      </c>
      <c r="EG205" s="88">
        <f>EXP(LN('Données projet'!B192)/'Données projet'!A192)</f>
        <v>1.1734849744378069</v>
      </c>
      <c r="FB205" s="88">
        <f>EXP(LN('Données projet'!B218)/'Données projet'!A218)</f>
        <v>1.0914426206377448</v>
      </c>
      <c r="FW205" s="88">
        <f>EXP(LN('Données projet'!B244)/'Données projet'!A244)</f>
        <v>1.0914426206377448</v>
      </c>
      <c r="GR205" s="88">
        <f>EXP(LN('Données projet'!B270)/'Données projet'!A270)</f>
        <v>1.0914426206377448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6" thickBot="1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6" thickBot="1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6" thickBot="1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6" thickBot="1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6" thickBot="1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>
      <c r="A93" s="131" t="s">
        <v>208</v>
      </c>
    </row>
    <row r="94" spans="1:14">
      <c r="A94" s="131" t="s">
        <v>209</v>
      </c>
    </row>
    <row r="95" spans="1:14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J28" sqref="J28"/>
    </sheetView>
  </sheetViews>
  <sheetFormatPr baseColWidth="10" defaultColWidth="11.5" defaultRowHeight="15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>
      <c r="A6" s="154" t="str">
        <f>IF('Données projet'!$B$9="","",'Données projet'!$B$9)</f>
        <v>Chêne sessile</v>
      </c>
      <c r="B6" s="155">
        <f>'Données projet'!D9</f>
        <v>0.29316269200000006</v>
      </c>
      <c r="C6" s="156">
        <f ca="1">IF(OR('Données projet'!B9="",'Données projet'!C9="",'Données projet'!C9=0%),0,Calculateur!S3)</f>
        <v>452.54136967045082</v>
      </c>
      <c r="D6" s="156">
        <f>IF(OR('Données projet'!B9="",'Données projet'!C9="",'Données projet'!C9=0%),0,Calculateur!T3)</f>
        <v>269.67340993773422</v>
      </c>
      <c r="E6" s="156">
        <f ca="1">MIN(C6,D6)</f>
        <v>269.67340993773422</v>
      </c>
      <c r="F6" s="156">
        <f ca="1">E6*B6</f>
        <v>79.058182818165733</v>
      </c>
      <c r="G6" s="156">
        <f ca="1">F6*(100%-'Données projet'!$C$24)*(100%-'Données projet'!$C$25)*(100%-'Données projet'!$C$26)*(100%-'Données projet'!$C$27)</f>
        <v>60.479509855896794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60.479509855896794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>
      <c r="A8" s="162" t="str">
        <f>IF('Données projet'!$B$11="","",'Données projet'!$B$11)</f>
        <v>Chêne pubescent</v>
      </c>
      <c r="B8" s="163">
        <f>'Données projet'!D11</f>
        <v>0.61910913500000009</v>
      </c>
      <c r="C8" s="156">
        <f ca="1">IF(OR('Données projet'!B11="",'Données projet'!C11="",'Données projet'!C11=0%),0,Calculateur!BI3)</f>
        <v>502.06005292569733</v>
      </c>
      <c r="D8" s="156">
        <f>IF(OR('Données projet'!B11="",'Données projet'!C11="",'Données projet'!C11=0%),0,Calculateur!BJ3)</f>
        <v>297.06786598620607</v>
      </c>
      <c r="E8" s="156">
        <f t="shared" ca="1" si="0"/>
        <v>297.06786598620607</v>
      </c>
      <c r="F8" s="156">
        <f t="shared" ca="1" si="1"/>
        <v>183.91742954701598</v>
      </c>
      <c r="G8" s="156">
        <f ca="1">F8*(100%-'Données projet'!$C$24)*(100%-'Données projet'!$C$25)*(100%-'Données projet'!$C$26)*(100%-'Données projet'!$C$27)</f>
        <v>140.69683360346724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140.69683360346724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>
      <c r="A10" s="162" t="str">
        <f>IF('Données projet'!$B$13="","",'Données projet'!$B$13)</f>
        <v>Robinier faux-acacia</v>
      </c>
      <c r="B10" s="163">
        <f>'Données projet'!D13</f>
        <v>3.8458164999999996E-2</v>
      </c>
      <c r="C10" s="156">
        <f ca="1">IF(OR('Données projet'!B13="",'Données projet'!C13="",'Données projet'!C13=0%),0,Calculateur!CY3)</f>
        <v>204.787338911576</v>
      </c>
      <c r="D10" s="156">
        <f>IF(OR('Données projet'!B13="",'Données projet'!C13="",'Données projet'!C13=0%),0,Calculateur!CZ3)</f>
        <v>287.24932051638558</v>
      </c>
      <c r="E10" s="156">
        <f t="shared" ca="1" si="0"/>
        <v>204.787338911576</v>
      </c>
      <c r="F10" s="156">
        <f t="shared" ca="1" si="1"/>
        <v>7.8757452697723096</v>
      </c>
      <c r="G10" s="156">
        <f ca="1">F10*(100%-'Données projet'!$C$24)*(100%-'Données projet'!$C$25)*(100%-'Données projet'!$C$26)*(100%-'Données projet'!$C$27)</f>
        <v>6.0249451313758167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0.46832430428749988</v>
      </c>
      <c r="K10" s="160">
        <f>J10*(100%-'Données projet'!$C$24)*(100%-'Données projet'!$C$25)*(100%-'Données projet'!$C$26)*(100%-'Données projet'!$C$27)</f>
        <v>0.35826809277993743</v>
      </c>
      <c r="L10" s="161">
        <f t="shared" ca="1" si="2"/>
        <v>6.383213224155754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>
      <c r="A11" s="162" t="str">
        <f>IF('Données projet'!$B$14="","",'Données projet'!$B$14)</f>
        <v>Charme</v>
      </c>
      <c r="B11" s="163">
        <f>'Données projet'!D14</f>
        <v>3.8458164999999996E-2</v>
      </c>
      <c r="C11" s="156">
        <f ca="1">IF(OR('Données projet'!B14="",'Données projet'!C14="",'Données projet'!C14=0%),0,Calculateur!DT3)</f>
        <v>309.55876703480277</v>
      </c>
      <c r="D11" s="156">
        <f>IF(OR('Données projet'!B14="",'Données projet'!C14="",'Données projet'!C14=0%),0,Calculateur!DU3)</f>
        <v>122.43799205838684</v>
      </c>
      <c r="E11" s="156">
        <f t="shared" ca="1" si="0"/>
        <v>122.43799205838684</v>
      </c>
      <c r="F11" s="156">
        <f t="shared" ca="1" si="1"/>
        <v>4.70874050085013</v>
      </c>
      <c r="G11" s="156">
        <f ca="1">F11*(100%-'Données projet'!$C$24)*(100%-'Données projet'!$C$25)*(100%-'Données projet'!$C$26)*(100%-'Données projet'!$C$27)</f>
        <v>3.6021864831503496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3.6021864831503496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>
      <c r="A12" s="162" t="str">
        <f>IF('Données projet'!$B$15="","",'Données projet'!$B$15)</f>
        <v>Cèdre de l'Atlas</v>
      </c>
      <c r="B12" s="163">
        <f>'Données projet'!D15</f>
        <v>0.12483104300000002</v>
      </c>
      <c r="C12" s="156">
        <f ca="1">IF(OR('Données projet'!B15="",'Données projet'!C15="",'Données projet'!C15=0%),0,Calculateur!EO3)</f>
        <v>301.04834785168049</v>
      </c>
      <c r="D12" s="156">
        <f>IF(OR('Données projet'!B15="",'Données projet'!C15="",'Données projet'!C15=0%),0,Calculateur!EP3)</f>
        <v>164.1450425611464</v>
      </c>
      <c r="E12" s="156">
        <f t="shared" ca="1" si="0"/>
        <v>164.1450425611464</v>
      </c>
      <c r="F12" s="156">
        <f t="shared" ca="1" si="1"/>
        <v>20.4903968661873</v>
      </c>
      <c r="G12" s="156">
        <f ca="1">F12*(100%-'Données projet'!$C$24)*(100%-'Données projet'!$C$25)*(100%-'Données projet'!$C$26)*(100%-'Données projet'!$C$27)</f>
        <v>15.675153602633284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ca="1" si="2"/>
        <v>15.675153602633284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>
      <c r="A13" s="162" t="str">
        <f>IF('Données projet'!$B$16="","",'Données projet'!$B$16)</f>
        <v>Chêne sessile</v>
      </c>
      <c r="B13" s="163">
        <f>'Données projet'!D16</f>
        <v>1.5761722000000002E-2</v>
      </c>
      <c r="C13" s="156">
        <f ca="1">IF(OR('Données projet'!B16="",'Données projet'!C16="",'Données projet'!C16=0%),0,Calculateur!FJ3)</f>
        <v>330.53726676433649</v>
      </c>
      <c r="D13" s="156">
        <f>IF(OR('Données projet'!B16="",'Données projet'!C16="",'Données projet'!C16=0%),0,Calculateur!FK3)</f>
        <v>228.01260676706528</v>
      </c>
      <c r="E13" s="156">
        <f t="shared" ca="1" si="0"/>
        <v>228.01260676706528</v>
      </c>
      <c r="F13" s="156">
        <f t="shared" ca="1" si="1"/>
        <v>3.5938713203578021</v>
      </c>
      <c r="G13" s="156">
        <f ca="1">F13*(100%-'Données projet'!$C$24)*(100%-'Données projet'!$C$25)*(100%-'Données projet'!$C$26)*(100%-'Données projet'!$C$27)</f>
        <v>2.7493115600737186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ca="1" si="2"/>
        <v>2.7493115600737186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>
      <c r="A14" s="162" t="str">
        <f>IF('Données projet'!$B$17="","",'Données projet'!$B$17)</f>
        <v>Chêne vert</v>
      </c>
      <c r="B14" s="163">
        <f>'Données projet'!D17</f>
        <v>8.3219078000000002E-2</v>
      </c>
      <c r="C14" s="156">
        <f ca="1">IF(OR('Données projet'!B17="",'Données projet'!C17="",'Données projet'!C17=0%),0,Calculateur!GE3)</f>
        <v>405.71017054131318</v>
      </c>
      <c r="D14" s="156">
        <f>IF(OR('Données projet'!B17="",'Données projet'!C17="",'Données projet'!C17=0%),0,Calculateur!GF3)</f>
        <v>276.12900965322166</v>
      </c>
      <c r="E14" s="156">
        <f t="shared" ca="1" si="0"/>
        <v>276.12900965322166</v>
      </c>
      <c r="F14" s="156">
        <f t="shared" ca="1" si="1"/>
        <v>22.979201592394208</v>
      </c>
      <c r="G14" s="156">
        <f ca="1">F14*(100%-'Données projet'!$C$24)*(100%-'Données projet'!$C$25)*(100%-'Données projet'!$C$26)*(100%-'Données projet'!$C$27)</f>
        <v>17.579089218181569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ca="1" si="2"/>
        <v>17.579089218181569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>
      <c r="A16" s="226"/>
      <c r="B16" s="233"/>
      <c r="C16" s="234"/>
      <c r="D16" s="25"/>
      <c r="E16" s="25"/>
      <c r="F16" s="174">
        <f t="shared" ref="F16:L16" ca="1" si="3">SUM(F6:F15)</f>
        <v>322.62356791474349</v>
      </c>
      <c r="G16" s="175">
        <f t="shared" ca="1" si="3"/>
        <v>246.80702945477879</v>
      </c>
      <c r="H16" s="176">
        <f t="shared" si="3"/>
        <v>0</v>
      </c>
      <c r="I16" s="176">
        <f t="shared" si="3"/>
        <v>0</v>
      </c>
      <c r="J16" s="177">
        <f t="shared" si="3"/>
        <v>0.46832430428749988</v>
      </c>
      <c r="K16" s="177">
        <f t="shared" si="3"/>
        <v>0.35826809277993743</v>
      </c>
      <c r="L16" s="178">
        <f t="shared" ca="1" si="3"/>
        <v>247.16529754755871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>
      <c r="A94" s="179" t="str">
        <f>A10</f>
        <v>Robinier faux-acacia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>
      <c r="A130" s="179" t="str">
        <f>A12</f>
        <v>Cèdre de l'Atlas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>
      <c r="A148" s="179" t="str">
        <f>A13</f>
        <v>Chêne sessile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>
      <c r="A166" s="179" t="str">
        <f>A14</f>
        <v>Chêne vert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G1" zoomScale="80" zoomScaleNormal="80" workbookViewId="0">
      <selection activeCell="H26" sqref="H26"/>
    </sheetView>
  </sheetViews>
  <sheetFormatPr baseColWidth="10" defaultColWidth="11.5" defaultRowHeight="15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-1137.4407506982393</v>
      </c>
      <c r="U10" s="190">
        <f>'Données projet'!D9</f>
        <v>0.29316269200000006</v>
      </c>
      <c r="V10" s="189">
        <f>U10*T10</f>
        <v>-333.45519246519677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-989.86722479194464</v>
      </c>
      <c r="U12" s="190">
        <f>'Données projet'!D11</f>
        <v>0.61910913500000009</v>
      </c>
      <c r="V12" s="189">
        <f t="shared" ref="V12:V19" si="1">U12*T12</f>
        <v>-612.83584130579152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Robinier faux-acacia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-1085.680385641162</v>
      </c>
      <c r="U14" s="190">
        <f>'Données projet'!D13</f>
        <v>3.8458164999999996E-2</v>
      </c>
      <c r="V14" s="189">
        <f t="shared" si="1"/>
        <v>-41.753275408251433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Charme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-2310.6577516249667</v>
      </c>
      <c r="U15" s="190">
        <f>'Données projet'!D14</f>
        <v>3.8458164999999996E-2</v>
      </c>
      <c r="V15" s="189">
        <f t="shared" si="1"/>
        <v>-88.863657070521981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>Cèdre de l'Atlas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-2294.7767310682816</v>
      </c>
      <c r="U16" s="190">
        <f>'Données projet'!D15</f>
        <v>0.12483104300000002</v>
      </c>
      <c r="V16" s="189">
        <f t="shared" si="1"/>
        <v>-286.45937279138411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3235.44</v>
      </c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Chêne sessile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-1782.63779454167</v>
      </c>
      <c r="U17" s="190">
        <f>'Données projet'!D16</f>
        <v>1.5761722000000002E-2</v>
      </c>
      <c r="V17" s="189">
        <f t="shared" si="1"/>
        <v>-28.097441344258925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>Chêne vert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-2321.8777945416705</v>
      </c>
      <c r="U18" s="190">
        <f>'Données projet'!D17</f>
        <v>8.3219078000000002E-2</v>
      </c>
      <c r="V18" s="189">
        <f t="shared" si="1"/>
        <v>-193.22452929043126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846.5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300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380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>
      <c r="A23" s="192">
        <f>'Données projet'!A36</f>
        <v>42</v>
      </c>
      <c r="B23" s="193">
        <f>'Données projet'!D36</f>
        <v>43.21</v>
      </c>
      <c r="C23" s="206">
        <f>225*'Données projet'!E36+13.8*('Données projet'!F36+'Données projet'!G36)+10*'Données projet'!G36</f>
        <v>45</v>
      </c>
      <c r="D23" s="194">
        <f>B23*C23</f>
        <v>1944.45</v>
      </c>
      <c r="E23" s="206"/>
      <c r="F23" s="261"/>
      <c r="H23" s="203">
        <v>3</v>
      </c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-3381.8200384709644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>
      <c r="A24" s="192">
        <f>'Données projet'!A37</f>
        <v>50</v>
      </c>
      <c r="B24" s="193">
        <f>'Données projet'!D37</f>
        <v>35.58</v>
      </c>
      <c r="C24" s="206">
        <f>225*'Données projet'!E37+13.8*('Données projet'!F37+'Données projet'!G37)+10*'Données projet'!G37</f>
        <v>67.5</v>
      </c>
      <c r="D24" s="194">
        <f t="shared" ref="D24:D42" si="2">B24*C24</f>
        <v>2401.65</v>
      </c>
      <c r="E24" s="206"/>
      <c r="F24" s="264"/>
      <c r="H24" s="203">
        <v>4</v>
      </c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>
      <c r="A25" s="192">
        <f>'Données projet'!A38</f>
        <v>58</v>
      </c>
      <c r="B25" s="193">
        <f>'Données projet'!D38</f>
        <v>44.93</v>
      </c>
      <c r="C25" s="206">
        <f>225*'Données projet'!E38+13.8*('Données projet'!F38+'Données projet'!G38)+10*'Données projet'!G38</f>
        <v>67.5</v>
      </c>
      <c r="D25" s="194">
        <f t="shared" si="2"/>
        <v>3032.7750000000001</v>
      </c>
      <c r="E25" s="206"/>
      <c r="F25" s="264"/>
      <c r="G25" s="1"/>
      <c r="H25" s="203">
        <v>5</v>
      </c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-3381.8200384709644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>
      <c r="A26" s="192">
        <f>'Données projet'!A39</f>
        <v>66</v>
      </c>
      <c r="B26" s="193">
        <f>'Données projet'!D39</f>
        <v>49.91</v>
      </c>
      <c r="C26" s="206">
        <f>225*'Données projet'!E39+13.8*('Données projet'!F39+'Données projet'!G39)+10*'Données projet'!G39</f>
        <v>90</v>
      </c>
      <c r="D26" s="194">
        <f t="shared" si="2"/>
        <v>4491.8999999999996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>
      <c r="A27" s="192">
        <f>'Données projet'!A40</f>
        <v>74</v>
      </c>
      <c r="B27" s="193">
        <f>'Données projet'!D40</f>
        <v>47.4</v>
      </c>
      <c r="C27" s="206">
        <f>225*'Données projet'!E40+13.8*('Données projet'!F40+'Données projet'!G40)+10*'Données projet'!G40</f>
        <v>112.5</v>
      </c>
      <c r="D27" s="194">
        <f t="shared" si="2"/>
        <v>5332.5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>
      <c r="A28" s="192">
        <f>'Données projet'!A41</f>
        <v>84</v>
      </c>
      <c r="B28" s="193">
        <f>'Données projet'!D41</f>
        <v>61.47</v>
      </c>
      <c r="C28" s="206">
        <f>225*'Données projet'!E41+13.8*('Données projet'!F41+'Données projet'!G41)+10*'Données projet'!G41</f>
        <v>135</v>
      </c>
      <c r="D28" s="194">
        <f t="shared" si="2"/>
        <v>8298.4500000000007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>
      <c r="A29" s="192">
        <f>'Données projet'!A42</f>
        <v>90</v>
      </c>
      <c r="B29" s="193">
        <f>'Données projet'!D42</f>
        <v>0</v>
      </c>
      <c r="C29" s="206">
        <f>225*'Données projet'!E42+13.8*('Données projet'!F42+'Données projet'!G42)+10*'Données projet'!G42</f>
        <v>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>
      <c r="A30" s="192">
        <f>'Données projet'!A43</f>
        <v>94</v>
      </c>
      <c r="B30" s="193">
        <f>'Données projet'!D43</f>
        <v>61.85</v>
      </c>
      <c r="C30" s="206">
        <f>225*'Données projet'!E43+13.8*('Données projet'!F43+'Données projet'!G43)+10*'Données projet'!G43</f>
        <v>157.5</v>
      </c>
      <c r="D30" s="194">
        <f t="shared" si="2"/>
        <v>9741.375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>
      <c r="A31" s="192">
        <f>'Données projet'!A44</f>
        <v>100</v>
      </c>
      <c r="B31" s="193">
        <f>'Données projet'!D44</f>
        <v>0</v>
      </c>
      <c r="C31" s="206">
        <f>225*'Données projet'!E44+13.8*('Données projet'!F44+'Données projet'!G44)+10*'Données projet'!G44</f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>
      <c r="A32" s="192">
        <f>'Données projet'!A45</f>
        <v>104</v>
      </c>
      <c r="B32" s="193">
        <f>'Données projet'!D45</f>
        <v>60.19</v>
      </c>
      <c r="C32" s="206">
        <f>225*'Données projet'!E45+13.8*('Données projet'!F45+'Données projet'!G45)+10*'Données projet'!G45</f>
        <v>157.5</v>
      </c>
      <c r="D32" s="194">
        <f t="shared" si="2"/>
        <v>9479.9249999999993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>
      <c r="A33" s="192">
        <f>'Données projet'!A46</f>
        <v>114</v>
      </c>
      <c r="B33" s="193">
        <f>'Données projet'!D46</f>
        <v>56.07</v>
      </c>
      <c r="C33" s="206">
        <f>225*'Données projet'!E46+13.8*('Données projet'!F46+'Données projet'!G46)+10*'Données projet'!G46</f>
        <v>180</v>
      </c>
      <c r="D33" s="194">
        <f t="shared" si="2"/>
        <v>10092.6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>
      <c r="A34" s="192">
        <f>'Données projet'!A47</f>
        <v>124</v>
      </c>
      <c r="B34" s="193">
        <f>'Données projet'!D47</f>
        <v>408.42</v>
      </c>
      <c r="C34" s="206">
        <f>225*'Données projet'!E47+13.8*('Données projet'!F47+'Données projet'!G47)+10*'Données projet'!G47</f>
        <v>180</v>
      </c>
      <c r="D34" s="194">
        <f t="shared" si="2"/>
        <v>73515.600000000006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>
      <c r="A35" s="192">
        <f>'Données projet'!A48</f>
        <v>0</v>
      </c>
      <c r="B35" s="193">
        <f>'Données projet'!D48</f>
        <v>0</v>
      </c>
      <c r="C35" s="206">
        <f>225*'Données projet'!E48+13.8*('Données projet'!F48+'Données projet'!G48)+10*'Données projet'!G48</f>
        <v>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>
      <c r="A36" s="192">
        <f>'Données projet'!A49</f>
        <v>0</v>
      </c>
      <c r="B36" s="193">
        <f>'Données projet'!D49</f>
        <v>0</v>
      </c>
      <c r="C36" s="206">
        <f>225*'Données projet'!E49+13.8*('Données projet'!F49+'Données projet'!G49)+10*'Données projet'!G49</f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>
      <c r="A37" s="192">
        <f>'Données projet'!A50</f>
        <v>0</v>
      </c>
      <c r="B37" s="193">
        <f>'Données projet'!D50</f>
        <v>0</v>
      </c>
      <c r="C37" s="206">
        <f>225*'Données projet'!E50+13.8*('Données projet'!F50+'Données projet'!G50)+10*'Données projet'!G50</f>
        <v>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>
      <c r="A38" s="192">
        <f>'Données projet'!A51</f>
        <v>0</v>
      </c>
      <c r="B38" s="193">
        <f>'Données projet'!D51</f>
        <v>0</v>
      </c>
      <c r="C38" s="206">
        <f>225*'Données projet'!E51+13.8*('Données projet'!F51+'Données projet'!G51)+10*'Données projet'!G51</f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>
      <c r="A39" s="192">
        <f>'Données projet'!A52</f>
        <v>0</v>
      </c>
      <c r="B39" s="193">
        <f>'Données projet'!D52</f>
        <v>0</v>
      </c>
      <c r="C39" s="206">
        <f>225*'Données projet'!E52+13.8*('Données projet'!F52+'Données projet'!G52)+10*'Données projet'!G52</f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>
      <c r="A40" s="192">
        <f>'Données projet'!A53</f>
        <v>0</v>
      </c>
      <c r="B40" s="193">
        <f>'Données projet'!D53</f>
        <v>0</v>
      </c>
      <c r="C40" s="206">
        <f>225*'Données projet'!E53+13.8*('Données projet'!F53+'Données projet'!G53)+10*'Données projet'!G53</f>
        <v>0</v>
      </c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>
      <c r="A41" s="192">
        <f>'Données projet'!A54</f>
        <v>0</v>
      </c>
      <c r="B41" s="193">
        <f>'Données projet'!D54</f>
        <v>0</v>
      </c>
      <c r="C41" s="206">
        <f>225*'Données projet'!E54+13.8*('Données projet'!F54+'Données projet'!G54)+10*'Données projet'!G54</f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>
      <c r="A42" s="192">
        <f>'Données projet'!A55</f>
        <v>0</v>
      </c>
      <c r="B42" s="193">
        <f>'Données projet'!D55</f>
        <v>0</v>
      </c>
      <c r="C42" s="206">
        <f>225*'Données projet'!E55+13.8*('Données projet'!F55+'Données projet'!G55)+10*'Données projet'!G55</f>
        <v>0</v>
      </c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>
      <c r="A55" s="192">
        <f>'Données projet'!A63</f>
        <v>21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>
      <c r="A56" s="192">
        <f>'Données projet'!A64</f>
        <v>22</v>
      </c>
      <c r="B56" s="193">
        <f>'Données projet'!D64</f>
        <v>52.41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>
      <c r="A57" s="192">
        <f>'Données projet'!A65</f>
        <v>24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>
      <c r="A58" s="192">
        <f>'Données projet'!A66</f>
        <v>27</v>
      </c>
      <c r="B58" s="193">
        <f>'Données projet'!D66</f>
        <v>37.840000000000003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>
      <c r="A59" s="192">
        <f>'Données projet'!A67</f>
        <v>33</v>
      </c>
      <c r="B59" s="193">
        <f>'Données projet'!D67</f>
        <v>50.41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>
      <c r="A60" s="192">
        <f>'Données projet'!A68</f>
        <v>41</v>
      </c>
      <c r="B60" s="193">
        <f>'Données projet'!D68</f>
        <v>72.13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>
      <c r="A61" s="192">
        <f>'Données projet'!A69</f>
        <v>50</v>
      </c>
      <c r="B61" s="193">
        <f>'Données projet'!D69</f>
        <v>70.2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>
      <c r="A62" s="192">
        <f>'Données projet'!A70</f>
        <v>60</v>
      </c>
      <c r="B62" s="193">
        <f>'Données projet'!D70</f>
        <v>69.849999999999994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>
      <c r="A63" s="192">
        <f>'Données projet'!A71</f>
        <v>69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>
      <c r="A64" s="192">
        <f>'Données projet'!A72</f>
        <v>70</v>
      </c>
      <c r="B64" s="193">
        <f>'Données projet'!D72</f>
        <v>67.88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>
      <c r="A65" s="192">
        <f>'Données projet'!A73</f>
        <v>78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>
      <c r="A66" s="192">
        <f>'Données projet'!A74</f>
        <v>80</v>
      </c>
      <c r="B66" s="193">
        <f>'Données projet'!D74</f>
        <v>520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>
      <c r="A79" s="210">
        <v>0</v>
      </c>
      <c r="B79" s="213" t="s">
        <v>132</v>
      </c>
      <c r="C79" s="212" t="s">
        <v>132</v>
      </c>
      <c r="D79" s="211" t="s">
        <v>132</v>
      </c>
      <c r="E79" s="343">
        <v>3235</v>
      </c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>
      <c r="A85" s="192">
        <f>'Données projet'!A88</f>
        <v>42</v>
      </c>
      <c r="B85" s="193">
        <f>'Données projet'!D88</f>
        <v>43.21</v>
      </c>
      <c r="C85" s="204">
        <f>225*'Données projet'!E88+13.8*('Données projet'!F88+'Données projet'!G88)+10*'Données projet'!H88</f>
        <v>53</v>
      </c>
      <c r="D85" s="191">
        <f>B85*C85</f>
        <v>2290.13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>
      <c r="A86" s="192">
        <f>'Données projet'!A89</f>
        <v>50</v>
      </c>
      <c r="B86" s="193">
        <f>'Données projet'!D89</f>
        <v>35.58</v>
      </c>
      <c r="C86" s="204">
        <f>225*'Données projet'!E89+13.8*('Données projet'!F89+'Données projet'!G89)+10*'Données projet'!H89</f>
        <v>74.5</v>
      </c>
      <c r="D86" s="191">
        <f t="shared" ref="D86:D104" si="6">B86*C86</f>
        <v>2650.71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>
      <c r="A87" s="192">
        <f>'Données projet'!A90</f>
        <v>58</v>
      </c>
      <c r="B87" s="193">
        <f>'Données projet'!D90</f>
        <v>44.93</v>
      </c>
      <c r="C87" s="204">
        <f>225*'Données projet'!E90+13.8*('Données projet'!F90+'Données projet'!G90)+10*'Données projet'!H90</f>
        <v>74.5</v>
      </c>
      <c r="D87" s="191">
        <f t="shared" si="6"/>
        <v>3347.2849999999999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>
      <c r="A88" s="192">
        <f>'Données projet'!A91</f>
        <v>66</v>
      </c>
      <c r="B88" s="193">
        <f>'Données projet'!D91</f>
        <v>49.91</v>
      </c>
      <c r="C88" s="204">
        <f>225*'Données projet'!E91+13.8*('Données projet'!F91+'Données projet'!G91)+10*'Données projet'!H91</f>
        <v>96</v>
      </c>
      <c r="D88" s="191">
        <f t="shared" si="6"/>
        <v>4791.3599999999997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>
      <c r="A89" s="192">
        <f>'Données projet'!A92</f>
        <v>74</v>
      </c>
      <c r="B89" s="193">
        <f>'Données projet'!D92</f>
        <v>47.4</v>
      </c>
      <c r="C89" s="204">
        <f>225*'Données projet'!E92+13.8*('Données projet'!F92+'Données projet'!G92)+10*'Données projet'!H92</f>
        <v>117.5</v>
      </c>
      <c r="D89" s="191">
        <f t="shared" si="6"/>
        <v>5569.5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>
      <c r="A90" s="192">
        <f>'Données projet'!A93</f>
        <v>84</v>
      </c>
      <c r="B90" s="193">
        <f>'Données projet'!D93</f>
        <v>61.47</v>
      </c>
      <c r="C90" s="204">
        <f>225*'Données projet'!E93+13.8*('Données projet'!F93+'Données projet'!G93)+10*'Données projet'!H93</f>
        <v>139</v>
      </c>
      <c r="D90" s="191">
        <f t="shared" si="6"/>
        <v>8544.33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>
      <c r="A91" s="192">
        <f>'Données projet'!A94</f>
        <v>90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>
      <c r="A92" s="192">
        <f>'Données projet'!A95</f>
        <v>94</v>
      </c>
      <c r="B92" s="193">
        <f>'Données projet'!D95</f>
        <v>61.85</v>
      </c>
      <c r="C92" s="204">
        <f>225*'Données projet'!E95+13.8*('Données projet'!F95+'Données projet'!G95)+10*'Données projet'!H95</f>
        <v>160.5</v>
      </c>
      <c r="D92" s="191">
        <f t="shared" si="6"/>
        <v>9926.9250000000011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>
      <c r="A93" s="192">
        <f>'Données projet'!A96</f>
        <v>100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>
      <c r="A94" s="192">
        <f>'Données projet'!A97</f>
        <v>104</v>
      </c>
      <c r="B94" s="193">
        <f>'Données projet'!D97</f>
        <v>60.19</v>
      </c>
      <c r="C94" s="204">
        <f>225*'Données projet'!E97+13.8*('Données projet'!F97+'Données projet'!G97)+10*'Données projet'!H97</f>
        <v>160.5</v>
      </c>
      <c r="D94" s="191">
        <f t="shared" si="6"/>
        <v>9660.494999999999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>
      <c r="A95" s="192">
        <f>'Données projet'!A98</f>
        <v>114</v>
      </c>
      <c r="B95" s="193">
        <f>'Données projet'!D98</f>
        <v>56.07</v>
      </c>
      <c r="C95" s="204">
        <f>225*'Données projet'!E98+13.8*('Données projet'!F98+'Données projet'!G98)+10*'Données projet'!H98</f>
        <v>182</v>
      </c>
      <c r="D95" s="191">
        <f t="shared" si="6"/>
        <v>10204.74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>
      <c r="A96" s="192">
        <f>'Données projet'!A99</f>
        <v>124</v>
      </c>
      <c r="B96" s="193">
        <f>'Données projet'!D99</f>
        <v>408.42</v>
      </c>
      <c r="C96" s="204">
        <f>225*'Données projet'!E99+13.8*('Données projet'!F99+'Données projet'!G99)+10*'Données projet'!H99</f>
        <v>182</v>
      </c>
      <c r="D96" s="191">
        <f t="shared" si="6"/>
        <v>74332.44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>
      <c r="A116" s="192">
        <f>'Données projet'!A114</f>
        <v>20</v>
      </c>
      <c r="B116" s="193">
        <f>'Données projet'!D114</f>
        <v>10.9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>
      <c r="A117" s="192">
        <f>'Données projet'!A115</f>
        <v>25</v>
      </c>
      <c r="B117" s="193">
        <f>'Données projet'!D115</f>
        <v>16.670000000000002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>
      <c r="A118" s="192">
        <f>'Données projet'!A116</f>
        <v>30</v>
      </c>
      <c r="B118" s="193">
        <f>'Données projet'!D116</f>
        <v>16.670000000000002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>
      <c r="A119" s="192">
        <f>'Données projet'!A117</f>
        <v>35</v>
      </c>
      <c r="B119" s="193">
        <f>'Données projet'!D117</f>
        <v>16.03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>
      <c r="A120" s="192">
        <f>'Données projet'!A118</f>
        <v>40</v>
      </c>
      <c r="B120" s="193">
        <f>'Données projet'!D118</f>
        <v>14.74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>
      <c r="A121" s="192">
        <f>'Données projet'!A119</f>
        <v>45</v>
      </c>
      <c r="B121" s="193">
        <f>'Données projet'!D119</f>
        <v>13.46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>
      <c r="A122" s="192">
        <f>'Données projet'!A120</f>
        <v>50</v>
      </c>
      <c r="B122" s="193">
        <f>'Données projet'!D120</f>
        <v>12.18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>
      <c r="A123" s="192">
        <f>'Données projet'!A121</f>
        <v>55</v>
      </c>
      <c r="B123" s="193">
        <f>'Données projet'!D121</f>
        <v>11.54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>
      <c r="A124" s="192">
        <f>'Données projet'!A122</f>
        <v>60</v>
      </c>
      <c r="B124" s="193">
        <f>'Données projet'!D122</f>
        <v>10.26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>
      <c r="A125" s="192">
        <f>'Données projet'!A123</f>
        <v>65</v>
      </c>
      <c r="B125" s="193">
        <f>'Données projet'!D123</f>
        <v>8.9700000000000006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>
      <c r="A126" s="192">
        <f>'Données projet'!A124</f>
        <v>70</v>
      </c>
      <c r="B126" s="193">
        <f>'Données projet'!D124</f>
        <v>7.69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>
      <c r="A127" s="192">
        <f>'Données projet'!A125</f>
        <v>75</v>
      </c>
      <c r="B127" s="193">
        <f>'Données projet'!D125</f>
        <v>7.05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>
      <c r="A128" s="192">
        <f>'Données projet'!A126</f>
        <v>80</v>
      </c>
      <c r="B128" s="193">
        <f>'Données projet'!D126</f>
        <v>121.15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>
      <c r="A138" s="49" t="s">
        <v>169</v>
      </c>
      <c r="B138" s="186" t="str">
        <f>IF('Données projet'!B13="","",'Données projet'!B13)</f>
        <v>Robinier faux-acacia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2537.6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>
      <c r="A147" s="45">
        <f>'Données projet'!A140</f>
        <v>5</v>
      </c>
      <c r="B147" s="187">
        <f>'Données projet'!D140</f>
        <v>2.56</v>
      </c>
      <c r="C147" s="204">
        <f>70*'Données projet'!E140+13.8*('Données projet'!F140+'Données projet'!G140)+10*'Données projet'!H140</f>
        <v>10</v>
      </c>
      <c r="D147" s="194">
        <f>B147*C147</f>
        <v>25.6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>
      <c r="A148" s="45">
        <f>'Données projet'!A141</f>
        <v>10</v>
      </c>
      <c r="B148" s="187">
        <f>'Données projet'!D141</f>
        <v>13.46</v>
      </c>
      <c r="C148" s="204">
        <f>70*'Données projet'!E141+13.8*('Données projet'!F141+'Données projet'!G141)+10*'Données projet'!H141</f>
        <v>10</v>
      </c>
      <c r="D148" s="194">
        <f t="shared" ref="D148:D166" si="10">B148*C148</f>
        <v>134.60000000000002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>
      <c r="A149" s="45">
        <f>'Données projet'!A142</f>
        <v>15</v>
      </c>
      <c r="B149" s="187">
        <f>'Données projet'!D142</f>
        <v>10.9</v>
      </c>
      <c r="C149" s="204">
        <f>70*'Données projet'!E142+13.8*('Données projet'!F142+'Données projet'!G142)+10*'Données projet'!H142</f>
        <v>10</v>
      </c>
      <c r="D149" s="194">
        <f t="shared" si="10"/>
        <v>109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>
      <c r="A150" s="45">
        <f>'Données projet'!A143</f>
        <v>20</v>
      </c>
      <c r="B150" s="187">
        <f>'Données projet'!D143</f>
        <v>8.9700000000000006</v>
      </c>
      <c r="C150" s="204">
        <f>70*'Données projet'!E143+13.8*('Données projet'!F143+'Données projet'!G143)+10*'Données projet'!H143</f>
        <v>10</v>
      </c>
      <c r="D150" s="194">
        <f t="shared" si="10"/>
        <v>89.7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>
      <c r="A151" s="45">
        <f>'Données projet'!A144</f>
        <v>25</v>
      </c>
      <c r="B151" s="187">
        <f>'Données projet'!D144</f>
        <v>7.05</v>
      </c>
      <c r="C151" s="204">
        <f>70*'Données projet'!E144+13.8*('Données projet'!F144+'Données projet'!G144)+10*'Données projet'!H144</f>
        <v>10</v>
      </c>
      <c r="D151" s="194">
        <f t="shared" si="10"/>
        <v>70.5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>
      <c r="A152" s="45">
        <f>'Données projet'!A145</f>
        <v>30</v>
      </c>
      <c r="B152" s="187">
        <f>'Données projet'!D145</f>
        <v>5.77</v>
      </c>
      <c r="C152" s="204">
        <f>70*'Données projet'!E145+13.8*('Données projet'!F145+'Données projet'!G145)+10*'Données projet'!H145</f>
        <v>10</v>
      </c>
      <c r="D152" s="194">
        <f t="shared" si="10"/>
        <v>57.699999999999996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>
      <c r="A153" s="45">
        <f>'Données projet'!A146</f>
        <v>35</v>
      </c>
      <c r="B153" s="187">
        <f>'Données projet'!D146</f>
        <v>4.49</v>
      </c>
      <c r="C153" s="204">
        <f>70*'Données projet'!E146+13.8*('Données projet'!F146+'Données projet'!G146)+10*'Données projet'!H146</f>
        <v>28</v>
      </c>
      <c r="D153" s="194">
        <f t="shared" si="10"/>
        <v>125.72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>
      <c r="A154" s="45">
        <f>'Données projet'!A147</f>
        <v>40</v>
      </c>
      <c r="B154" s="187">
        <f>'Données projet'!D147</f>
        <v>3.85</v>
      </c>
      <c r="C154" s="204">
        <f>70*'Données projet'!E147+13.8*('Données projet'!F147+'Données projet'!G147)+10*'Données projet'!H147</f>
        <v>40</v>
      </c>
      <c r="D154" s="194">
        <f t="shared" si="10"/>
        <v>154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>
      <c r="A155" s="45">
        <f>'Données projet'!A148</f>
        <v>45</v>
      </c>
      <c r="B155" s="187">
        <f>'Données projet'!D148</f>
        <v>161.54</v>
      </c>
      <c r="C155" s="204">
        <f>70*'Données projet'!E148+13.8*('Données projet'!F148+'Données projet'!G148)+10*'Données projet'!H148</f>
        <v>52</v>
      </c>
      <c r="D155" s="194">
        <f t="shared" si="10"/>
        <v>8400.08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>
      <c r="A156" s="45">
        <f>'Données projet'!A149</f>
        <v>0</v>
      </c>
      <c r="B156" s="187">
        <f>'Données projet'!D149</f>
        <v>0</v>
      </c>
      <c r="C156" s="204">
        <f>70*'Données projet'!E149+13.8*('Données projet'!F149+'Données projet'!G149)+10*'Données projet'!H149</f>
        <v>0</v>
      </c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>
      <c r="A157" s="45">
        <f>'Données projet'!A150</f>
        <v>0</v>
      </c>
      <c r="B157" s="187">
        <f>'Données projet'!D150</f>
        <v>0</v>
      </c>
      <c r="C157" s="204">
        <f>70*'Données projet'!E150+13.8*('Données projet'!F150+'Données projet'!G150)+10*'Données projet'!H150</f>
        <v>0</v>
      </c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>
      <c r="A158" s="45">
        <f>'Données projet'!A151</f>
        <v>0</v>
      </c>
      <c r="B158" s="187">
        <f>'Données projet'!D151</f>
        <v>0</v>
      </c>
      <c r="C158" s="204">
        <f>70*'Données projet'!E151+13.8*('Données projet'!F151+'Données projet'!G151)+10*'Données projet'!H151</f>
        <v>0</v>
      </c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>
      <c r="A159" s="45">
        <f>'Données projet'!A152</f>
        <v>0</v>
      </c>
      <c r="B159" s="187">
        <f>'Données projet'!D152</f>
        <v>0</v>
      </c>
      <c r="C159" s="204">
        <f>70*'Données projet'!E152+13.8*('Données projet'!F152+'Données projet'!G152)+10*'Données projet'!H152</f>
        <v>0</v>
      </c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>
      <c r="A160" s="45">
        <f>'Données projet'!A153</f>
        <v>0</v>
      </c>
      <c r="B160" s="187">
        <f>'Données projet'!D153</f>
        <v>0</v>
      </c>
      <c r="C160" s="204">
        <f>70*'Données projet'!E153+13.8*('Données projet'!F153+'Données projet'!G153)+10*'Données projet'!H153</f>
        <v>0</v>
      </c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>
      <c r="A161" s="45">
        <f>'Données projet'!A154</f>
        <v>0</v>
      </c>
      <c r="B161" s="187">
        <f>'Données projet'!D154</f>
        <v>0</v>
      </c>
      <c r="C161" s="204">
        <f>70*'Données projet'!E154+13.8*('Données projet'!F154+'Données projet'!G154)+10*'Données projet'!H154</f>
        <v>0</v>
      </c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>
      <c r="A162" s="45">
        <f>'Données projet'!A155</f>
        <v>0</v>
      </c>
      <c r="B162" s="187">
        <f>'Données projet'!D155</f>
        <v>0</v>
      </c>
      <c r="C162" s="204">
        <f>70*'Données projet'!E155+13.8*('Données projet'!F155+'Données projet'!G155)+10*'Données projet'!H155</f>
        <v>0</v>
      </c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>
      <c r="A163" s="45">
        <f>'Données projet'!A156</f>
        <v>0</v>
      </c>
      <c r="B163" s="187">
        <f>'Données projet'!D156</f>
        <v>0</v>
      </c>
      <c r="C163" s="204">
        <f>70*'Données projet'!E156+13.8*('Données projet'!F156+'Données projet'!G156)+10*'Données projet'!H156</f>
        <v>0</v>
      </c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>
      <c r="A164" s="45">
        <f>'Données projet'!A157</f>
        <v>0</v>
      </c>
      <c r="B164" s="187">
        <f>'Données projet'!D157</f>
        <v>0</v>
      </c>
      <c r="C164" s="204">
        <f>70*'Données projet'!E157+13.8*('Données projet'!F157+'Données projet'!G157)+10*'Données projet'!H157</f>
        <v>0</v>
      </c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>
      <c r="A165" s="45">
        <f>'Données projet'!A158</f>
        <v>0</v>
      </c>
      <c r="B165" s="187">
        <f>'Données projet'!D158</f>
        <v>0</v>
      </c>
      <c r="C165" s="204">
        <f>70*'Données projet'!E158+13.8*('Données projet'!F158+'Données projet'!G158)+10*'Données projet'!H158</f>
        <v>0</v>
      </c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>
      <c r="A166" s="45">
        <f>'Données projet'!A159</f>
        <v>0</v>
      </c>
      <c r="B166" s="187">
        <f>'Données projet'!D159</f>
        <v>0</v>
      </c>
      <c r="C166" s="204">
        <f>70*'Données projet'!E159+13.8*('Données projet'!F159+'Données projet'!G159)+10*'Données projet'!H159</f>
        <v>0</v>
      </c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2696.2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>
      <c r="A178" s="192">
        <f>'Données projet'!A166</f>
        <v>40</v>
      </c>
      <c r="B178" s="193">
        <f>'Données projet'!D166</f>
        <v>6</v>
      </c>
      <c r="C178" s="206">
        <f>50*'Données projet'!E166+13.8*('Données projet'!F166+'Données projet'!G168)+10*'Données projet'!H166</f>
        <v>18</v>
      </c>
      <c r="D178" s="191">
        <f>B178*C178</f>
        <v>108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>
      <c r="A179" s="192">
        <f>'Données projet'!A167</f>
        <v>45</v>
      </c>
      <c r="B179" s="193">
        <f>'Données projet'!D167</f>
        <v>12</v>
      </c>
      <c r="C179" s="206">
        <f>50*'Données projet'!E167+13.8*('Données projet'!F167+'Données projet'!G169)+10*'Données projet'!H167</f>
        <v>18</v>
      </c>
      <c r="D179" s="191">
        <f t="shared" ref="D179:D197" si="11">B179*C179</f>
        <v>216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>
      <c r="A180" s="192">
        <f>'Données projet'!A168</f>
        <v>50</v>
      </c>
      <c r="B180" s="193">
        <f>'Données projet'!D168</f>
        <v>15</v>
      </c>
      <c r="C180" s="206">
        <f>50*'Données projet'!E168+13.8*('Données projet'!F168+'Données projet'!G170)+10*'Données projet'!H168</f>
        <v>22</v>
      </c>
      <c r="D180" s="191">
        <f t="shared" si="11"/>
        <v>330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>
      <c r="A181" s="192">
        <f>'Données projet'!A169</f>
        <v>55</v>
      </c>
      <c r="B181" s="193">
        <f>'Données projet'!D169</f>
        <v>18</v>
      </c>
      <c r="C181" s="206">
        <f>50*'Données projet'!E169+13.8*('Données projet'!F169+'Données projet'!G171)+10*'Données projet'!H169</f>
        <v>22</v>
      </c>
      <c r="D181" s="191">
        <f t="shared" si="11"/>
        <v>396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>
      <c r="A182" s="192">
        <f>'Données projet'!A170</f>
        <v>60</v>
      </c>
      <c r="B182" s="193">
        <f>'Données projet'!D170</f>
        <v>19</v>
      </c>
      <c r="C182" s="206">
        <f>50*'Données projet'!E170+13.8*('Données projet'!F170+'Données projet'!G172)+10*'Données projet'!H170</f>
        <v>26</v>
      </c>
      <c r="D182" s="191">
        <f t="shared" si="11"/>
        <v>494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>
      <c r="A183" s="192">
        <f>'Données projet'!A171</f>
        <v>65</v>
      </c>
      <c r="B183" s="193">
        <f>'Données projet'!D171</f>
        <v>21</v>
      </c>
      <c r="C183" s="206">
        <f>50*'Données projet'!E171+13.8*('Données projet'!F171+'Données projet'!G173)+10*'Données projet'!H171</f>
        <v>26</v>
      </c>
      <c r="D183" s="191">
        <f t="shared" si="11"/>
        <v>546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>
      <c r="A184" s="192">
        <f>'Données projet'!A172</f>
        <v>70</v>
      </c>
      <c r="B184" s="193">
        <f>'Données projet'!D172</f>
        <v>21</v>
      </c>
      <c r="C184" s="206">
        <f>50*'Données projet'!E172+13.8*('Données projet'!F172+'Données projet'!G174)+10*'Données projet'!H172</f>
        <v>30</v>
      </c>
      <c r="D184" s="191">
        <f t="shared" si="11"/>
        <v>630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>
      <c r="A185" s="192">
        <f>'Données projet'!A173</f>
        <v>75</v>
      </c>
      <c r="B185" s="193">
        <f>'Données projet'!D173</f>
        <v>22</v>
      </c>
      <c r="C185" s="206">
        <f>50*'Données projet'!E173+13.8*('Données projet'!F173+'Données projet'!G175)+10*'Données projet'!H173</f>
        <v>30</v>
      </c>
      <c r="D185" s="191">
        <f t="shared" si="11"/>
        <v>660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>
      <c r="A186" s="192">
        <f>'Données projet'!A174</f>
        <v>80</v>
      </c>
      <c r="B186" s="193">
        <f>'Données projet'!D174</f>
        <v>22</v>
      </c>
      <c r="C186" s="206">
        <f>50*'Données projet'!E174+13.8*('Données projet'!F174+'Données projet'!G176)+10*'Données projet'!H174</f>
        <v>30</v>
      </c>
      <c r="D186" s="191">
        <f t="shared" si="11"/>
        <v>660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>
      <c r="A187" s="192">
        <f>'Données projet'!A175</f>
        <v>85</v>
      </c>
      <c r="B187" s="193">
        <f>'Données projet'!D175</f>
        <v>22</v>
      </c>
      <c r="C187" s="206">
        <f>50*'Données projet'!E175+13.8*('Données projet'!F175+'Données projet'!G177)+10*'Données projet'!H175</f>
        <v>34</v>
      </c>
      <c r="D187" s="191">
        <f t="shared" si="11"/>
        <v>748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>
      <c r="A188" s="192">
        <f>'Données projet'!A176</f>
        <v>90</v>
      </c>
      <c r="B188" s="193">
        <f>'Données projet'!D176</f>
        <v>22</v>
      </c>
      <c r="C188" s="206">
        <f>50*'Données projet'!E176+13.8*('Données projet'!F176+'Données projet'!G178)+10*'Données projet'!H176</f>
        <v>34</v>
      </c>
      <c r="D188" s="191">
        <f t="shared" si="11"/>
        <v>748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>
      <c r="A189" s="192">
        <f>'Données projet'!A177</f>
        <v>95</v>
      </c>
      <c r="B189" s="193">
        <f>'Données projet'!D177</f>
        <v>22</v>
      </c>
      <c r="C189" s="206">
        <f>50*'Données projet'!E177+13.8*('Données projet'!F177+'Données projet'!G179)+10*'Données projet'!H177</f>
        <v>34</v>
      </c>
      <c r="D189" s="191">
        <f t="shared" si="11"/>
        <v>748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>
      <c r="A190" s="192">
        <f>'Données projet'!A178</f>
        <v>100</v>
      </c>
      <c r="B190" s="193">
        <f>'Données projet'!D178</f>
        <v>22</v>
      </c>
      <c r="C190" s="206">
        <f>50*'Données projet'!E178+13.8*('Données projet'!F178+'Données projet'!G180)+10*'Données projet'!H178</f>
        <v>38</v>
      </c>
      <c r="D190" s="191">
        <f t="shared" si="11"/>
        <v>836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>
      <c r="A191" s="192">
        <f>'Données projet'!A179</f>
        <v>105</v>
      </c>
      <c r="B191" s="193">
        <f>'Données projet'!D179</f>
        <v>22</v>
      </c>
      <c r="C191" s="206">
        <f>50*'Données projet'!E179+13.8*('Données projet'!F179+'Données projet'!G181)+10*'Données projet'!H179</f>
        <v>38</v>
      </c>
      <c r="D191" s="191">
        <f t="shared" si="11"/>
        <v>836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>
      <c r="A192" s="192">
        <f>'Données projet'!A180</f>
        <v>110</v>
      </c>
      <c r="B192" s="193">
        <f>'Données projet'!D180</f>
        <v>21</v>
      </c>
      <c r="C192" s="206">
        <f>50*'Données projet'!E180+13.8*('Données projet'!F180+'Données projet'!G182)+10*'Données projet'!H180</f>
        <v>38</v>
      </c>
      <c r="D192" s="191">
        <f t="shared" si="11"/>
        <v>798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>
      <c r="A193" s="192">
        <f>'Données projet'!A181</f>
        <v>115</v>
      </c>
      <c r="B193" s="193">
        <f>'Données projet'!D181</f>
        <v>21</v>
      </c>
      <c r="C193" s="206">
        <f>50*'Données projet'!E181+13.8*('Données projet'!F181+'Données projet'!G183)+10*'Données projet'!H181</f>
        <v>42</v>
      </c>
      <c r="D193" s="191">
        <f t="shared" si="11"/>
        <v>882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>
      <c r="A194" s="192">
        <f>'Données projet'!A182</f>
        <v>120</v>
      </c>
      <c r="B194" s="193">
        <f>'Données projet'!D182</f>
        <v>246</v>
      </c>
      <c r="C194" s="206">
        <f>50*'Données projet'!E182+13.8*('Données projet'!F182+'Données projet'!G184)+10*'Données projet'!H182</f>
        <v>42</v>
      </c>
      <c r="D194" s="191">
        <f t="shared" si="11"/>
        <v>10332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>
      <c r="A195" s="192">
        <f>'Données projet'!A183</f>
        <v>0</v>
      </c>
      <c r="B195" s="193">
        <f>'Données projet'!D183</f>
        <v>0</v>
      </c>
      <c r="C195" s="206">
        <f>50*'Données projet'!E183+13.8*('Données projet'!F183+'Données projet'!G185)+10*'Données projet'!H183</f>
        <v>0</v>
      </c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>
      <c r="A196" s="192">
        <f>'Données projet'!A184</f>
        <v>0</v>
      </c>
      <c r="B196" s="193">
        <f>'Données projet'!D184</f>
        <v>0</v>
      </c>
      <c r="C196" s="206">
        <f>50*'Données projet'!E184+13.8*('Données projet'!F184+'Données projet'!G186)+10*'Données projet'!H184</f>
        <v>0</v>
      </c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>
      <c r="A197" s="192">
        <f>'Données projet'!A185</f>
        <v>0</v>
      </c>
      <c r="B197" s="193">
        <f>'Données projet'!D185</f>
        <v>0</v>
      </c>
      <c r="C197" s="206">
        <f>50*'Données projet'!E185+13.8*('Données projet'!F185+'Données projet'!G187)+10*'Données projet'!H185</f>
        <v>0</v>
      </c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>
      <c r="A200" s="49" t="s">
        <v>171</v>
      </c>
      <c r="B200" s="186" t="str">
        <f>IF('Données projet'!$B$15="","",'Données projet'!$B$15)</f>
        <v>Cèdre de l'Atlas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>
      <c r="A203" s="210">
        <v>0</v>
      </c>
      <c r="B203" s="213" t="s">
        <v>132</v>
      </c>
      <c r="C203" s="212" t="s">
        <v>132</v>
      </c>
      <c r="D203" s="211" t="s">
        <v>132</v>
      </c>
      <c r="E203" s="206">
        <v>3108.56</v>
      </c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>
      <c r="A209" s="192">
        <f>'Données projet'!A192</f>
        <v>30</v>
      </c>
      <c r="B209" s="193">
        <f>'Données projet'!D192</f>
        <v>0</v>
      </c>
      <c r="C209" s="206">
        <f>30*'Données projet'!E192+19.4*('Données projet'!F192+'Données projet'!G192)+10*'Données projet'!H192</f>
        <v>0</v>
      </c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>
      <c r="A210" s="192">
        <f>'Données projet'!A193</f>
        <v>35</v>
      </c>
      <c r="B210" s="193">
        <f>'Données projet'!D193</f>
        <v>0</v>
      </c>
      <c r="C210" s="206">
        <f>30*'Données projet'!E193+19.4*('Données projet'!F193+'Données projet'!G193)+10*'Données projet'!H193</f>
        <v>0</v>
      </c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>
      <c r="A211" s="192">
        <f>'Données projet'!A194</f>
        <v>40</v>
      </c>
      <c r="B211" s="193">
        <f>'Données projet'!D194</f>
        <v>0</v>
      </c>
      <c r="C211" s="206">
        <f>30*'Données projet'!E194+19.4*('Données projet'!F194+'Données projet'!G194)+10*'Données projet'!H194</f>
        <v>0</v>
      </c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>
      <c r="A212" s="192">
        <f>'Données projet'!A195</f>
        <v>45</v>
      </c>
      <c r="B212" s="193">
        <f>'Données projet'!D195</f>
        <v>0</v>
      </c>
      <c r="C212" s="206">
        <f>30*'Données projet'!E195+19.4*('Données projet'!F195+'Données projet'!G195)+10*'Données projet'!H195</f>
        <v>0</v>
      </c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>
      <c r="A213" s="192">
        <f>'Données projet'!A196</f>
        <v>51</v>
      </c>
      <c r="B213" s="193">
        <f>'Données projet'!D196</f>
        <v>171.3</v>
      </c>
      <c r="C213" s="206">
        <f>30*'Données projet'!E196+19.4*('Données projet'!F196+'Données projet'!G196)+10*'Données projet'!H196</f>
        <v>21.52</v>
      </c>
      <c r="D213" s="191">
        <f t="shared" si="12"/>
        <v>3686.3760000000002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>
      <c r="A214" s="192">
        <f>'Données projet'!A197</f>
        <v>55</v>
      </c>
      <c r="B214" s="193">
        <f>'Données projet'!D197</f>
        <v>0</v>
      </c>
      <c r="C214" s="206">
        <f>30*'Données projet'!E197+19.4*('Données projet'!F197+'Données projet'!G197)+10*'Données projet'!H197</f>
        <v>0</v>
      </c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>
      <c r="A215" s="192">
        <f>'Données projet'!A198</f>
        <v>61</v>
      </c>
      <c r="B215" s="193">
        <f>'Données projet'!D198</f>
        <v>100.2</v>
      </c>
      <c r="C215" s="206">
        <f>30*'Données projet'!E198+19.4*('Données projet'!F198+'Données projet'!G198)+10*'Données projet'!H198</f>
        <v>22.58</v>
      </c>
      <c r="D215" s="191">
        <f t="shared" si="12"/>
        <v>2262.5160000000001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>
      <c r="A216" s="192">
        <f>'Données projet'!A199</f>
        <v>65</v>
      </c>
      <c r="B216" s="193">
        <f>'Données projet'!D199</f>
        <v>0</v>
      </c>
      <c r="C216" s="206">
        <f>30*'Données projet'!E199+19.4*('Données projet'!F199+'Données projet'!G199)+10*'Données projet'!H199</f>
        <v>0</v>
      </c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>
      <c r="A217" s="192">
        <f>'Données projet'!A200</f>
        <v>73</v>
      </c>
      <c r="B217" s="193">
        <f>'Données projet'!D200</f>
        <v>102.1</v>
      </c>
      <c r="C217" s="206">
        <f>30*'Données projet'!E200+19.4*('Données projet'!F200+'Données projet'!G200)+10*'Données projet'!H200</f>
        <v>23.64</v>
      </c>
      <c r="D217" s="191">
        <f t="shared" si="12"/>
        <v>2413.6439999999998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>
      <c r="A218" s="192">
        <f>'Données projet'!A201</f>
        <v>80</v>
      </c>
      <c r="B218" s="193">
        <f>'Données projet'!D201</f>
        <v>0</v>
      </c>
      <c r="C218" s="206">
        <f>30*'Données projet'!E201+19.4*('Données projet'!F201+'Données projet'!G201)+10*'Données projet'!H201</f>
        <v>0</v>
      </c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>
      <c r="A219" s="192">
        <f>'Données projet'!A202</f>
        <v>85</v>
      </c>
      <c r="B219" s="193">
        <f>'Données projet'!D202</f>
        <v>94.69</v>
      </c>
      <c r="C219" s="206">
        <f>30*'Données projet'!E202+19.4*('Données projet'!F202+'Données projet'!G202)+10*'Données projet'!H202</f>
        <v>24.7</v>
      </c>
      <c r="D219" s="191">
        <f t="shared" si="12"/>
        <v>2338.8429999999998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>
      <c r="A220" s="192">
        <f>'Données projet'!A203</f>
        <v>90</v>
      </c>
      <c r="B220" s="193">
        <f>'Données projet'!D203</f>
        <v>0</v>
      </c>
      <c r="C220" s="206">
        <f>30*'Données projet'!E203+19.4*('Données projet'!F203+'Données projet'!G203)+10*'Données projet'!H203</f>
        <v>0</v>
      </c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>
      <c r="A221" s="192">
        <f>'Données projet'!A204</f>
        <v>97</v>
      </c>
      <c r="B221" s="193">
        <f>'Données projet'!D204</f>
        <v>89.6</v>
      </c>
      <c r="C221" s="206">
        <f>30*'Données projet'!E204+19.4*('Données projet'!F204+'Données projet'!G204)+10*'Données projet'!H204</f>
        <v>25.759999999999998</v>
      </c>
      <c r="D221" s="191">
        <f t="shared" si="12"/>
        <v>2308.0959999999995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>
      <c r="A222" s="192">
        <f>'Données projet'!A205</f>
        <v>100</v>
      </c>
      <c r="B222" s="193">
        <f>'Données projet'!D205</f>
        <v>0</v>
      </c>
      <c r="C222" s="206">
        <f>30*'Données projet'!E205+19.4*('Données projet'!F205+'Données projet'!G205)+10*'Données projet'!H205</f>
        <v>0</v>
      </c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>
      <c r="A223" s="192">
        <f>'Données projet'!A206</f>
        <v>105</v>
      </c>
      <c r="B223" s="193">
        <f>'Données projet'!D206</f>
        <v>0</v>
      </c>
      <c r="C223" s="206">
        <f>30*'Données projet'!E206+19.4*('Données projet'!F206+'Données projet'!G206)+10*'Données projet'!H206</f>
        <v>0</v>
      </c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>
      <c r="A224" s="192">
        <f>'Données projet'!A207</f>
        <v>109</v>
      </c>
      <c r="B224" s="193">
        <f>'Données projet'!D207</f>
        <v>91.09</v>
      </c>
      <c r="C224" s="206">
        <f>30*'Données projet'!E207+19.4*('Données projet'!F207+'Données projet'!G207)+10*'Données projet'!H207</f>
        <v>26.82</v>
      </c>
      <c r="D224" s="191">
        <f t="shared" si="12"/>
        <v>2443.0338000000002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>
      <c r="A225" s="192">
        <f>'Données projet'!A208</f>
        <v>115</v>
      </c>
      <c r="B225" s="193">
        <f>'Données projet'!D208</f>
        <v>0</v>
      </c>
      <c r="C225" s="206">
        <f>30*'Données projet'!E208+19.4*('Données projet'!F208+'Données projet'!G208)+10*'Données projet'!H208</f>
        <v>0</v>
      </c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>
      <c r="A226" s="192">
        <f>'Données projet'!A209</f>
        <v>121</v>
      </c>
      <c r="B226" s="193">
        <f>'Données projet'!D209</f>
        <v>471.22</v>
      </c>
      <c r="C226" s="206">
        <f>30*'Données projet'!E209+19.4*('Données projet'!F209+'Données projet'!G209)+10*'Données projet'!H209</f>
        <v>27.88</v>
      </c>
      <c r="D226" s="191">
        <f t="shared" si="12"/>
        <v>13137.613600000001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>
      <c r="A227" s="192">
        <f>'Données projet'!A210</f>
        <v>0</v>
      </c>
      <c r="B227" s="193">
        <f>'Données projet'!D210</f>
        <v>0</v>
      </c>
      <c r="C227" s="206">
        <f>30*'Données projet'!E210+19.4*('Données projet'!F210+'Données projet'!G210)+10*'Données projet'!H210</f>
        <v>0</v>
      </c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>
      <c r="A228" s="192">
        <f>'Données projet'!A211</f>
        <v>0</v>
      </c>
      <c r="B228" s="193">
        <f>'Données projet'!D211</f>
        <v>0</v>
      </c>
      <c r="C228" s="206">
        <f>30*'Données projet'!E211+19.4*('Données projet'!F211+'Données projet'!G211)+10*'Données projet'!H211</f>
        <v>0</v>
      </c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>
      <c r="A231" s="49" t="s">
        <v>172</v>
      </c>
      <c r="B231" s="186" t="str">
        <f>IF('Données projet'!$B$16="","",'Données projet'!$B$16)</f>
        <v>Chêne sessile</v>
      </c>
      <c r="C231" s="5"/>
      <c r="D231" s="5"/>
      <c r="E231" s="5"/>
      <c r="F231" s="344" t="s">
        <v>331</v>
      </c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>
      <c r="A234" s="210">
        <v>0</v>
      </c>
      <c r="B234" s="213" t="s">
        <v>132</v>
      </c>
      <c r="C234" s="212" t="s">
        <v>132</v>
      </c>
      <c r="D234" s="211" t="s">
        <v>132</v>
      </c>
      <c r="E234" s="206">
        <v>2696.2</v>
      </c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>
      <c r="A240" s="192">
        <f>'Données projet'!A218</f>
        <v>60</v>
      </c>
      <c r="B240" s="193">
        <f>'Données projet'!D218</f>
        <v>69.84</v>
      </c>
      <c r="C240" s="206">
        <f>225*'Données projet'!E218+13.8*('Données projet'!F218+'Données projet'!G218)+10*'Données projet'!H218</f>
        <v>53</v>
      </c>
      <c r="D240" s="191">
        <f>B240*C240</f>
        <v>3701.52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>
      <c r="A241" s="192">
        <f>'Données projet'!A219</f>
        <v>63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>
      <c r="A242" s="192">
        <f>'Données projet'!A220</f>
        <v>66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>
      <c r="A243" s="192">
        <f>'Données projet'!A221</f>
        <v>69</v>
      </c>
      <c r="B243" s="193">
        <f>'Données projet'!D221</f>
        <v>39.35</v>
      </c>
      <c r="C243" s="206">
        <f>225*'Données projet'!E221+13.8*('Données projet'!F221+'Données projet'!G221)+10*'Données projet'!H221</f>
        <v>74.5</v>
      </c>
      <c r="D243" s="191">
        <f t="shared" si="13"/>
        <v>2931.5750000000003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>
      <c r="A244" s="192">
        <f>'Données projet'!A222</f>
        <v>77</v>
      </c>
      <c r="B244" s="193">
        <f>'Données projet'!D222</f>
        <v>31.56</v>
      </c>
      <c r="C244" s="206">
        <f>225*'Données projet'!E222+13.8*('Données projet'!F222+'Données projet'!G222)+10*'Données projet'!H222</f>
        <v>74.5</v>
      </c>
      <c r="D244" s="191">
        <f t="shared" si="13"/>
        <v>2351.2199999999998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>
      <c r="A245" s="192">
        <f>'Données projet'!A223</f>
        <v>86</v>
      </c>
      <c r="B245" s="193">
        <f>'Données projet'!D223</f>
        <v>34.46</v>
      </c>
      <c r="C245" s="206">
        <f>225*'Données projet'!E223+13.8*('Données projet'!F223+'Données projet'!G223)+10*'Données projet'!H223</f>
        <v>96</v>
      </c>
      <c r="D245" s="191">
        <f t="shared" si="13"/>
        <v>3308.16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>
      <c r="A246" s="192">
        <f>'Données projet'!A224</f>
        <v>95</v>
      </c>
      <c r="B246" s="193">
        <f>'Données projet'!D224</f>
        <v>38.770000000000003</v>
      </c>
      <c r="C246" s="206">
        <f>225*'Données projet'!E224+13.8*('Données projet'!F224+'Données projet'!G224)+10*'Données projet'!H224</f>
        <v>96</v>
      </c>
      <c r="D246" s="191">
        <f t="shared" si="13"/>
        <v>3721.92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>
      <c r="A247" s="192">
        <f>'Données projet'!A225</f>
        <v>101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>
      <c r="A248" s="192">
        <f>'Données projet'!A226</f>
        <v>104</v>
      </c>
      <c r="B248" s="193">
        <f>'Données projet'!D226</f>
        <v>35.979999999999997</v>
      </c>
      <c r="C248" s="206">
        <f>225*'Données projet'!E226+13.8*('Données projet'!F226+'Données projet'!G226)+10*'Données projet'!H226</f>
        <v>117.5</v>
      </c>
      <c r="D248" s="191">
        <f t="shared" si="13"/>
        <v>4227.6499999999996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>
      <c r="A249" s="192">
        <f>'Données projet'!A227</f>
        <v>113</v>
      </c>
      <c r="B249" s="193">
        <f>'Données projet'!D227</f>
        <v>37.82</v>
      </c>
      <c r="C249" s="206">
        <f>225*'Données projet'!E227+13.8*('Données projet'!F227+'Données projet'!G227)+10*'Données projet'!H227</f>
        <v>160.5</v>
      </c>
      <c r="D249" s="191">
        <f t="shared" si="13"/>
        <v>6070.11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>
      <c r="A250" s="192">
        <f>'Données projet'!A228</f>
        <v>122</v>
      </c>
      <c r="B250" s="193">
        <f>'Données projet'!D228</f>
        <v>284.32</v>
      </c>
      <c r="C250" s="206">
        <f>225*'Données projet'!E228+13.8*('Données projet'!F228+'Données projet'!G228)+10*'Données projet'!H228</f>
        <v>160.5</v>
      </c>
      <c r="D250" s="191">
        <f t="shared" si="13"/>
        <v>45633.36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>
      <c r="A262" s="49" t="s">
        <v>173</v>
      </c>
      <c r="B262" s="186" t="str">
        <f>IF('Données projet'!$B$17="","",'Données projet'!$B$17)</f>
        <v>Chêne vert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>
      <c r="A265" s="210">
        <v>0</v>
      </c>
      <c r="B265" s="213" t="s">
        <v>132</v>
      </c>
      <c r="C265" s="212" t="s">
        <v>132</v>
      </c>
      <c r="D265" s="211" t="s">
        <v>132</v>
      </c>
      <c r="E265" s="206">
        <v>3235.44</v>
      </c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>
      <c r="A271" s="192">
        <f>'Données projet'!A244</f>
        <v>60</v>
      </c>
      <c r="B271" s="193">
        <f>'Données projet'!D244</f>
        <v>69.84</v>
      </c>
      <c r="C271" s="206">
        <f>225*'Données projet'!E218+13.8*('Données projet'!F218+'Données projet'!G218)+10*'Données projet'!H218</f>
        <v>53</v>
      </c>
      <c r="D271" s="191">
        <f>B271*C271</f>
        <v>3701.52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>
      <c r="A272" s="192">
        <f>'Données projet'!A245</f>
        <v>63</v>
      </c>
      <c r="B272" s="193">
        <f>'Données projet'!D245</f>
        <v>0</v>
      </c>
      <c r="C272" s="206">
        <f>225*'Données projet'!E219+13.8*('Données projet'!F219+'Données projet'!G219)+10*'Données projet'!H219</f>
        <v>0</v>
      </c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>
      <c r="A273" s="192">
        <f>'Données projet'!A246</f>
        <v>66</v>
      </c>
      <c r="B273" s="193">
        <f>'Données projet'!D246</f>
        <v>0</v>
      </c>
      <c r="C273" s="206">
        <f>225*'Données projet'!E220+13.8*('Données projet'!F220+'Données projet'!G220)+10*'Données projet'!H220</f>
        <v>0</v>
      </c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>
      <c r="A274" s="192">
        <f>'Données projet'!A247</f>
        <v>69</v>
      </c>
      <c r="B274" s="193">
        <f>'Données projet'!D247</f>
        <v>39.35</v>
      </c>
      <c r="C274" s="206">
        <f>225*'Données projet'!E221+13.8*('Données projet'!F221+'Données projet'!G221)+10*'Données projet'!H221</f>
        <v>74.5</v>
      </c>
      <c r="D274" s="191">
        <f t="shared" si="14"/>
        <v>2931.5750000000003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>
      <c r="A275" s="192">
        <f>'Données projet'!A248</f>
        <v>77</v>
      </c>
      <c r="B275" s="193">
        <f>'Données projet'!D248</f>
        <v>31.56</v>
      </c>
      <c r="C275" s="206">
        <f>225*'Données projet'!E222+13.8*('Données projet'!F222+'Données projet'!G222)+10*'Données projet'!H222</f>
        <v>74.5</v>
      </c>
      <c r="D275" s="191">
        <f t="shared" si="14"/>
        <v>2351.2199999999998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>
      <c r="A276" s="192">
        <f>'Données projet'!A249</f>
        <v>86</v>
      </c>
      <c r="B276" s="193">
        <f>'Données projet'!D249</f>
        <v>34.46</v>
      </c>
      <c r="C276" s="206">
        <f>225*'Données projet'!E223+13.8*('Données projet'!F223+'Données projet'!G223)+10*'Données projet'!H223</f>
        <v>96</v>
      </c>
      <c r="D276" s="191">
        <f t="shared" si="14"/>
        <v>3308.16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>
      <c r="A277" s="192">
        <f>'Données projet'!A250</f>
        <v>95</v>
      </c>
      <c r="B277" s="193">
        <f>'Données projet'!D250</f>
        <v>38.770000000000003</v>
      </c>
      <c r="C277" s="206">
        <f>225*'Données projet'!E224+13.8*('Données projet'!F224+'Données projet'!G224)+10*'Données projet'!H224</f>
        <v>96</v>
      </c>
      <c r="D277" s="191">
        <f t="shared" si="14"/>
        <v>3721.92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>
      <c r="A278" s="192">
        <f>'Données projet'!A251</f>
        <v>101</v>
      </c>
      <c r="B278" s="193">
        <f>'Données projet'!D251</f>
        <v>0</v>
      </c>
      <c r="C278" s="206">
        <f>225*'Données projet'!E225+13.8*('Données projet'!F225+'Données projet'!G225)+10*'Données projet'!H225</f>
        <v>0</v>
      </c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>
      <c r="A279" s="192">
        <f>'Données projet'!A252</f>
        <v>104</v>
      </c>
      <c r="B279" s="193">
        <f>'Données projet'!D252</f>
        <v>35.979999999999997</v>
      </c>
      <c r="C279" s="206">
        <f>225*'Données projet'!E226+13.8*('Données projet'!F226+'Données projet'!G226)+10*'Données projet'!H226</f>
        <v>117.5</v>
      </c>
      <c r="D279" s="191">
        <f t="shared" si="14"/>
        <v>4227.6499999999996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>
      <c r="A280" s="192">
        <f>'Données projet'!A253</f>
        <v>113</v>
      </c>
      <c r="B280" s="193">
        <f>'Données projet'!D253</f>
        <v>37.82</v>
      </c>
      <c r="C280" s="206">
        <f>225*'Données projet'!E227+13.8*('Données projet'!F227+'Données projet'!G227)+10*'Données projet'!H227</f>
        <v>160.5</v>
      </c>
      <c r="D280" s="191">
        <f t="shared" si="14"/>
        <v>6070.11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>
      <c r="A281" s="192">
        <f>'Données projet'!A254</f>
        <v>122</v>
      </c>
      <c r="B281" s="193">
        <f>'Données projet'!D254</f>
        <v>284.32</v>
      </c>
      <c r="C281" s="206">
        <f>225*'Données projet'!E228+13.8*('Données projet'!F228+'Données projet'!G228)+10*'Données projet'!H228</f>
        <v>160.5</v>
      </c>
      <c r="D281" s="191">
        <f t="shared" si="14"/>
        <v>45633.36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>
      <c r="A282" s="192">
        <f>'Données projet'!A255</f>
        <v>0</v>
      </c>
      <c r="B282" s="193">
        <f>'Données projet'!D255</f>
        <v>0</v>
      </c>
      <c r="C282" s="206">
        <f>225*'Données projet'!E229+13.8*('Données projet'!F229+'Données projet'!G229)+10*'Données projet'!H229</f>
        <v>0</v>
      </c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>
      <c r="A283" s="192">
        <f>'Données projet'!A256</f>
        <v>0</v>
      </c>
      <c r="B283" s="193">
        <f>'Données projet'!D256</f>
        <v>0</v>
      </c>
      <c r="C283" s="206">
        <f>225*'Données projet'!E230+13.8*('Données projet'!F230+'Données projet'!G230)+10*'Données projet'!H230</f>
        <v>0</v>
      </c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>
      <c r="A284" s="192">
        <f>'Données projet'!A257</f>
        <v>0</v>
      </c>
      <c r="B284" s="193">
        <f>'Données projet'!D257</f>
        <v>0</v>
      </c>
      <c r="C284" s="206">
        <f>225*'Données projet'!E231+13.8*('Données projet'!F231+'Données projet'!G231)+10*'Données projet'!H231</f>
        <v>0</v>
      </c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>
      <c r="A285" s="192">
        <f>'Données projet'!A258</f>
        <v>0</v>
      </c>
      <c r="B285" s="193">
        <f>'Données projet'!D258</f>
        <v>0</v>
      </c>
      <c r="C285" s="206">
        <f>225*'Données projet'!E232+13.8*('Données projet'!F232+'Données projet'!G232)+10*'Données projet'!H232</f>
        <v>0</v>
      </c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>
      <c r="A286" s="192">
        <f>'Données projet'!A259</f>
        <v>0</v>
      </c>
      <c r="B286" s="193">
        <f>'Données projet'!D259</f>
        <v>0</v>
      </c>
      <c r="C286" s="206">
        <f>225*'Données projet'!E233+13.8*('Données projet'!F233+'Données projet'!G233)+10*'Données projet'!H233</f>
        <v>0</v>
      </c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>
      <c r="A287" s="192">
        <f>'Données projet'!A260</f>
        <v>0</v>
      </c>
      <c r="B287" s="193">
        <f>'Données projet'!D260</f>
        <v>0</v>
      </c>
      <c r="C287" s="206">
        <f>225*'Données projet'!E234+13.8*('Données projet'!F234+'Données projet'!G234)+10*'Données projet'!H234</f>
        <v>0</v>
      </c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>
      <c r="A288" s="192">
        <f>'Données projet'!A261</f>
        <v>0</v>
      </c>
      <c r="B288" s="193">
        <f>'Données projet'!D261</f>
        <v>0</v>
      </c>
      <c r="C288" s="206">
        <f>225*'Données projet'!E235+13.8*('Données projet'!F235+'Données projet'!G235)+10*'Données projet'!H235</f>
        <v>0</v>
      </c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>
      <c r="A289" s="192">
        <f>'Données projet'!A262</f>
        <v>0</v>
      </c>
      <c r="B289" s="193">
        <f>'Données projet'!D262</f>
        <v>0</v>
      </c>
      <c r="C289" s="206">
        <f>225*'Données projet'!E236+13.8*('Données projet'!F236+'Données projet'!G236)+10*'Données projet'!H236</f>
        <v>0</v>
      </c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>
      <c r="A290" s="192">
        <f>'Données projet'!A263</f>
        <v>0</v>
      </c>
      <c r="B290" s="193">
        <f>'Données projet'!D263</f>
        <v>0</v>
      </c>
      <c r="C290" s="206">
        <f>225*'Données projet'!E237+13.8*('Données projet'!F237+'Données projet'!G237)+10*'Données projet'!H237</f>
        <v>0</v>
      </c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>
      <c r="A302" s="192">
        <f>'Données projet'!A270</f>
        <v>60</v>
      </c>
      <c r="B302" s="193">
        <f>'Données projet'!D270</f>
        <v>69.84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>
      <c r="A303" s="192">
        <f>'Données projet'!A271</f>
        <v>63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>
      <c r="A304" s="192">
        <f>'Données projet'!A272</f>
        <v>66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>
      <c r="A305" s="192">
        <f>'Données projet'!A273</f>
        <v>69</v>
      </c>
      <c r="B305" s="193">
        <f>'Données projet'!D273</f>
        <v>39.35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>
      <c r="A306" s="192">
        <f>'Données projet'!A274</f>
        <v>77</v>
      </c>
      <c r="B306" s="193">
        <f>'Données projet'!D274</f>
        <v>31.56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>
      <c r="A307" s="192">
        <f>'Données projet'!A275</f>
        <v>86</v>
      </c>
      <c r="B307" s="193">
        <f>'Données projet'!D275</f>
        <v>34.46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>
      <c r="A308" s="192">
        <f>'Données projet'!A276</f>
        <v>95</v>
      </c>
      <c r="B308" s="193">
        <f>'Données projet'!D276</f>
        <v>38.770000000000003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>
      <c r="A309" s="192">
        <f>'Données projet'!A277</f>
        <v>101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>
      <c r="A310" s="192">
        <f>'Données projet'!A278</f>
        <v>104</v>
      </c>
      <c r="B310" s="193">
        <f>'Données projet'!D278</f>
        <v>35.979999999999997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>
      <c r="A311" s="192">
        <f>'Données projet'!A279</f>
        <v>113</v>
      </c>
      <c r="B311" s="193">
        <f>'Données projet'!D279</f>
        <v>37.82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>
      <c r="A312" s="192">
        <f>'Données projet'!A280</f>
        <v>122</v>
      </c>
      <c r="B312" s="193">
        <f>'Données projet'!D280</f>
        <v>284.32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2024-06-10T20:19:22Z</dcterms:modified>
</cp:coreProperties>
</file>