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 LIRE" sheetId="1" r:id="rId4"/>
    <sheet state="visible" name="RECAPITULATIF" sheetId="2" r:id="rId5"/>
    <sheet state="visible" name="GES AVANT NOTIFICATION" sheetId="3" r:id="rId6"/>
    <sheet state="visible" name="GES APRES NOTIFICATION " sheetId="4" r:id="rId7"/>
    <sheet state="visible" name="CO-BENEFICES " sheetId="5" r:id="rId8"/>
    <sheet state="visible" name="SUIVI RABAIS PRODUCTION ET C " sheetId="6" r:id="rId9"/>
  </sheets>
  <definedNames/>
  <calcPr/>
  <extLst>
    <ext uri="GoogleSheetsCustomDataVersion2">
      <go:sheetsCustomData xmlns:go="http://customooxmlschemas.google.com/" r:id="rId10" roundtripDataChecksum="kOxvsM70+uagplxkaRmDPzKGVTRoOMS56cnYIXRnwcI="/>
    </ext>
  </extLst>
</workbook>
</file>

<file path=xl/sharedStrings.xml><?xml version="1.0" encoding="utf-8"?>
<sst xmlns="http://schemas.openxmlformats.org/spreadsheetml/2006/main" count="1266" uniqueCount="290">
  <si>
    <t>Ce calculateur permet l'évaluation des réductions d'émissions de gaz à effets de serre, des rabais et bonus dans le cadre des projets utilisant la méthode SOBAC'ECO-TMM.</t>
  </si>
  <si>
    <t>Version 1.2</t>
  </si>
  <si>
    <t>L'onglet RECAPITULATIF permet la consultation des résultats.</t>
  </si>
  <si>
    <t xml:space="preserve">Les onglets à compléter sont : </t>
  </si>
  <si>
    <t>GES AVANT NOTIFICATION</t>
  </si>
  <si>
    <t xml:space="preserve">GES APRES NOTIFICATION </t>
  </si>
  <si>
    <t xml:space="preserve">CO-BENEFICES </t>
  </si>
  <si>
    <t xml:space="preserve">SUIVI RABAIS PRODUCTION ET C </t>
  </si>
  <si>
    <t>Veiller à bien dérouler l'ensemble des pages pour la saisie.</t>
  </si>
  <si>
    <t>Dans tous les onglets : cellules en orange à compléter</t>
  </si>
  <si>
    <t>/ ! \ ATTENTION aux teneurs en éléments fertilisants  : modifier ou compléter si besoin</t>
  </si>
  <si>
    <t>Résultats : réductions d'émissions de GES, rabais, cobénéfices</t>
  </si>
  <si>
    <t>Résultats intermédiaires</t>
  </si>
  <si>
    <t xml:space="preserve">Promoteur de la méthode et concepteur du calculateur </t>
  </si>
  <si>
    <t>Les cellules des autres couleurs sont pré-saisies ou se remplissent par calcul</t>
  </si>
  <si>
    <t>Réductions d'émissions</t>
  </si>
  <si>
    <t>GES avant notification</t>
  </si>
  <si>
    <t>t eqCO2 sur 5 ans, soit</t>
  </si>
  <si>
    <t>t eqCO2/ha/an</t>
  </si>
  <si>
    <t>GES selon scénario de référence</t>
  </si>
  <si>
    <t>GES après notification</t>
  </si>
  <si>
    <t>Réduction des émissions du projet :</t>
  </si>
  <si>
    <t>absolues, avant vérification des cobénéfices et rabais/bonus potentiels</t>
  </si>
  <si>
    <t>t eqCO2 sur 5 ans</t>
  </si>
  <si>
    <t>relatives, avant vérification des cobénéfices et rabais/bonus potentiels</t>
  </si>
  <si>
    <t>Réduction/suppression vérifiée (O/N)</t>
  </si>
  <si>
    <t>Réduction des engrais azotés minéraux</t>
  </si>
  <si>
    <t>Suppression des engrais phospho-potassiques minéraux</t>
  </si>
  <si>
    <t xml:space="preserve">Suppression des amendements calco-magnésiens </t>
  </si>
  <si>
    <t>Vérification des cobénéfices nécessaires à la validation des réductions d'émissions</t>
  </si>
  <si>
    <t>cobénéfice vérifié (O/N)</t>
  </si>
  <si>
    <t>points de bonus</t>
  </si>
  <si>
    <t>atteinte des objectifs</t>
  </si>
  <si>
    <t>préservation de la ressource en eau</t>
  </si>
  <si>
    <t>préservation de la qualité de l'eau</t>
  </si>
  <si>
    <t>préservation de la biodiversité</t>
  </si>
  <si>
    <t>Rabais et bonus potentiels sur les réductions d'émissions</t>
  </si>
  <si>
    <t>Valeur globale</t>
  </si>
  <si>
    <t>Rabais ou bonus</t>
  </si>
  <si>
    <t>Valeur du rabais ou bonus</t>
  </si>
  <si>
    <t>contractualisation MAEC</t>
  </si>
  <si>
    <t>conversion AB</t>
  </si>
  <si>
    <t>évolution de la production</t>
  </si>
  <si>
    <t xml:space="preserve">évolution de l'occupation des terres </t>
  </si>
  <si>
    <t>Réduction d'émissions validables</t>
  </si>
  <si>
    <t>CALCULS DES EMISSIONS AVANT NOTIFICATION</t>
  </si>
  <si>
    <t>1. ACHATS ET VARIATIONS DE STOCKS D'INTRANTS</t>
  </si>
  <si>
    <t>ENGRAIS SIMPLES</t>
  </si>
  <si>
    <t>ENGRAIS BINAIRES</t>
  </si>
  <si>
    <t>ENGRAIS TERNAIRES</t>
  </si>
  <si>
    <t>PRODUITS PHYTOSANITAIRES</t>
  </si>
  <si>
    <t>CHAUX ET AMENDEMENTS CALCO-MAGNESIENS</t>
  </si>
  <si>
    <t>AMENDEMENTS ORGANIQUES NFU 44-051</t>
  </si>
  <si>
    <t>Ammonitrate anhydre</t>
  </si>
  <si>
    <t>Ammonitrate 33,5%</t>
  </si>
  <si>
    <t>Ammonitrate calcaire 27%</t>
  </si>
  <si>
    <t>Solution azotée</t>
  </si>
  <si>
    <t>Urée</t>
  </si>
  <si>
    <t>Autres engrais azotés</t>
  </si>
  <si>
    <t>Trisuperphosphate</t>
  </si>
  <si>
    <t>Autres engrais phosphatés</t>
  </si>
  <si>
    <t>Chlorure de Potasse</t>
  </si>
  <si>
    <t>Autres engrais potassiques</t>
  </si>
  <si>
    <t>Engrais binaire PK</t>
  </si>
  <si>
    <t>Nitrate de potassium</t>
  </si>
  <si>
    <t>Engrais binaire NK</t>
  </si>
  <si>
    <t>Monoammonium phosphate</t>
  </si>
  <si>
    <t>Diammonium phosphate</t>
  </si>
  <si>
    <t>engrais NPK-1</t>
  </si>
  <si>
    <t>engrais NPK-2</t>
  </si>
  <si>
    <t>générique</t>
  </si>
  <si>
    <t>chaux vive</t>
  </si>
  <si>
    <t>carbonate de calcium</t>
  </si>
  <si>
    <t>dolomie</t>
  </si>
  <si>
    <t>écumes de sucrerie</t>
  </si>
  <si>
    <t>Bactériosol concentré</t>
  </si>
  <si>
    <t>Bactériolit concentré</t>
  </si>
  <si>
    <t>Compost de biodéchets (moins de 10% de déchets verts)</t>
  </si>
  <si>
    <t>Compost de biodéchets et de déchets verts</t>
  </si>
  <si>
    <t>Fumier (mix générique) stocké en surface ou en fosse</t>
  </si>
  <si>
    <t>Fumier et fraction solide de lisier, séché thermiquement</t>
  </si>
  <si>
    <t>Compost moyen (déchets verts, biodéchets, boues, fumier, lisier)</t>
  </si>
  <si>
    <t>Compost de fraction solide de digestat issu de fumier et de déchets verts</t>
  </si>
  <si>
    <t>Compost de lisier de porc + paille</t>
  </si>
  <si>
    <t>Compost de fraction solide de lisier</t>
  </si>
  <si>
    <t>Fraction solide de digestat agricole, séché thermiquement et pelletisé</t>
  </si>
  <si>
    <t>Digestat de boues d’épuration</t>
  </si>
  <si>
    <t>achats (kg)</t>
  </si>
  <si>
    <t>stock initial (kg)</t>
  </si>
  <si>
    <t>stock final (kg)</t>
  </si>
  <si>
    <t>achats (t)</t>
  </si>
  <si>
    <t>stock initial (t)</t>
  </si>
  <si>
    <t>stock final (t)</t>
  </si>
  <si>
    <t>N-5</t>
  </si>
  <si>
    <t>N-4</t>
  </si>
  <si>
    <t>N-3</t>
  </si>
  <si>
    <t>N-2</t>
  </si>
  <si>
    <t>N-1</t>
  </si>
  <si>
    <t>2. QUANTITES CONSOMMEES D'INTRANTS ET CONVERSION EN UNITES N, P et K POUR LES ENGRAIS</t>
  </si>
  <si>
    <t>ENGRAIS MINERAUX</t>
  </si>
  <si>
    <t>CHAUX ET AMENDEMENTS CALCO-MAGNESIEN</t>
  </si>
  <si>
    <t>GENERIQUES</t>
  </si>
  <si>
    <t>CHAUX VIVE</t>
  </si>
  <si>
    <t>CARBONATE DE CALCIUM</t>
  </si>
  <si>
    <t>DOLOMIE</t>
  </si>
  <si>
    <t>ECUMES DE SUCRERIE</t>
  </si>
  <si>
    <t>AZOTE</t>
  </si>
  <si>
    <t>PHOSPHORE</t>
  </si>
  <si>
    <t>POTASSE</t>
  </si>
  <si>
    <t>ENGRAIS BINAIRE PK</t>
  </si>
  <si>
    <t>nitrate de potassium</t>
  </si>
  <si>
    <t>ENGRAIS BINAIRE NK</t>
  </si>
  <si>
    <t>monoammonium phosphate</t>
  </si>
  <si>
    <t>diammonium phosphate</t>
  </si>
  <si>
    <t>ENGRAIS NPK-1</t>
  </si>
  <si>
    <t>ENGRAIS NPK-2</t>
  </si>
  <si>
    <t>Quantités (kg)</t>
  </si>
  <si>
    <t>Phosphore</t>
  </si>
  <si>
    <t>Potasse</t>
  </si>
  <si>
    <t>Azote</t>
  </si>
  <si>
    <t>%N</t>
  </si>
  <si>
    <t>Unités de N</t>
  </si>
  <si>
    <t>FE N</t>
  </si>
  <si>
    <t>%P205</t>
  </si>
  <si>
    <t>Unités de P205</t>
  </si>
  <si>
    <t>FE P205</t>
  </si>
  <si>
    <t>%K20</t>
  </si>
  <si>
    <t>Unités de K20</t>
  </si>
  <si>
    <t>FE K20</t>
  </si>
  <si>
    <t>%K2O</t>
  </si>
  <si>
    <t>%P2O5</t>
  </si>
  <si>
    <t>Unités de P2O5</t>
  </si>
  <si>
    <t>FE P2O5</t>
  </si>
  <si>
    <t>FE PPP</t>
  </si>
  <si>
    <t xml:space="preserve">VN </t>
  </si>
  <si>
    <t>Quantités VN (kg)</t>
  </si>
  <si>
    <t>FE Chaux</t>
  </si>
  <si>
    <t>VN</t>
  </si>
  <si>
    <t>FE carbonate Ca</t>
  </si>
  <si>
    <t>FE dolomie</t>
  </si>
  <si>
    <t>FE écumes sucrerie</t>
  </si>
  <si>
    <t>FE Amendement 1</t>
  </si>
  <si>
    <t>FE Amendement 2</t>
  </si>
  <si>
    <t>FE Amendement 3</t>
  </si>
  <si>
    <t>FE Amendement 4</t>
  </si>
  <si>
    <t>FE Amendement 5</t>
  </si>
  <si>
    <t>FE Amendement 6</t>
  </si>
  <si>
    <t>quantités (t)</t>
  </si>
  <si>
    <t>FE amendement (kgeqCO2/t)</t>
  </si>
  <si>
    <t>TOTAUX</t>
  </si>
  <si>
    <t>3. CALCULS DES EMISSIONS INDIRECTES AMONT EN kg eqCO2</t>
  </si>
  <si>
    <t>PRODUITS
PHYTOS</t>
  </si>
  <si>
    <t>AMENDEMENTS ORGANIQUES NFU44-051</t>
  </si>
  <si>
    <t>TOTAUX
kgeqCO2</t>
  </si>
  <si>
    <r>
      <rPr>
        <rFont val="Calibri"/>
        <b/>
        <color theme="1"/>
        <sz val="11.0"/>
      </rPr>
      <t>TOTAUX kgeqCO</t>
    </r>
    <r>
      <rPr>
        <rFont val="Calibri"/>
        <b/>
        <color theme="1"/>
        <sz val="11.0"/>
        <vertAlign val="subscript"/>
      </rPr>
      <t>2</t>
    </r>
    <r>
      <rPr>
        <rFont val="Calibri"/>
        <b/>
        <color theme="1"/>
        <sz val="11.0"/>
      </rPr>
      <t>/ha</t>
    </r>
  </si>
  <si>
    <t>Générique</t>
  </si>
  <si>
    <t>Ecumes de sucrerie</t>
  </si>
  <si>
    <t>Amendement 4</t>
  </si>
  <si>
    <t>Autres</t>
  </si>
  <si>
    <t>4. CALCULS DES EMISSIONS DIRECTES AU CHAMP EN kgeqCO2</t>
  </si>
  <si>
    <t>N2O ENGRAIS MINERAUX AZOTES</t>
  </si>
  <si>
    <t>N2O AUTRES SOURCES D'AZOTE ORGANIQUES</t>
  </si>
  <si>
    <t xml:space="preserve"> CO2 CHAUX ET DOLOMIE</t>
  </si>
  <si>
    <r>
      <rPr>
        <rFont val="Calibri"/>
        <b/>
        <color theme="1"/>
        <sz val="11.0"/>
      </rPr>
      <t>TOTAUX kgeqCO</t>
    </r>
    <r>
      <rPr>
        <rFont val="Calibri"/>
        <b/>
        <color theme="1"/>
        <sz val="11.0"/>
        <vertAlign val="subscript"/>
      </rPr>
      <t>2</t>
    </r>
    <r>
      <rPr>
        <rFont val="Calibri"/>
        <b/>
        <color theme="1"/>
        <sz val="11.0"/>
      </rPr>
      <t>/ha</t>
    </r>
  </si>
  <si>
    <t>Total Unités N apportées</t>
  </si>
  <si>
    <t>Emissions N2O directes</t>
  </si>
  <si>
    <t>Emissions N2O indirectes</t>
  </si>
  <si>
    <t>Total kg eq CO2</t>
  </si>
  <si>
    <t>Total unités N apportées</t>
  </si>
  <si>
    <t>Quantité de CaCO3 (kg)</t>
  </si>
  <si>
    <t>émissions CO2 directes</t>
  </si>
  <si>
    <t>Quantité de CaMg(CO3)2 (kg)</t>
  </si>
  <si>
    <t xml:space="preserve"> N Amendement organique 1</t>
  </si>
  <si>
    <t>émissions N2O (kgeq CO2)</t>
  </si>
  <si>
    <t>N amendement organique 2</t>
  </si>
  <si>
    <t>N Amendement organique 3</t>
  </si>
  <si>
    <t>N Amendement organique 4</t>
  </si>
  <si>
    <t>N amendement organique 5</t>
  </si>
  <si>
    <t xml:space="preserve"> N amendement organique 6</t>
  </si>
  <si>
    <t>N Compost de biodéchets (moins de 10% de déchets verts)</t>
  </si>
  <si>
    <t>N Compost de biodéchets et de déchets verts</t>
  </si>
  <si>
    <t>N Fumier (mix générique) stocké en surface ou en fosse</t>
  </si>
  <si>
    <t>N Fumier et fraction solide de lisier, séché thermiquement</t>
  </si>
  <si>
    <t>N Compost moyen (déchets verts, biodéchets, boues, fumier, lisier)</t>
  </si>
  <si>
    <t>N Compost de fraction solide de digestat issu de fumier et de déchets verts</t>
  </si>
  <si>
    <t>N Compost de lisier de porc + paille</t>
  </si>
  <si>
    <t>N Compost de fraction solide de lisier</t>
  </si>
  <si>
    <t>N Fraction solide de digestat agricole, séché thermiquement et pelletisé</t>
  </si>
  <si>
    <t>N Digestat de boues d’épuration</t>
  </si>
  <si>
    <t>Total des émissions de GES générées en 5 ans (scénario de référence)</t>
  </si>
  <si>
    <t>kg eq CO2</t>
  </si>
  <si>
    <t>t eq CO2</t>
  </si>
  <si>
    <t xml:space="preserve">5. FACTEURS D'EMISSION </t>
  </si>
  <si>
    <t>Facteur d'émission N2O direct engrais minéraux (kg N2O/kgN)</t>
  </si>
  <si>
    <t>Facteur d'émission N2O direct autres sources d'azote (kgN2O/kgN)</t>
  </si>
  <si>
    <t>Facteur d'émission N2O indirect N volatilisé engrais minéraux (kg N2O/kg N)</t>
  </si>
  <si>
    <t>Facteur d'émission N2O indirect N volatilisé autres sources d'azote (kg N2O/kg N)</t>
  </si>
  <si>
    <t>Facteur d'émission N2O indirect N lixivié (kg N2O/kg N)</t>
  </si>
  <si>
    <t>Facteur d'émission chaux calcaire</t>
  </si>
  <si>
    <t>Facteur d'émission chaux dolomie</t>
  </si>
  <si>
    <t>6. FACTEURS DE CARACTERISATION</t>
  </si>
  <si>
    <t>Facteurs de caractérisation du N2O (kg eq CO2/ kgN2O)</t>
  </si>
  <si>
    <t>7. REFERENCES TENEURS EN N AMENDEMENTS ORGANIQUES</t>
  </si>
  <si>
    <t>Teneur en N (g/kg)</t>
  </si>
  <si>
    <t>CALCULS DES EMISSIONS APRES NOTIFICATION</t>
  </si>
  <si>
    <t>N</t>
  </si>
  <si>
    <t>N+1</t>
  </si>
  <si>
    <t>N+2</t>
  </si>
  <si>
    <t>N+3</t>
  </si>
  <si>
    <t>N+4</t>
  </si>
  <si>
    <r>
      <rPr>
        <rFont val="Calibri"/>
        <b/>
        <color theme="1"/>
        <sz val="11.0"/>
      </rPr>
      <t>TOTAUX kgeqCO</t>
    </r>
    <r>
      <rPr>
        <rFont val="Calibri"/>
        <b/>
        <color theme="1"/>
        <sz val="11.0"/>
        <vertAlign val="subscript"/>
      </rPr>
      <t>2</t>
    </r>
    <r>
      <rPr>
        <rFont val="Calibri"/>
        <b/>
        <color theme="1"/>
        <sz val="11.0"/>
      </rPr>
      <t>/ha</t>
    </r>
  </si>
  <si>
    <r>
      <rPr>
        <rFont val="Calibri"/>
        <b/>
        <color theme="1"/>
        <sz val="11.0"/>
      </rPr>
      <t>TOTAUX kgeqCO</t>
    </r>
    <r>
      <rPr>
        <rFont val="Calibri"/>
        <b/>
        <color theme="1"/>
        <sz val="11.0"/>
        <vertAlign val="subscript"/>
      </rPr>
      <t>2</t>
    </r>
    <r>
      <rPr>
        <rFont val="Calibri"/>
        <b/>
        <color theme="1"/>
        <sz val="11.0"/>
      </rPr>
      <t>/ha</t>
    </r>
  </si>
  <si>
    <t>Total des émissions de GES générées en 5 ans par le projet</t>
  </si>
  <si>
    <t>Total émissions évitées entre Projet et Scénario de référence avant rabais</t>
  </si>
  <si>
    <t>teq CO2</t>
  </si>
  <si>
    <t>Total émissions évitées entre Projet et Scénario de référence après rabais</t>
  </si>
  <si>
    <t>kgeq CO2</t>
  </si>
  <si>
    <t>Indicateurs de co-bénéfices</t>
  </si>
  <si>
    <t>IFT</t>
  </si>
  <si>
    <t>NOTE : En cas de non utilisation de phytosanitaires, renseigner la valeur 0 (zéro).</t>
  </si>
  <si>
    <t>lien vers le site du ministère de l'agriculture pour les calculs de l'IFT :</t>
  </si>
  <si>
    <t>https://alim.agriculture.gouv.fr/ift/bilan-ift/2018</t>
  </si>
  <si>
    <t>choix des références</t>
  </si>
  <si>
    <t>spécifiques (O/N)</t>
  </si>
  <si>
    <t>O</t>
  </si>
  <si>
    <t>génériques (O/N)</t>
  </si>
  <si>
    <t>année</t>
  </si>
  <si>
    <t xml:space="preserve">IFT herbicide exploitation </t>
  </si>
  <si>
    <t>IFT hors herbicide exploitation</t>
  </si>
  <si>
    <t>écart des IFT herbicides :</t>
  </si>
  <si>
    <t>écart des IFT non herbicides :</t>
  </si>
  <si>
    <t>moyenne olympique de référence</t>
  </si>
  <si>
    <t>moyenne olympique du projet</t>
  </si>
  <si>
    <t>points de bonus liés à une moindre consommation d'herbicides :</t>
  </si>
  <si>
    <t>Eau d'irrigation</t>
  </si>
  <si>
    <t>NOTE : En cas de non irrigation, renseigner la valeur 0 (zéro).</t>
  </si>
  <si>
    <t>points de bonus liés à une moindre consommation de non-herbicides :</t>
  </si>
  <si>
    <t>consommation eau irrigation (m3)</t>
  </si>
  <si>
    <t>écart des consommations d'eau avant-après projet</t>
  </si>
  <si>
    <t>conso cumulée (m3)</t>
  </si>
  <si>
    <t>Points de bonus liés à une moindre consommation d'eau d'irrigation :</t>
  </si>
  <si>
    <t>Autres indicateurs de co-bénéfices</t>
  </si>
  <si>
    <t>A COMPLETER PAR L'UTILISATEUR</t>
  </si>
  <si>
    <t xml:space="preserve">Suivi de la production </t>
  </si>
  <si>
    <t>Déclaration des surfaces  (laisser vide en cas d'absence de données)</t>
  </si>
  <si>
    <t>Avant la notification du Projet</t>
  </si>
  <si>
    <t>Après la notification du Projet</t>
  </si>
  <si>
    <t>SAU (ha)</t>
  </si>
  <si>
    <t>SFP (ha)</t>
  </si>
  <si>
    <t>Production animale (laisser vide en cas d'absence de données)</t>
  </si>
  <si>
    <t>UGB</t>
  </si>
  <si>
    <t>Quantité de lait vendu (hL)</t>
  </si>
  <si>
    <t>Quantité de viande vendue en vif (t)</t>
  </si>
  <si>
    <t>rdt moyen référence par ha</t>
  </si>
  <si>
    <t>rdt moyen projet (t/ha)</t>
  </si>
  <si>
    <t>écart relatif -20%</t>
  </si>
  <si>
    <t>valeur du rabais ou bonus</t>
  </si>
  <si>
    <t>rendement moyen annuel lait (hL/ha)</t>
  </si>
  <si>
    <t>Elevage</t>
  </si>
  <si>
    <t>Global - Elevage &amp; Cultures</t>
  </si>
  <si>
    <t>rendement moyen annuel animal (UGB/haSFP)</t>
  </si>
  <si>
    <t>RABAIS ou BONUS ?</t>
  </si>
  <si>
    <t>Valeur du rabais ou du bonus</t>
  </si>
  <si>
    <t>rendement moyen annuel viande (tviande/haSAU)</t>
  </si>
  <si>
    <t>Production végétale  (laisser vide en cas d'absence de données)</t>
  </si>
  <si>
    <t>Année</t>
  </si>
  <si>
    <t>rdt moyen référence (t/ha)</t>
  </si>
  <si>
    <t>quantité vendue</t>
  </si>
  <si>
    <t>rdt moyen (t/ha)</t>
  </si>
  <si>
    <t>culture</t>
  </si>
  <si>
    <t>Blé tendre hiver</t>
  </si>
  <si>
    <t>Escourgeon orge d'hiver</t>
  </si>
  <si>
    <t>Orge de printemps</t>
  </si>
  <si>
    <t>Chanvre</t>
  </si>
  <si>
    <t>Chenevis</t>
  </si>
  <si>
    <t>Colza d'hiver</t>
  </si>
  <si>
    <t>Lentille</t>
  </si>
  <si>
    <t>Cultures</t>
  </si>
  <si>
    <t>Suivi des surfaces : évolution du carbone du sol</t>
  </si>
  <si>
    <t>Avant la Notification du Projet  (laisser vide en cas d'absence de données)</t>
  </si>
  <si>
    <t>Surface en prairies permanentes (ha)</t>
  </si>
  <si>
    <t>Surface en cultures pérennes (ha)</t>
  </si>
  <si>
    <t>surface en haies (ha)</t>
  </si>
  <si>
    <t>A la dernière année du Projet  (laisser vide en cas d'absence de données)</t>
  </si>
  <si>
    <t>Suivi des contractualisations MAEC et conversion à l'agriculture biologique</t>
  </si>
  <si>
    <t xml:space="preserve">saisir O/N </t>
  </si>
  <si>
    <r>
      <rPr>
        <rFont val="Calibri"/>
        <color theme="1"/>
        <sz val="11.0"/>
      </rPr>
      <t xml:space="preserve">• </t>
    </r>
    <r>
      <rPr>
        <rFont val="Calibri"/>
        <color theme="1"/>
        <sz val="11.0"/>
      </rPr>
      <t>Une MAEC « systèmes » ou bien correspondant à des enjeux agro-environnementaux localisés sur une zone du territoire a été contractualisée durant les 5 années du projet</t>
    </r>
  </si>
  <si>
    <r>
      <rPr>
        <rFont val="Calibri"/>
        <color theme="1"/>
        <sz val="11.0"/>
      </rPr>
      <t xml:space="preserve">• </t>
    </r>
    <r>
      <rPr>
        <rFont val="Calibri"/>
        <color theme="1"/>
        <sz val="11.0"/>
      </rPr>
      <t>L'exloitation agricole a débuté sa conversion à l'agriculture biologique durant les 5 années du projet</t>
    </r>
  </si>
  <si>
    <t>Bonus et rabais : Valeur globale</t>
  </si>
  <si>
    <t>RABAIS ou BONUS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</si>
</sst>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8">
    <numFmt numFmtId="164" formatCode="_-* #,##0.00\ _€_-;\-* #,##0.00\ _€_-;_-* &quot;-&quot;??\ _€_-;_-@"/>
    <numFmt numFmtId="165" formatCode="_-* #,##0.00_-;\-* #,##0.00_-;_-* &quot;-&quot;??_-;_-@"/>
    <numFmt numFmtId="166" formatCode="0.000"/>
    <numFmt numFmtId="167" formatCode="0.0000"/>
    <numFmt numFmtId="168" formatCode="0.0"/>
    <numFmt numFmtId="169" formatCode="0.0%"/>
    <numFmt numFmtId="170" formatCode="0.00000"/>
    <numFmt numFmtId="171" formatCode="0.0000000000000"/>
  </numFmts>
  <fonts count="22">
    <font>
      <sz val="11.0"/>
      <color theme="1"/>
      <name val="Calibri"/>
      <scheme val="minor"/>
    </font>
    <font>
      <sz val="11.0"/>
      <color theme="1"/>
      <name val="Calibri"/>
    </font>
    <font>
      <sz val="11.0"/>
      <color rgb="FFFF0000"/>
      <name val="Calibri"/>
    </font>
    <font>
      <b/>
      <u/>
      <sz val="11.0"/>
      <color theme="1"/>
      <name val="Calibri"/>
    </font>
    <font>
      <b/>
      <sz val="11.0"/>
      <color theme="0"/>
      <name val="Calibri"/>
    </font>
    <font>
      <b/>
      <sz val="11.0"/>
      <color theme="1"/>
      <name val="Calibri"/>
    </font>
    <font>
      <b/>
      <sz val="26.0"/>
      <color theme="1"/>
      <name val="Calibri"/>
    </font>
    <font>
      <sz val="11.0"/>
      <color rgb="FFFFFFFF"/>
      <name val="Calibri"/>
    </font>
    <font/>
    <font>
      <sz val="10.0"/>
      <color theme="1"/>
      <name val="Calibri"/>
    </font>
    <font>
      <sz val="11.0"/>
      <color theme="0"/>
      <name val="Calibri"/>
    </font>
    <font>
      <sz val="9.0"/>
      <color theme="1"/>
      <name val="Calibri"/>
    </font>
    <font>
      <sz val="11.0"/>
      <color rgb="FF000000"/>
      <name val="Calibri"/>
    </font>
    <font>
      <sz val="7.0"/>
      <color theme="1"/>
      <name val="Calibri"/>
    </font>
    <font>
      <b/>
      <sz val="10.0"/>
      <color theme="1"/>
      <name val="Calibri"/>
    </font>
    <font>
      <b/>
      <sz val="18.0"/>
      <color theme="1"/>
      <name val="Calibri"/>
    </font>
    <font>
      <color theme="1"/>
      <name val="Calibri"/>
    </font>
    <font>
      <u/>
      <sz val="11.0"/>
      <color theme="10"/>
      <name val="Calibri"/>
    </font>
    <font>
      <u/>
      <sz val="11.0"/>
      <color theme="10"/>
      <name val="Calibri"/>
    </font>
    <font>
      <color theme="1"/>
      <name val="Calibri"/>
      <scheme val="minor"/>
    </font>
    <font>
      <b/>
      <sz val="14.0"/>
      <color theme="0"/>
      <name val="Calibri"/>
    </font>
    <font>
      <b/>
      <sz val="9.0"/>
      <color theme="1"/>
      <name val="Calibri"/>
    </font>
  </fonts>
  <fills count="21">
    <fill>
      <patternFill patternType="none"/>
    </fill>
    <fill>
      <patternFill patternType="lightGray"/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7030A0"/>
        <bgColor rgb="FF7030A0"/>
      </patternFill>
    </fill>
    <fill>
      <patternFill patternType="solid">
        <fgColor rgb="FF44546A"/>
        <bgColor rgb="FF44546A"/>
      </patternFill>
    </fill>
    <fill>
      <patternFill patternType="solid">
        <fgColor rgb="FFDEEAF6"/>
        <bgColor rgb="FFDEEAF6"/>
      </patternFill>
    </fill>
    <fill>
      <patternFill patternType="solid">
        <fgColor rgb="FFFFE598"/>
        <bgColor rgb="FFFFE598"/>
      </patternFill>
    </fill>
    <fill>
      <patternFill patternType="solid">
        <fgColor rgb="FFC5E0B3"/>
        <bgColor rgb="FFC5E0B3"/>
      </patternFill>
    </fill>
    <fill>
      <patternFill patternType="solid">
        <fgColor rgb="FFBFBFBF"/>
        <bgColor rgb="FFBFBFBF"/>
      </patternFill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D0CECE"/>
        <bgColor rgb="FFD0CECE"/>
      </patternFill>
    </fill>
    <fill>
      <patternFill patternType="solid">
        <fgColor rgb="FFECECEC"/>
        <bgColor rgb="FFECECEC"/>
      </patternFill>
    </fill>
    <fill>
      <patternFill patternType="solid">
        <fgColor rgb="FF99FF66"/>
        <bgColor rgb="FF99FF66"/>
      </patternFill>
    </fill>
    <fill>
      <patternFill patternType="solid">
        <fgColor rgb="FFE7E6E6"/>
        <bgColor rgb="FFE7E6E6"/>
      </patternFill>
    </fill>
    <fill>
      <patternFill patternType="solid">
        <fgColor rgb="FFD8D8D8"/>
        <bgColor rgb="FFD8D8D8"/>
      </patternFill>
    </fill>
    <fill>
      <patternFill patternType="solid">
        <fgColor rgb="FFFF5050"/>
        <bgColor rgb="FFFF5050"/>
      </patternFill>
    </fill>
    <fill>
      <patternFill patternType="solid">
        <fgColor rgb="FF92D050"/>
        <bgColor rgb="FF92D050"/>
      </patternFill>
    </fill>
    <fill>
      <patternFill patternType="solid">
        <fgColor rgb="FFF7CAAC"/>
        <bgColor rgb="FFF7CAAC"/>
      </patternFill>
    </fill>
  </fills>
  <borders count="111">
    <border/>
    <border>
      <left/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top/>
      <bottom/>
    </border>
    <border>
      <top/>
      <bottom/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/>
      <bottom/>
    </border>
    <border>
      <left style="thin">
        <color rgb="FF000000"/>
      </left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right style="thin">
        <color rgb="FF000000"/>
      </right>
    </border>
    <border>
      <left style="thin">
        <color rgb="FF000000"/>
      </left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/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right style="medium">
        <color rgb="FF000000"/>
      </right>
      <bottom style="medium">
        <color rgb="FF000000"/>
      </bottom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/>
      <bottom/>
    </border>
    <border>
      <left style="medium">
        <color rgb="FF000000"/>
      </left>
      <right/>
      <top style="medium">
        <color rgb="FF000000"/>
      </top>
      <bottom style="thin">
        <color rgb="FF000000"/>
      </bottom>
    </border>
    <border>
      <left/>
      <right/>
      <top style="medium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top style="thin">
        <color rgb="FF000000"/>
      </top>
    </border>
    <border>
      <left/>
      <right style="thin">
        <color rgb="FF000000"/>
      </right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bottom style="thin">
        <color rgb="FF000000"/>
      </bottom>
    </border>
    <border>
      <left/>
      <right style="thin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left/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 style="thin">
        <color theme="0"/>
      </left>
      <top style="thin">
        <color theme="0"/>
      </top>
      <bottom style="thin">
        <color theme="0"/>
      </bottom>
    </border>
    <border>
      <right style="thin">
        <color theme="0"/>
      </right>
      <top style="thin">
        <color theme="0"/>
      </top>
      <bottom style="thin">
        <color theme="0"/>
      </bottom>
    </border>
    <border>
      <left style="thick">
        <color theme="0"/>
      </left>
      <top style="thick">
        <color theme="0"/>
      </top>
      <bottom style="thick">
        <color theme="0"/>
      </bottom>
    </border>
    <border>
      <right style="thick">
        <color theme="0"/>
      </right>
      <top style="thick">
        <color theme="0"/>
      </top>
      <bottom style="thick">
        <color theme="0"/>
      </bottom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theme="0"/>
      </left>
      <top style="thin">
        <color theme="0"/>
      </top>
      <bottom/>
    </border>
    <border>
      <right style="thin">
        <color theme="0"/>
      </right>
      <top style="thin">
        <color theme="0"/>
      </top>
      <bottom/>
    </border>
    <border>
      <left/>
      <right/>
      <top/>
    </border>
    <border>
      <left/>
      <right/>
    </border>
    <border>
      <left/>
      <right/>
      <bottom style="medium">
        <color rgb="FF000000"/>
      </bottom>
    </border>
  </borders>
  <cellStyleXfs count="1">
    <xf borderId="0" fillId="0" fontId="0" numFmtId="0" applyAlignment="1" applyFont="1"/>
  </cellStyleXfs>
  <cellXfs count="46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top"/>
    </xf>
    <xf borderId="0" fillId="0" fontId="1" numFmtId="0" xfId="0" applyAlignment="1" applyFont="1">
      <alignment horizontal="left" shrinkToFit="0" vertical="top" wrapText="1"/>
    </xf>
    <xf borderId="1" fillId="2" fontId="1" numFmtId="0" xfId="0" applyAlignment="1" applyBorder="1" applyFill="1" applyFont="1">
      <alignment horizontal="left" vertical="top"/>
    </xf>
    <xf borderId="0" fillId="0" fontId="2" numFmtId="0" xfId="0" applyAlignment="1" applyFont="1">
      <alignment horizontal="left" vertical="top"/>
    </xf>
    <xf borderId="1" fillId="3" fontId="1" numFmtId="0" xfId="0" applyAlignment="1" applyBorder="1" applyFill="1" applyFont="1">
      <alignment horizontal="left" vertical="top"/>
    </xf>
    <xf borderId="1" fillId="4" fontId="1" numFmtId="0" xfId="0" applyAlignment="1" applyBorder="1" applyFill="1" applyFont="1">
      <alignment horizontal="left" vertical="top"/>
    </xf>
    <xf borderId="0" fillId="0" fontId="1" numFmtId="0" xfId="0" applyFont="1"/>
    <xf borderId="0" fillId="0" fontId="1" numFmtId="164" xfId="0" applyFont="1" applyNumberFormat="1"/>
    <xf borderId="0" fillId="0" fontId="3" numFmtId="0" xfId="0" applyFont="1"/>
    <xf borderId="2" fillId="3" fontId="4" numFmtId="165" xfId="0" applyAlignment="1" applyBorder="1" applyFont="1" applyNumberFormat="1">
      <alignment horizontal="right" vertical="center"/>
    </xf>
    <xf borderId="2" fillId="3" fontId="4" numFmtId="164" xfId="0" applyBorder="1" applyFont="1" applyNumberFormat="1"/>
    <xf borderId="0" fillId="0" fontId="1" numFmtId="0" xfId="0" applyAlignment="1" applyFont="1">
      <alignment vertical="top"/>
    </xf>
    <xf borderId="0" fillId="0" fontId="1" numFmtId="0" xfId="0" applyAlignment="1" applyFont="1">
      <alignment shrinkToFit="0" wrapText="1"/>
    </xf>
    <xf borderId="0" fillId="0" fontId="1" numFmtId="9" xfId="0" applyFont="1" applyNumberFormat="1"/>
    <xf borderId="2" fillId="3" fontId="4" numFmtId="165" xfId="0" applyBorder="1" applyFont="1" applyNumberFormat="1"/>
    <xf borderId="0" fillId="0" fontId="1" numFmtId="0" xfId="0" applyAlignment="1" applyFont="1">
      <alignment horizontal="left" shrinkToFit="0" wrapText="1"/>
    </xf>
    <xf borderId="2" fillId="3" fontId="4" numFmtId="9" xfId="0" applyBorder="1" applyFont="1" applyNumberFormat="1"/>
    <xf borderId="0" fillId="0" fontId="1" numFmtId="0" xfId="0" applyAlignment="1" applyFont="1">
      <alignment horizontal="right" shrinkToFit="0" wrapText="1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right"/>
    </xf>
    <xf borderId="2" fillId="3" fontId="4" numFmtId="0" xfId="0" applyAlignment="1" applyBorder="1" applyFont="1">
      <alignment horizontal="center"/>
    </xf>
    <xf borderId="2" fillId="3" fontId="4" numFmtId="9" xfId="0" applyAlignment="1" applyBorder="1" applyFont="1" applyNumberFormat="1">
      <alignment horizontal="center"/>
    </xf>
    <xf borderId="0" fillId="0" fontId="1" numFmtId="165" xfId="0" applyFont="1" applyNumberFormat="1"/>
    <xf borderId="2" fillId="3" fontId="4" numFmtId="1" xfId="0" applyAlignment="1" applyBorder="1" applyFont="1" applyNumberFormat="1">
      <alignment horizontal="center"/>
    </xf>
    <xf borderId="3" fillId="3" fontId="4" numFmtId="0" xfId="0" applyAlignment="1" applyBorder="1" applyFont="1">
      <alignment horizontal="center"/>
    </xf>
    <xf borderId="0" fillId="0" fontId="2" numFmtId="0" xfId="0" applyAlignment="1" applyFont="1">
      <alignment shrinkToFit="0" wrapText="1"/>
    </xf>
    <xf borderId="0" fillId="0" fontId="1" numFmtId="166" xfId="0" applyAlignment="1" applyFont="1" applyNumberFormat="1">
      <alignment horizontal="right"/>
    </xf>
    <xf borderId="2" fillId="3" fontId="4" numFmtId="165" xfId="0" applyAlignment="1" applyBorder="1" applyFont="1" applyNumberFormat="1">
      <alignment horizontal="center"/>
    </xf>
    <xf borderId="0" fillId="0" fontId="1" numFmtId="167" xfId="0" applyFont="1" applyNumberFormat="1"/>
    <xf borderId="0" fillId="0" fontId="5" numFmtId="0" xfId="0" applyFont="1"/>
    <xf borderId="0" fillId="0" fontId="6" numFmtId="0" xfId="0" applyAlignment="1" applyFont="1">
      <alignment horizontal="left"/>
    </xf>
    <xf borderId="1" fillId="5" fontId="7" numFmtId="0" xfId="0" applyAlignment="1" applyBorder="1" applyFill="1" applyFont="1">
      <alignment horizontal="left" vertical="center"/>
    </xf>
    <xf borderId="1" fillId="5" fontId="6" numFmtId="0" xfId="0" applyAlignment="1" applyBorder="1" applyFont="1">
      <alignment horizontal="left"/>
    </xf>
    <xf borderId="4" fillId="5" fontId="6" numFmtId="0" xfId="0" applyAlignment="1" applyBorder="1" applyFont="1">
      <alignment horizontal="center"/>
    </xf>
    <xf borderId="5" fillId="0" fontId="8" numFmtId="0" xfId="0" applyBorder="1" applyFont="1"/>
    <xf borderId="1" fillId="5" fontId="6" numFmtId="0" xfId="0" applyAlignment="1" applyBorder="1" applyFont="1">
      <alignment horizontal="center"/>
    </xf>
    <xf borderId="1" fillId="5" fontId="6" numFmtId="0" xfId="0" applyBorder="1" applyFont="1"/>
    <xf borderId="6" fillId="6" fontId="1" numFmtId="0" xfId="0" applyAlignment="1" applyBorder="1" applyFill="1" applyFont="1">
      <alignment horizontal="center" vertical="center"/>
    </xf>
    <xf borderId="7" fillId="0" fontId="8" numFmtId="0" xfId="0" applyBorder="1" applyFont="1"/>
    <xf borderId="8" fillId="0" fontId="8" numFmtId="0" xfId="0" applyBorder="1" applyFont="1"/>
    <xf borderId="9" fillId="0" fontId="8" numFmtId="0" xfId="0" applyBorder="1" applyFont="1"/>
    <xf borderId="10" fillId="6" fontId="1" numFmtId="0" xfId="0" applyAlignment="1" applyBorder="1" applyFont="1">
      <alignment horizontal="center" vertical="center"/>
    </xf>
    <xf borderId="6" fillId="7" fontId="1" numFmtId="0" xfId="0" applyAlignment="1" applyBorder="1" applyFill="1" applyFont="1">
      <alignment horizontal="center" vertical="center"/>
    </xf>
    <xf borderId="6" fillId="8" fontId="1" numFmtId="0" xfId="0" applyAlignment="1" applyBorder="1" applyFill="1" applyFont="1">
      <alignment horizontal="center" vertical="center"/>
    </xf>
    <xf borderId="6" fillId="9" fontId="1" numFmtId="0" xfId="0" applyAlignment="1" applyBorder="1" applyFill="1" applyFont="1">
      <alignment horizontal="center" vertical="center"/>
    </xf>
    <xf borderId="10" fillId="9" fontId="1" numFmtId="0" xfId="0" applyAlignment="1" applyBorder="1" applyFont="1">
      <alignment horizontal="center" vertical="center"/>
    </xf>
    <xf borderId="0" fillId="0" fontId="1" numFmtId="0" xfId="0" applyAlignment="1" applyFont="1">
      <alignment vertical="center"/>
    </xf>
    <xf borderId="0" fillId="0" fontId="1" numFmtId="0" xfId="0" applyAlignment="1" applyFont="1">
      <alignment horizontal="left" vertical="center"/>
    </xf>
    <xf borderId="11" fillId="0" fontId="1" numFmtId="0" xfId="0" applyAlignment="1" applyBorder="1" applyFont="1">
      <alignment horizontal="center" vertical="center"/>
    </xf>
    <xf borderId="12" fillId="0" fontId="8" numFmtId="0" xfId="0" applyBorder="1" applyFont="1"/>
    <xf borderId="13" fillId="0" fontId="8" numFmtId="0" xfId="0" applyBorder="1" applyFont="1"/>
    <xf borderId="14" fillId="0" fontId="1" numFmtId="0" xfId="0" applyAlignment="1" applyBorder="1" applyFont="1">
      <alignment horizontal="center" vertical="center"/>
    </xf>
    <xf borderId="15" fillId="0" fontId="8" numFmtId="0" xfId="0" applyBorder="1" applyFont="1"/>
    <xf borderId="11" fillId="10" fontId="1" numFmtId="0" xfId="0" applyAlignment="1" applyBorder="1" applyFill="1" applyFont="1">
      <alignment horizontal="center" vertical="center"/>
    </xf>
    <xf borderId="11" fillId="11" fontId="1" numFmtId="0" xfId="0" applyAlignment="1" applyBorder="1" applyFill="1" applyFont="1">
      <alignment horizontal="center" vertical="center"/>
    </xf>
    <xf borderId="14" fillId="11" fontId="1" numFmtId="0" xfId="0" applyAlignment="1" applyBorder="1" applyFont="1">
      <alignment horizontal="center" vertical="center"/>
    </xf>
    <xf borderId="11" fillId="2" fontId="1" numFmtId="0" xfId="0" applyAlignment="1" applyBorder="1" applyFont="1">
      <alignment horizontal="center" vertical="center"/>
    </xf>
    <xf borderId="11" fillId="2" fontId="1" numFmtId="0" xfId="0" applyAlignment="1" applyBorder="1" applyFont="1">
      <alignment horizontal="center" readingOrder="0" vertical="center"/>
    </xf>
    <xf borderId="14" fillId="2" fontId="1" numFmtId="0" xfId="0" applyAlignment="1" applyBorder="1" applyFont="1">
      <alignment horizontal="center" vertical="center"/>
    </xf>
    <xf borderId="14" fillId="0" fontId="1" numFmtId="0" xfId="0" applyAlignment="1" applyBorder="1" applyFont="1">
      <alignment horizontal="center" shrinkToFit="0" vertical="center" wrapText="1"/>
    </xf>
    <xf borderId="14" fillId="0" fontId="9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horizontal="left"/>
    </xf>
    <xf borderId="16" fillId="0" fontId="1" numFmtId="0" xfId="0" applyAlignment="1" applyBorder="1" applyFont="1">
      <alignment horizontal="left" shrinkToFit="0" vertical="center" wrapText="1"/>
    </xf>
    <xf borderId="17" fillId="0" fontId="1" numFmtId="0" xfId="0" applyAlignment="1" applyBorder="1" applyFont="1">
      <alignment horizontal="left" shrinkToFit="0" vertical="center" wrapText="1"/>
    </xf>
    <xf borderId="18" fillId="0" fontId="1" numFmtId="0" xfId="0" applyAlignment="1" applyBorder="1" applyFont="1">
      <alignment horizontal="left" shrinkToFit="0" vertical="center" wrapText="1"/>
    </xf>
    <xf borderId="0" fillId="0" fontId="1" numFmtId="0" xfId="0" applyAlignment="1" applyFont="1">
      <alignment shrinkToFit="0" vertical="center" wrapText="1"/>
    </xf>
    <xf borderId="14" fillId="0" fontId="1" numFmtId="0" xfId="0" applyAlignment="1" applyBorder="1" applyFont="1">
      <alignment horizontal="center" readingOrder="0" vertical="center"/>
    </xf>
    <xf borderId="16" fillId="2" fontId="1" numFmtId="2" xfId="0" applyAlignment="1" applyBorder="1" applyFont="1" applyNumberFormat="1">
      <alignment horizontal="left" readingOrder="0"/>
    </xf>
    <xf borderId="17" fillId="2" fontId="1" numFmtId="2" xfId="0" applyAlignment="1" applyBorder="1" applyFont="1" applyNumberFormat="1">
      <alignment horizontal="left" readingOrder="0"/>
    </xf>
    <xf borderId="18" fillId="2" fontId="1" numFmtId="2" xfId="0" applyAlignment="1" applyBorder="1" applyFont="1" applyNumberFormat="1">
      <alignment horizontal="left" readingOrder="0"/>
    </xf>
    <xf borderId="17" fillId="2" fontId="1" numFmtId="2" xfId="0" applyAlignment="1" applyBorder="1" applyFont="1" applyNumberFormat="1">
      <alignment horizontal="right" readingOrder="0"/>
    </xf>
    <xf borderId="17" fillId="2" fontId="1" numFmtId="2" xfId="0" applyAlignment="1" applyBorder="1" applyFont="1" applyNumberFormat="1">
      <alignment horizontal="left" readingOrder="0" shrinkToFit="0" wrapText="1"/>
    </xf>
    <xf borderId="19" fillId="2" fontId="1" numFmtId="2" xfId="0" applyAlignment="1" applyBorder="1" applyFont="1" applyNumberFormat="1">
      <alignment horizontal="left" readingOrder="0"/>
    </xf>
    <xf borderId="20" fillId="2" fontId="1" numFmtId="2" xfId="0" applyAlignment="1" applyBorder="1" applyFont="1" applyNumberFormat="1">
      <alignment horizontal="left" readingOrder="0"/>
    </xf>
    <xf borderId="21" fillId="2" fontId="1" numFmtId="2" xfId="0" applyAlignment="1" applyBorder="1" applyFont="1" applyNumberFormat="1">
      <alignment horizontal="left" readingOrder="0"/>
    </xf>
    <xf borderId="20" fillId="2" fontId="1" numFmtId="2" xfId="0" applyAlignment="1" applyBorder="1" applyFont="1" applyNumberFormat="1">
      <alignment horizontal="right" readingOrder="0"/>
    </xf>
    <xf borderId="22" fillId="5" fontId="10" numFmtId="0" xfId="0" applyAlignment="1" applyBorder="1" applyFont="1">
      <alignment horizontal="left"/>
    </xf>
    <xf borderId="23" fillId="5" fontId="10" numFmtId="0" xfId="0" applyBorder="1" applyFont="1"/>
    <xf borderId="1" fillId="5" fontId="10" numFmtId="0" xfId="0" applyBorder="1" applyFont="1"/>
    <xf borderId="1" fillId="5" fontId="1" numFmtId="0" xfId="0" applyBorder="1" applyFont="1"/>
    <xf borderId="24" fillId="0" fontId="1" numFmtId="0" xfId="0" applyAlignment="1" applyBorder="1" applyFont="1">
      <alignment horizontal="center" vertical="center"/>
    </xf>
    <xf borderId="25" fillId="12" fontId="1" numFmtId="0" xfId="0" applyAlignment="1" applyBorder="1" applyFill="1" applyFont="1">
      <alignment horizontal="center" vertical="center"/>
    </xf>
    <xf borderId="26" fillId="0" fontId="8" numFmtId="0" xfId="0" applyBorder="1" applyFont="1"/>
    <xf borderId="27" fillId="0" fontId="8" numFmtId="0" xfId="0" applyBorder="1" applyFont="1"/>
    <xf borderId="1" fillId="12" fontId="1" numFmtId="0" xfId="0" applyAlignment="1" applyBorder="1" applyFont="1">
      <alignment horizontal="center" vertical="center"/>
    </xf>
    <xf borderId="22" fillId="7" fontId="1" numFmtId="0" xfId="0" applyAlignment="1" applyBorder="1" applyFont="1">
      <alignment horizontal="center" shrinkToFit="0" vertical="center" wrapText="1"/>
    </xf>
    <xf borderId="28" fillId="0" fontId="8" numFmtId="0" xfId="0" applyBorder="1" applyFont="1"/>
    <xf borderId="22" fillId="8" fontId="1" numFmtId="0" xfId="0" applyAlignment="1" applyBorder="1" applyFont="1">
      <alignment horizontal="center" vertical="center"/>
    </xf>
    <xf borderId="22" fillId="13" fontId="1" numFmtId="0" xfId="0" applyAlignment="1" applyBorder="1" applyFill="1" applyFont="1">
      <alignment horizontal="center" shrinkToFit="1" vertical="center" wrapText="0"/>
    </xf>
    <xf borderId="25" fillId="13" fontId="1" numFmtId="0" xfId="0" applyAlignment="1" applyBorder="1" applyFont="1">
      <alignment horizontal="center" vertical="center"/>
    </xf>
    <xf borderId="29" fillId="0" fontId="8" numFmtId="0" xfId="0" applyBorder="1" applyFont="1"/>
    <xf borderId="6" fillId="6" fontId="1" numFmtId="0" xfId="0" applyAlignment="1" applyBorder="1" applyFont="1">
      <alignment horizontal="center" shrinkToFit="1" vertical="center" wrapText="0"/>
    </xf>
    <xf borderId="30" fillId="10" fontId="1" numFmtId="0" xfId="0" applyAlignment="1" applyBorder="1" applyFont="1">
      <alignment horizontal="center" shrinkToFit="1" vertical="center" wrapText="0"/>
    </xf>
    <xf borderId="31" fillId="0" fontId="8" numFmtId="0" xfId="0" applyBorder="1" applyFont="1"/>
    <xf borderId="30" fillId="11" fontId="1" numFmtId="0" xfId="0" applyAlignment="1" applyBorder="1" applyFont="1">
      <alignment horizontal="center" shrinkToFit="1" vertical="center" wrapText="0"/>
    </xf>
    <xf borderId="32" fillId="0" fontId="8" numFmtId="0" xfId="0" applyBorder="1" applyFont="1"/>
    <xf borderId="33" fillId="0" fontId="8" numFmtId="0" xfId="0" applyBorder="1" applyFont="1"/>
    <xf borderId="34" fillId="11" fontId="1" numFmtId="0" xfId="0" applyAlignment="1" applyBorder="1" applyFont="1">
      <alignment horizontal="center" shrinkToFit="1" vertical="center" wrapText="0"/>
    </xf>
    <xf borderId="30" fillId="14" fontId="1" numFmtId="0" xfId="0" applyAlignment="1" applyBorder="1" applyFill="1" applyFont="1">
      <alignment horizontal="center" shrinkToFit="1" vertical="center" wrapText="0"/>
    </xf>
    <xf borderId="34" fillId="14" fontId="1" numFmtId="0" xfId="0" applyAlignment="1" applyBorder="1" applyFont="1">
      <alignment horizontal="center" readingOrder="0" shrinkToFit="1" vertical="center" wrapText="0"/>
    </xf>
    <xf borderId="34" fillId="14" fontId="1" numFmtId="0" xfId="0" applyAlignment="1" applyBorder="1" applyFont="1">
      <alignment horizontal="center" shrinkToFit="1" vertical="center" wrapText="0"/>
    </xf>
    <xf borderId="34" fillId="0" fontId="1" numFmtId="0" xfId="0" applyAlignment="1" applyBorder="1" applyFont="1">
      <alignment horizontal="center" shrinkToFit="0" vertical="center" wrapText="1"/>
    </xf>
    <xf borderId="34" fillId="0" fontId="9" numFmtId="0" xfId="0" applyAlignment="1" applyBorder="1" applyFont="1">
      <alignment horizontal="center" shrinkToFit="0" vertical="center" wrapText="1"/>
    </xf>
    <xf borderId="34" fillId="0" fontId="11" numFmtId="0" xfId="0" applyAlignment="1" applyBorder="1" applyFont="1">
      <alignment horizontal="center" shrinkToFit="0" vertical="center" wrapText="1"/>
    </xf>
    <xf borderId="11" fillId="0" fontId="1" numFmtId="0" xfId="0" applyAlignment="1" applyBorder="1" applyFont="1">
      <alignment horizontal="center" shrinkToFit="1" vertical="center" wrapText="0"/>
    </xf>
    <xf borderId="14" fillId="0" fontId="1" numFmtId="0" xfId="0" applyAlignment="1" applyBorder="1" applyFont="1">
      <alignment horizontal="center" shrinkToFit="1" vertical="center" wrapText="0"/>
    </xf>
    <xf borderId="14" fillId="0" fontId="1" numFmtId="0" xfId="0" applyAlignment="1" applyBorder="1" applyFont="1">
      <alignment horizontal="center"/>
    </xf>
    <xf borderId="35" fillId="0" fontId="8" numFmtId="0" xfId="0" applyBorder="1" applyFont="1"/>
    <xf borderId="36" fillId="0" fontId="8" numFmtId="0" xfId="0" applyBorder="1" applyFont="1"/>
    <xf borderId="37" fillId="0" fontId="8" numFmtId="0" xfId="0" applyBorder="1" applyFont="1"/>
    <xf borderId="38" fillId="0" fontId="8" numFmtId="0" xfId="0" applyBorder="1" applyFont="1"/>
    <xf borderId="39" fillId="0" fontId="1" numFmtId="0" xfId="0" applyAlignment="1" applyBorder="1" applyFont="1">
      <alignment horizontal="center" shrinkToFit="1" vertical="center" wrapText="0"/>
    </xf>
    <xf borderId="24" fillId="0" fontId="1" numFmtId="0" xfId="0" applyAlignment="1" applyBorder="1" applyFont="1">
      <alignment horizontal="center" shrinkToFit="1" vertical="center" wrapText="0"/>
    </xf>
    <xf borderId="40" fillId="0" fontId="8" numFmtId="0" xfId="0" applyBorder="1" applyFont="1"/>
    <xf borderId="41" fillId="0" fontId="8" numFmtId="0" xfId="0" applyBorder="1" applyFont="1"/>
    <xf borderId="42" fillId="0" fontId="8" numFmtId="0" xfId="0" applyBorder="1" applyFont="1"/>
    <xf borderId="43" fillId="0" fontId="8" numFmtId="0" xfId="0" applyBorder="1" applyFont="1"/>
    <xf borderId="44" fillId="0" fontId="8" numFmtId="0" xfId="0" applyBorder="1" applyFont="1"/>
    <xf borderId="45" fillId="0" fontId="8" numFmtId="0" xfId="0" applyBorder="1" applyFont="1"/>
    <xf borderId="16" fillId="0" fontId="1" numFmtId="0" xfId="0" applyAlignment="1" applyBorder="1" applyFont="1">
      <alignment horizontal="center" shrinkToFit="1" vertical="center" wrapText="0"/>
    </xf>
    <xf borderId="17" fillId="0" fontId="1" numFmtId="0" xfId="0" applyAlignment="1" applyBorder="1" applyFont="1">
      <alignment horizontal="center" shrinkToFit="1" vertical="center" wrapText="0"/>
    </xf>
    <xf borderId="18" fillId="0" fontId="1" numFmtId="0" xfId="0" applyAlignment="1" applyBorder="1" applyFont="1">
      <alignment horizontal="center" shrinkToFit="1" vertical="center" wrapText="0"/>
    </xf>
    <xf borderId="46" fillId="0" fontId="8" numFmtId="0" xfId="0" applyBorder="1" applyFont="1"/>
    <xf borderId="16" fillId="0" fontId="1" numFmtId="0" xfId="0" applyAlignment="1" applyBorder="1" applyFont="1">
      <alignment shrinkToFit="1" vertical="center" wrapText="0"/>
    </xf>
    <xf borderId="18" fillId="0" fontId="1" numFmtId="0" xfId="0" applyAlignment="1" applyBorder="1" applyFont="1">
      <alignment shrinkToFit="1" vertical="center" wrapText="0"/>
    </xf>
    <xf borderId="17" fillId="0" fontId="1" numFmtId="0" xfId="0" applyAlignment="1" applyBorder="1" applyFont="1">
      <alignment horizontal="center" vertical="center"/>
    </xf>
    <xf borderId="17" fillId="0" fontId="1" numFmtId="0" xfId="0" applyAlignment="1" applyBorder="1" applyFont="1">
      <alignment shrinkToFit="1" vertical="center" wrapText="0"/>
    </xf>
    <xf borderId="16" fillId="0" fontId="1" numFmtId="2" xfId="0" applyAlignment="1" applyBorder="1" applyFont="1" applyNumberFormat="1">
      <alignment horizontal="center" vertical="center"/>
    </xf>
    <xf borderId="17" fillId="0" fontId="1" numFmtId="9" xfId="0" applyAlignment="1" applyBorder="1" applyFont="1" applyNumberFormat="1">
      <alignment horizontal="center" vertical="center"/>
    </xf>
    <xf borderId="24" fillId="15" fontId="1" numFmtId="0" xfId="0" applyAlignment="1" applyBorder="1" applyFill="1" applyFont="1">
      <alignment horizontal="center" vertical="center"/>
    </xf>
    <xf borderId="17" fillId="0" fontId="1" numFmtId="2" xfId="0" applyAlignment="1" applyBorder="1" applyFont="1" applyNumberFormat="1">
      <alignment horizontal="center" vertical="center"/>
    </xf>
    <xf borderId="17" fillId="0" fontId="1" numFmtId="10" xfId="0" applyAlignment="1" applyBorder="1" applyFont="1" applyNumberFormat="1">
      <alignment horizontal="center" vertical="center"/>
    </xf>
    <xf borderId="17" fillId="0" fontId="1" numFmtId="2" xfId="0" applyAlignment="1" applyBorder="1" applyFont="1" applyNumberFormat="1">
      <alignment horizontal="center"/>
    </xf>
    <xf borderId="17" fillId="0" fontId="1" numFmtId="168" xfId="0" applyAlignment="1" applyBorder="1" applyFont="1" applyNumberFormat="1">
      <alignment horizontal="center"/>
    </xf>
    <xf borderId="17" fillId="2" fontId="1" numFmtId="169" xfId="0" applyAlignment="1" applyBorder="1" applyFont="1" applyNumberFormat="1">
      <alignment horizontal="center" readingOrder="0"/>
    </xf>
    <xf borderId="17" fillId="15" fontId="1" numFmtId="9" xfId="0" applyAlignment="1" applyBorder="1" applyFont="1" applyNumberFormat="1">
      <alignment horizontal="center"/>
    </xf>
    <xf borderId="17" fillId="2" fontId="1" numFmtId="169" xfId="0" applyAlignment="1" applyBorder="1" applyFont="1" applyNumberFormat="1">
      <alignment readingOrder="0"/>
    </xf>
    <xf borderId="17" fillId="0" fontId="1" numFmtId="9" xfId="0" applyAlignment="1" applyBorder="1" applyFont="1" applyNumberFormat="1">
      <alignment horizontal="center"/>
    </xf>
    <xf borderId="17" fillId="2" fontId="1" numFmtId="9" xfId="0" applyAlignment="1" applyBorder="1" applyFont="1" applyNumberFormat="1">
      <alignment readingOrder="0"/>
    </xf>
    <xf borderId="47" fillId="15" fontId="1" numFmtId="0" xfId="0" applyAlignment="1" applyBorder="1" applyFont="1">
      <alignment horizontal="center" vertical="center"/>
    </xf>
    <xf borderId="16" fillId="0" fontId="1" numFmtId="2" xfId="0" applyAlignment="1" applyBorder="1" applyFont="1" applyNumberFormat="1">
      <alignment horizontal="center"/>
    </xf>
    <xf borderId="17" fillId="0" fontId="1" numFmtId="9" xfId="0" applyBorder="1" applyFont="1" applyNumberFormat="1"/>
    <xf borderId="17" fillId="2" fontId="1" numFmtId="9" xfId="0" applyAlignment="1" applyBorder="1" applyFont="1" applyNumberFormat="1">
      <alignment horizontal="center" readingOrder="0" vertical="center"/>
    </xf>
    <xf borderId="17" fillId="2" fontId="12" numFmtId="9" xfId="0" applyAlignment="1" applyBorder="1" applyFont="1" applyNumberFormat="1">
      <alignment horizontal="center" readingOrder="0" shrinkToFit="0" vertical="bottom" wrapText="0"/>
    </xf>
    <xf borderId="17" fillId="0" fontId="1" numFmtId="0" xfId="0" applyAlignment="1" applyBorder="1" applyFont="1">
      <alignment horizontal="center"/>
    </xf>
    <xf borderId="39" fillId="0" fontId="1" numFmtId="2" xfId="0" applyAlignment="1" applyBorder="1" applyFont="1" applyNumberFormat="1">
      <alignment horizontal="center" vertical="center"/>
    </xf>
    <xf borderId="24" fillId="2" fontId="1" numFmtId="166" xfId="0" applyAlignment="1" applyBorder="1" applyFont="1" applyNumberFormat="1">
      <alignment horizontal="center" vertical="center"/>
    </xf>
    <xf borderId="24" fillId="2" fontId="12" numFmtId="166" xfId="0" applyAlignment="1" applyBorder="1" applyFont="1" applyNumberFormat="1">
      <alignment horizontal="center" readingOrder="0" shrinkToFit="0" vertical="center" wrapText="0"/>
    </xf>
    <xf borderId="17" fillId="0" fontId="1" numFmtId="2" xfId="0" applyBorder="1" applyFont="1" applyNumberFormat="1"/>
    <xf borderId="48" fillId="0" fontId="8" numFmtId="0" xfId="0" applyBorder="1" applyFont="1"/>
    <xf borderId="45" fillId="2" fontId="12" numFmtId="9" xfId="0" applyAlignment="1" applyBorder="1" applyFont="1" applyNumberFormat="1">
      <alignment horizontal="center" readingOrder="0" shrinkToFit="0" vertical="bottom" wrapText="0"/>
    </xf>
    <xf borderId="19" fillId="0" fontId="1" numFmtId="2" xfId="0" applyAlignment="1" applyBorder="1" applyFont="1" applyNumberFormat="1">
      <alignment horizontal="center" vertical="center"/>
    </xf>
    <xf borderId="20" fillId="0" fontId="1" numFmtId="9" xfId="0" applyAlignment="1" applyBorder="1" applyFont="1" applyNumberFormat="1">
      <alignment horizontal="center" vertical="center"/>
    </xf>
    <xf borderId="20" fillId="0" fontId="1" numFmtId="0" xfId="0" applyAlignment="1" applyBorder="1" applyFont="1">
      <alignment horizontal="center" vertical="center"/>
    </xf>
    <xf borderId="49" fillId="0" fontId="8" numFmtId="0" xfId="0" applyBorder="1" applyFont="1"/>
    <xf borderId="20" fillId="0" fontId="1" numFmtId="2" xfId="0" applyAlignment="1" applyBorder="1" applyFont="1" applyNumberFormat="1">
      <alignment horizontal="center" vertical="center"/>
    </xf>
    <xf borderId="20" fillId="0" fontId="1" numFmtId="10" xfId="0" applyAlignment="1" applyBorder="1" applyFont="1" applyNumberFormat="1">
      <alignment horizontal="center" vertical="center"/>
    </xf>
    <xf borderId="20" fillId="0" fontId="1" numFmtId="2" xfId="0" applyAlignment="1" applyBorder="1" applyFont="1" applyNumberFormat="1">
      <alignment horizontal="center"/>
    </xf>
    <xf borderId="20" fillId="0" fontId="1" numFmtId="168" xfId="0" applyAlignment="1" applyBorder="1" applyFont="1" applyNumberFormat="1">
      <alignment horizontal="center"/>
    </xf>
    <xf borderId="20" fillId="2" fontId="1" numFmtId="169" xfId="0" applyAlignment="1" applyBorder="1" applyFont="1" applyNumberFormat="1">
      <alignment horizontal="center" readingOrder="0"/>
    </xf>
    <xf borderId="20" fillId="15" fontId="1" numFmtId="9" xfId="0" applyAlignment="1" applyBorder="1" applyFont="1" applyNumberFormat="1">
      <alignment horizontal="center"/>
    </xf>
    <xf borderId="20" fillId="2" fontId="1" numFmtId="169" xfId="0" applyAlignment="1" applyBorder="1" applyFont="1" applyNumberFormat="1">
      <alignment readingOrder="0"/>
    </xf>
    <xf borderId="20" fillId="0" fontId="1" numFmtId="9" xfId="0" applyAlignment="1" applyBorder="1" applyFont="1" applyNumberFormat="1">
      <alignment horizontal="center"/>
    </xf>
    <xf borderId="20" fillId="2" fontId="1" numFmtId="9" xfId="0" applyAlignment="1" applyBorder="1" applyFont="1" applyNumberFormat="1">
      <alignment readingOrder="0"/>
    </xf>
    <xf borderId="50" fillId="0" fontId="8" numFmtId="0" xfId="0" applyBorder="1" applyFont="1"/>
    <xf borderId="19" fillId="0" fontId="1" numFmtId="2" xfId="0" applyAlignment="1" applyBorder="1" applyFont="1" applyNumberFormat="1">
      <alignment horizontal="center"/>
    </xf>
    <xf borderId="20" fillId="0" fontId="1" numFmtId="9" xfId="0" applyBorder="1" applyFont="1" applyNumberFormat="1"/>
    <xf borderId="20" fillId="2" fontId="1" numFmtId="9" xfId="0" applyAlignment="1" applyBorder="1" applyFont="1" applyNumberFormat="1">
      <alignment horizontal="center" readingOrder="0" vertical="center"/>
    </xf>
    <xf borderId="20" fillId="0" fontId="1" numFmtId="0" xfId="0" applyAlignment="1" applyBorder="1" applyFont="1">
      <alignment horizontal="center"/>
    </xf>
    <xf borderId="20" fillId="0" fontId="1" numFmtId="2" xfId="0" applyBorder="1" applyFont="1" applyNumberFormat="1"/>
    <xf borderId="17" fillId="5" fontId="10" numFmtId="0" xfId="0" applyAlignment="1" applyBorder="1" applyFont="1">
      <alignment horizontal="center" vertical="center"/>
    </xf>
    <xf borderId="51" fillId="5" fontId="10" numFmtId="2" xfId="0" applyAlignment="1" applyBorder="1" applyFont="1" applyNumberFormat="1">
      <alignment horizontal="center" vertical="center"/>
    </xf>
    <xf borderId="51" fillId="5" fontId="10" numFmtId="0" xfId="0" applyAlignment="1" applyBorder="1" applyFont="1">
      <alignment horizontal="center" vertical="center"/>
    </xf>
    <xf borderId="51" fillId="5" fontId="10" numFmtId="0" xfId="0" applyAlignment="1" applyBorder="1" applyFont="1">
      <alignment horizontal="center"/>
    </xf>
    <xf borderId="51" fillId="5" fontId="10" numFmtId="168" xfId="0" applyAlignment="1" applyBorder="1" applyFont="1" applyNumberFormat="1">
      <alignment horizontal="center" vertical="center"/>
    </xf>
    <xf borderId="51" fillId="5" fontId="10" numFmtId="2" xfId="0" applyAlignment="1" applyBorder="1" applyFont="1" applyNumberFormat="1">
      <alignment horizontal="center"/>
    </xf>
    <xf borderId="52" fillId="5" fontId="10" numFmtId="2" xfId="0" applyAlignment="1" applyBorder="1" applyFont="1" applyNumberFormat="1">
      <alignment horizontal="center" vertical="center"/>
    </xf>
    <xf borderId="0" fillId="0" fontId="10" numFmtId="0" xfId="0" applyAlignment="1" applyFont="1">
      <alignment horizontal="center" vertical="center"/>
    </xf>
    <xf borderId="53" fillId="5" fontId="10" numFmtId="0" xfId="0" applyAlignment="1" applyBorder="1" applyFont="1">
      <alignment horizontal="center" vertical="center"/>
    </xf>
    <xf borderId="0" fillId="0" fontId="10" numFmtId="0" xfId="0" applyAlignment="1" applyFont="1">
      <alignment horizontal="center"/>
    </xf>
    <xf borderId="1" fillId="5" fontId="10" numFmtId="0" xfId="0" applyAlignment="1" applyBorder="1" applyFont="1">
      <alignment horizontal="center"/>
    </xf>
    <xf borderId="29" fillId="0" fontId="1" numFmtId="0" xfId="0" applyAlignment="1" applyBorder="1" applyFont="1">
      <alignment horizontal="center" vertical="center"/>
    </xf>
    <xf borderId="54" fillId="5" fontId="7" numFmtId="0" xfId="0" applyAlignment="1" applyBorder="1" applyFont="1">
      <alignment vertical="center"/>
    </xf>
    <xf borderId="54" fillId="5" fontId="10" numFmtId="0" xfId="0" applyAlignment="1" applyBorder="1" applyFont="1">
      <alignment vertical="center"/>
    </xf>
    <xf borderId="0" fillId="0" fontId="10" numFmtId="0" xfId="0" applyFont="1"/>
    <xf borderId="55" fillId="6" fontId="1" numFmtId="0" xfId="0" applyAlignment="1" applyBorder="1" applyFont="1">
      <alignment vertical="center"/>
    </xf>
    <xf borderId="56" fillId="6" fontId="1" numFmtId="0" xfId="0" applyAlignment="1" applyBorder="1" applyFont="1">
      <alignment vertical="center"/>
    </xf>
    <xf borderId="57" fillId="6" fontId="1" numFmtId="0" xfId="0" applyAlignment="1" applyBorder="1" applyFont="1">
      <alignment vertical="center"/>
    </xf>
    <xf borderId="55" fillId="10" fontId="1" numFmtId="0" xfId="0" applyAlignment="1" applyBorder="1" applyFont="1">
      <alignment shrinkToFit="1" vertical="center" wrapText="0"/>
    </xf>
    <xf borderId="14" fillId="13" fontId="1" numFmtId="0" xfId="0" applyAlignment="1" applyBorder="1" applyFont="1">
      <alignment horizontal="center" shrinkToFit="1" vertical="center" wrapText="0"/>
    </xf>
    <xf borderId="24" fillId="16" fontId="5" numFmtId="0" xfId="0" applyAlignment="1" applyBorder="1" applyFill="1" applyFont="1">
      <alignment horizontal="center" shrinkToFit="1" vertical="center" wrapText="0"/>
    </xf>
    <xf borderId="0" fillId="0" fontId="1" numFmtId="0" xfId="0" applyAlignment="1" applyFont="1">
      <alignment horizontal="center" vertical="center"/>
    </xf>
    <xf borderId="58" fillId="0" fontId="13" numFmtId="0" xfId="0" applyAlignment="1" applyBorder="1" applyFont="1">
      <alignment horizontal="center" shrinkToFit="1" vertical="center" wrapText="0"/>
    </xf>
    <xf borderId="24" fillId="0" fontId="13" numFmtId="0" xfId="0" applyAlignment="1" applyBorder="1" applyFont="1">
      <alignment horizontal="center" shrinkToFit="1" vertical="center" wrapText="0"/>
    </xf>
    <xf borderId="17" fillId="0" fontId="5" numFmtId="0" xfId="0" applyBorder="1" applyFont="1"/>
    <xf borderId="17" fillId="0" fontId="5" numFmtId="165" xfId="0" applyBorder="1" applyFont="1" applyNumberFormat="1"/>
    <xf borderId="0" fillId="0" fontId="1" numFmtId="20" xfId="0" applyFont="1" applyNumberFormat="1"/>
    <xf borderId="17" fillId="4" fontId="10" numFmtId="0" xfId="0" applyAlignment="1" applyBorder="1" applyFont="1">
      <alignment horizontal="center" vertical="center"/>
    </xf>
    <xf borderId="1" fillId="5" fontId="7" numFmtId="0" xfId="0" applyAlignment="1" applyBorder="1" applyFont="1">
      <alignment vertical="center"/>
    </xf>
    <xf borderId="1" fillId="5" fontId="10" numFmtId="0" xfId="0" applyAlignment="1" applyBorder="1" applyFont="1">
      <alignment vertical="center"/>
    </xf>
    <xf borderId="14" fillId="6" fontId="1" numFmtId="0" xfId="0" applyAlignment="1" applyBorder="1" applyFont="1">
      <alignment horizontal="center" vertical="center"/>
    </xf>
    <xf borderId="14" fillId="11" fontId="1" numFmtId="0" xfId="0" applyAlignment="1" applyBorder="1" applyFont="1">
      <alignment horizontal="center" shrinkToFit="1" vertical="center" wrapText="0"/>
    </xf>
    <xf borderId="14" fillId="13" fontId="1" numFmtId="0" xfId="0" applyAlignment="1" applyBorder="1" applyFont="1">
      <alignment horizontal="center" shrinkToFit="1" wrapText="0"/>
    </xf>
    <xf borderId="24" fillId="16" fontId="14" numFmtId="0" xfId="0" applyAlignment="1" applyBorder="1" applyFont="1">
      <alignment horizontal="center" shrinkToFit="1" vertical="center" wrapText="0"/>
    </xf>
    <xf borderId="58" fillId="0" fontId="13" numFmtId="0" xfId="0" applyAlignment="1" applyBorder="1" applyFont="1">
      <alignment shrinkToFit="1" vertical="center" wrapText="0"/>
    </xf>
    <xf borderId="59" fillId="17" fontId="13" numFmtId="0" xfId="0" applyAlignment="1" applyBorder="1" applyFill="1" applyFont="1">
      <alignment shrinkToFit="1" vertical="center" wrapText="0"/>
    </xf>
    <xf borderId="13" fillId="0" fontId="1" numFmtId="0" xfId="0" applyAlignment="1" applyBorder="1" applyFont="1">
      <alignment horizontal="center" vertical="center"/>
    </xf>
    <xf borderId="17" fillId="0" fontId="5" numFmtId="0" xfId="0" applyAlignment="1" applyBorder="1" applyFont="1">
      <alignment horizontal="center" vertical="center"/>
    </xf>
    <xf borderId="17" fillId="2" fontId="5" numFmtId="0" xfId="0" applyAlignment="1" applyBorder="1" applyFont="1">
      <alignment horizontal="center" vertical="center"/>
    </xf>
    <xf borderId="14" fillId="0" fontId="5" numFmtId="0" xfId="0" applyAlignment="1" applyBorder="1" applyFont="1">
      <alignment horizontal="center" vertical="center"/>
    </xf>
    <xf borderId="14" fillId="0" fontId="1" numFmtId="2" xfId="0" applyAlignment="1" applyBorder="1" applyFont="1" applyNumberFormat="1">
      <alignment horizontal="center" vertical="center"/>
    </xf>
    <xf borderId="14" fillId="0" fontId="5" numFmtId="0" xfId="0" applyAlignment="1" applyBorder="1" applyFont="1">
      <alignment horizontal="center"/>
    </xf>
    <xf borderId="17" fillId="0" fontId="5" numFmtId="0" xfId="0" applyAlignment="1" applyBorder="1" applyFont="1">
      <alignment horizontal="center" shrinkToFit="1" vertical="center" wrapText="0"/>
    </xf>
    <xf borderId="17" fillId="0" fontId="5" numFmtId="165" xfId="0" applyAlignment="1" applyBorder="1" applyFont="1" applyNumberFormat="1">
      <alignment horizontal="center" vertical="center"/>
    </xf>
    <xf borderId="30" fillId="0" fontId="5" numFmtId="0" xfId="0" applyAlignment="1" applyBorder="1" applyFont="1">
      <alignment horizontal="center" shrinkToFit="0" wrapText="1"/>
    </xf>
    <xf borderId="60" fillId="3" fontId="4" numFmtId="0" xfId="0" applyAlignment="1" applyBorder="1" applyFont="1">
      <alignment horizontal="center" vertical="center"/>
    </xf>
    <xf borderId="61" fillId="0" fontId="1" numFmtId="0" xfId="0" applyBorder="1" applyFont="1"/>
    <xf borderId="17" fillId="0" fontId="1" numFmtId="168" xfId="0" applyAlignment="1" applyBorder="1" applyFont="1" applyNumberFormat="1">
      <alignment horizontal="center" vertical="center"/>
    </xf>
    <xf borderId="55" fillId="18" fontId="10" numFmtId="0" xfId="0" applyAlignment="1" applyBorder="1" applyFill="1" applyFont="1">
      <alignment horizontal="center" vertical="center"/>
    </xf>
    <xf borderId="13" fillId="0" fontId="1" numFmtId="0" xfId="0" applyBorder="1" applyFont="1"/>
    <xf borderId="17" fillId="5" fontId="4" numFmtId="0" xfId="0" applyAlignment="1" applyBorder="1" applyFont="1">
      <alignment horizontal="center" vertical="center"/>
    </xf>
    <xf borderId="17" fillId="5" fontId="10" numFmtId="2" xfId="0" applyAlignment="1" applyBorder="1" applyFont="1" applyNumberFormat="1">
      <alignment horizontal="center" vertical="center"/>
    </xf>
    <xf borderId="17" fillId="4" fontId="4" numFmtId="0" xfId="0" applyAlignment="1" applyBorder="1" applyFont="1">
      <alignment horizontal="center" vertical="center"/>
    </xf>
    <xf borderId="0" fillId="0" fontId="4" numFmtId="0" xfId="0" applyAlignment="1" applyFont="1">
      <alignment horizontal="center" vertical="center"/>
    </xf>
    <xf borderId="59" fillId="8" fontId="1" numFmtId="0" xfId="0" applyAlignment="1" applyBorder="1" applyFont="1">
      <alignment horizontal="left"/>
    </xf>
    <xf borderId="62" fillId="8" fontId="1" numFmtId="0" xfId="0" applyBorder="1" applyFont="1"/>
    <xf borderId="62" fillId="8" fontId="1" numFmtId="0" xfId="0" applyAlignment="1" applyBorder="1" applyFont="1">
      <alignment horizontal="right"/>
    </xf>
    <xf borderId="63" fillId="8" fontId="1" numFmtId="0" xfId="0" applyBorder="1" applyFont="1"/>
    <xf borderId="57" fillId="19" fontId="1" numFmtId="170" xfId="0" applyBorder="1" applyFill="1" applyFont="1" applyNumberFormat="1"/>
    <xf borderId="23" fillId="8" fontId="1" numFmtId="0" xfId="0" applyAlignment="1" applyBorder="1" applyFont="1">
      <alignment horizontal="left"/>
    </xf>
    <xf borderId="1" fillId="8" fontId="1" numFmtId="0" xfId="0" applyBorder="1" applyFont="1"/>
    <xf borderId="1" fillId="8" fontId="1" numFmtId="0" xfId="0" applyAlignment="1" applyBorder="1" applyFont="1">
      <alignment horizontal="right"/>
    </xf>
    <xf borderId="64" fillId="8" fontId="1" numFmtId="0" xfId="0" applyBorder="1" applyFont="1"/>
    <xf borderId="52" fillId="8" fontId="1" numFmtId="0" xfId="0" applyAlignment="1" applyBorder="1" applyFont="1">
      <alignment horizontal="left"/>
    </xf>
    <xf borderId="54" fillId="8" fontId="1" numFmtId="0" xfId="0" applyBorder="1" applyFont="1"/>
    <xf borderId="54" fillId="8" fontId="1" numFmtId="0" xfId="0" applyAlignment="1" applyBorder="1" applyFont="1">
      <alignment horizontal="right"/>
    </xf>
    <xf borderId="53" fillId="8" fontId="1" numFmtId="0" xfId="0" applyBorder="1" applyFont="1"/>
    <xf borderId="55" fillId="20" fontId="1" numFmtId="0" xfId="0" applyAlignment="1" applyBorder="1" applyFill="1" applyFont="1">
      <alignment horizontal="left"/>
    </xf>
    <xf borderId="56" fillId="20" fontId="1" numFmtId="0" xfId="0" applyBorder="1" applyFont="1"/>
    <xf borderId="17" fillId="20" fontId="1" numFmtId="0" xfId="0" applyBorder="1" applyFont="1"/>
    <xf borderId="24" fillId="0" fontId="1" numFmtId="0" xfId="0" applyAlignment="1" applyBorder="1" applyFont="1">
      <alignment horizontal="center" shrinkToFit="0" vertical="center" wrapText="1"/>
    </xf>
    <xf borderId="58" fillId="0" fontId="13" numFmtId="0" xfId="0" applyAlignment="1" applyBorder="1" applyFont="1">
      <alignment horizontal="center" shrinkToFit="0" vertical="center" wrapText="1"/>
    </xf>
    <xf borderId="24" fillId="0" fontId="13" numFmtId="0" xfId="0" applyAlignment="1" applyBorder="1" applyFont="1">
      <alignment horizontal="center" shrinkToFit="0" vertical="center" wrapText="1"/>
    </xf>
    <xf borderId="17" fillId="0" fontId="1" numFmtId="0" xfId="0" applyAlignment="1" applyBorder="1" applyFont="1">
      <alignment shrinkToFit="1" wrapText="0"/>
    </xf>
    <xf borderId="17" fillId="17" fontId="1" numFmtId="0" xfId="0" applyAlignment="1" applyBorder="1" applyFont="1">
      <alignment shrinkToFit="1" wrapText="0"/>
    </xf>
    <xf borderId="17" fillId="0" fontId="1" numFmtId="0" xfId="0" applyBorder="1" applyFont="1"/>
    <xf borderId="0" fillId="0" fontId="1" numFmtId="166" xfId="0" applyFont="1" applyNumberFormat="1"/>
    <xf borderId="1" fillId="5" fontId="10" numFmtId="0" xfId="0" applyAlignment="1" applyBorder="1" applyFont="1">
      <alignment horizontal="left" vertical="center"/>
    </xf>
    <xf borderId="11" fillId="0" fontId="1" numFmtId="0" xfId="0" applyAlignment="1" applyBorder="1" applyFont="1">
      <alignment horizontal="center" shrinkToFit="0" vertical="center" wrapText="1"/>
    </xf>
    <xf borderId="16" fillId="2" fontId="1" numFmtId="2" xfId="0" applyAlignment="1" applyBorder="1" applyFont="1" applyNumberFormat="1">
      <alignment horizontal="left"/>
    </xf>
    <xf borderId="17" fillId="2" fontId="1" numFmtId="0" xfId="0" applyAlignment="1" applyBorder="1" applyFont="1">
      <alignment horizontal="left"/>
    </xf>
    <xf borderId="17" fillId="2" fontId="1" numFmtId="2" xfId="0" applyAlignment="1" applyBorder="1" applyFont="1" applyNumberFormat="1">
      <alignment horizontal="left"/>
    </xf>
    <xf borderId="18" fillId="2" fontId="1" numFmtId="0" xfId="0" applyAlignment="1" applyBorder="1" applyFont="1">
      <alignment horizontal="left"/>
    </xf>
    <xf borderId="16" fillId="2" fontId="1" numFmtId="0" xfId="0" applyAlignment="1" applyBorder="1" applyFont="1">
      <alignment horizontal="left" readingOrder="0"/>
    </xf>
    <xf borderId="16" fillId="2" fontId="1" numFmtId="0" xfId="0" applyAlignment="1" applyBorder="1" applyFont="1">
      <alignment horizontal="left"/>
    </xf>
    <xf borderId="19" fillId="2" fontId="1" numFmtId="2" xfId="0" applyAlignment="1" applyBorder="1" applyFont="1" applyNumberFormat="1">
      <alignment horizontal="left"/>
    </xf>
    <xf borderId="20" fillId="2" fontId="1" numFmtId="0" xfId="0" applyAlignment="1" applyBorder="1" applyFont="1">
      <alignment horizontal="left"/>
    </xf>
    <xf borderId="20" fillId="2" fontId="1" numFmtId="2" xfId="0" applyAlignment="1" applyBorder="1" applyFont="1" applyNumberFormat="1">
      <alignment horizontal="left"/>
    </xf>
    <xf borderId="21" fillId="2" fontId="1" numFmtId="0" xfId="0" applyAlignment="1" applyBorder="1" applyFont="1">
      <alignment horizontal="left"/>
    </xf>
    <xf borderId="19" fillId="2" fontId="1" numFmtId="0" xfId="0" applyAlignment="1" applyBorder="1" applyFont="1">
      <alignment horizontal="left"/>
    </xf>
    <xf borderId="44" fillId="0" fontId="1" numFmtId="0" xfId="0" applyAlignment="1" applyBorder="1" applyFont="1">
      <alignment horizontal="left"/>
    </xf>
    <xf borderId="42" fillId="0" fontId="1" numFmtId="0" xfId="0" applyAlignment="1" applyBorder="1" applyFont="1">
      <alignment horizontal="left"/>
    </xf>
    <xf borderId="30" fillId="0" fontId="1" numFmtId="0" xfId="0" applyAlignment="1" applyBorder="1" applyFont="1">
      <alignment horizontal="center" shrinkToFit="0" vertical="center" wrapText="1"/>
    </xf>
    <xf borderId="17" fillId="2" fontId="1" numFmtId="9" xfId="0" applyAlignment="1" applyBorder="1" applyFont="1" applyNumberFormat="1">
      <alignment horizontal="center" readingOrder="0"/>
    </xf>
    <xf borderId="17" fillId="2" fontId="1" numFmtId="9" xfId="0" applyBorder="1" applyFont="1" applyNumberFormat="1"/>
    <xf borderId="17" fillId="2" fontId="1" numFmtId="9" xfId="0" applyAlignment="1" applyBorder="1" applyFont="1" applyNumberFormat="1">
      <alignment horizontal="center"/>
    </xf>
    <xf borderId="17" fillId="2" fontId="1" numFmtId="9" xfId="0" applyAlignment="1" applyBorder="1" applyFont="1" applyNumberFormat="1">
      <alignment horizontal="center" vertical="center"/>
    </xf>
    <xf borderId="16" fillId="0" fontId="1" numFmtId="0" xfId="0" applyAlignment="1" applyBorder="1" applyFont="1">
      <alignment horizontal="center" vertical="center"/>
    </xf>
    <xf borderId="16" fillId="0" fontId="1" numFmtId="0" xfId="0" applyAlignment="1" applyBorder="1" applyFont="1">
      <alignment horizontal="center"/>
    </xf>
    <xf borderId="47" fillId="2" fontId="1" numFmtId="166" xfId="0" applyAlignment="1" applyBorder="1" applyFont="1" applyNumberFormat="1">
      <alignment horizontal="center" vertical="center"/>
    </xf>
    <xf borderId="16" fillId="0" fontId="1" numFmtId="0" xfId="0" applyBorder="1" applyFont="1"/>
    <xf borderId="20" fillId="2" fontId="1" numFmtId="9" xfId="0" applyBorder="1" applyFont="1" applyNumberFormat="1"/>
    <xf borderId="20" fillId="2" fontId="1" numFmtId="9" xfId="0" applyAlignment="1" applyBorder="1" applyFont="1" applyNumberFormat="1">
      <alignment horizontal="center"/>
    </xf>
    <xf borderId="20" fillId="2" fontId="1" numFmtId="9" xfId="0" applyAlignment="1" applyBorder="1" applyFont="1" applyNumberFormat="1">
      <alignment horizontal="center" vertical="center"/>
    </xf>
    <xf borderId="19" fillId="0" fontId="1" numFmtId="0" xfId="0" applyAlignment="1" applyBorder="1" applyFont="1">
      <alignment horizontal="center" vertical="center"/>
    </xf>
    <xf borderId="19" fillId="0" fontId="1" numFmtId="0" xfId="0" applyAlignment="1" applyBorder="1" applyFont="1">
      <alignment horizontal="center"/>
    </xf>
    <xf borderId="19" fillId="0" fontId="1" numFmtId="0" xfId="0" applyBorder="1" applyFont="1"/>
    <xf borderId="20" fillId="0" fontId="1" numFmtId="0" xfId="0" applyBorder="1" applyFont="1"/>
    <xf borderId="52" fillId="5" fontId="10" numFmtId="0" xfId="0" applyAlignment="1" applyBorder="1" applyFont="1">
      <alignment horizontal="center" vertical="center"/>
    </xf>
    <xf borderId="58" fillId="0" fontId="1" numFmtId="0" xfId="0" applyAlignment="1" applyBorder="1" applyFont="1">
      <alignment horizontal="center" vertical="center"/>
    </xf>
    <xf borderId="65" fillId="6" fontId="1" numFmtId="0" xfId="0" applyAlignment="1" applyBorder="1" applyFont="1">
      <alignment vertical="center"/>
    </xf>
    <xf borderId="66" fillId="6" fontId="1" numFmtId="0" xfId="0" applyAlignment="1" applyBorder="1" applyFont="1">
      <alignment vertical="center"/>
    </xf>
    <xf borderId="67" fillId="6" fontId="1" numFmtId="0" xfId="0" applyAlignment="1" applyBorder="1" applyFont="1">
      <alignment vertical="center"/>
    </xf>
    <xf borderId="68" fillId="10" fontId="1" numFmtId="0" xfId="0" applyAlignment="1" applyBorder="1" applyFont="1">
      <alignment shrinkToFit="1" vertical="center" wrapText="0"/>
    </xf>
    <xf borderId="6" fillId="11" fontId="1" numFmtId="0" xfId="0" applyAlignment="1" applyBorder="1" applyFont="1">
      <alignment horizontal="center" vertical="center"/>
    </xf>
    <xf borderId="6" fillId="13" fontId="1" numFmtId="0" xfId="0" applyAlignment="1" applyBorder="1" applyFont="1">
      <alignment horizontal="center" shrinkToFit="1" vertical="center" wrapText="0"/>
    </xf>
    <xf borderId="69" fillId="16" fontId="5" numFmtId="0" xfId="0" applyAlignment="1" applyBorder="1" applyFont="1">
      <alignment horizontal="center" shrinkToFit="1" vertical="center" wrapText="0"/>
    </xf>
    <xf borderId="70" fillId="0" fontId="1" numFmtId="0" xfId="0" applyAlignment="1" applyBorder="1" applyFont="1">
      <alignment horizontal="center" shrinkToFit="1" vertical="center" wrapText="0"/>
    </xf>
    <xf borderId="47" fillId="0" fontId="1" numFmtId="0" xfId="0" applyAlignment="1" applyBorder="1" applyFont="1">
      <alignment horizontal="center" shrinkToFit="1" vertical="center" wrapText="0"/>
    </xf>
    <xf borderId="71" fillId="0" fontId="13" numFmtId="0" xfId="0" applyAlignment="1" applyBorder="1" applyFont="1">
      <alignment horizontal="center" shrinkToFit="1" vertical="center" wrapText="0"/>
    </xf>
    <xf borderId="47" fillId="0" fontId="13" numFmtId="0" xfId="0" applyAlignment="1" applyBorder="1" applyFont="1">
      <alignment horizontal="center" shrinkToFit="1" vertical="center" wrapText="0"/>
    </xf>
    <xf borderId="72" fillId="0" fontId="8" numFmtId="0" xfId="0" applyBorder="1" applyFont="1"/>
    <xf borderId="73" fillId="0" fontId="8" numFmtId="0" xfId="0" applyBorder="1" applyFont="1"/>
    <xf borderId="74" fillId="0" fontId="8" numFmtId="0" xfId="0" applyBorder="1" applyFont="1"/>
    <xf borderId="75" fillId="0" fontId="8" numFmtId="0" xfId="0" applyBorder="1" applyFont="1"/>
    <xf borderId="76" fillId="0" fontId="8" numFmtId="0" xfId="0" applyBorder="1" applyFont="1"/>
    <xf borderId="77" fillId="0" fontId="8" numFmtId="0" xfId="0" applyBorder="1" applyFont="1"/>
    <xf borderId="18" fillId="0" fontId="1" numFmtId="0" xfId="0" applyAlignment="1" applyBorder="1" applyFont="1">
      <alignment horizontal="center" vertical="center"/>
    </xf>
    <xf borderId="78" fillId="0" fontId="1" numFmtId="0" xfId="0" applyAlignment="1" applyBorder="1" applyFont="1">
      <alignment horizontal="center" vertical="center"/>
    </xf>
    <xf borderId="13" fillId="0" fontId="5" numFmtId="168" xfId="0" applyBorder="1" applyFont="1" applyNumberFormat="1"/>
    <xf borderId="17" fillId="0" fontId="5" numFmtId="168" xfId="0" applyBorder="1" applyFont="1" applyNumberFormat="1"/>
    <xf borderId="55" fillId="5" fontId="10" numFmtId="0" xfId="0" applyAlignment="1" applyBorder="1" applyFont="1">
      <alignment horizontal="center" vertical="center"/>
    </xf>
    <xf borderId="19" fillId="5" fontId="10" numFmtId="0" xfId="0" applyAlignment="1" applyBorder="1" applyFont="1">
      <alignment horizontal="center" vertical="center"/>
    </xf>
    <xf borderId="20" fillId="5" fontId="10" numFmtId="0" xfId="0" applyAlignment="1" applyBorder="1" applyFont="1">
      <alignment horizontal="center" vertical="center"/>
    </xf>
    <xf borderId="21" fillId="5" fontId="10" numFmtId="0" xfId="0" applyAlignment="1" applyBorder="1" applyFont="1">
      <alignment horizontal="center" vertical="center"/>
    </xf>
    <xf borderId="79" fillId="5" fontId="10" numFmtId="0" xfId="0" applyAlignment="1" applyBorder="1" applyFont="1">
      <alignment horizontal="center" vertical="center"/>
    </xf>
    <xf borderId="57" fillId="4" fontId="10" numFmtId="168" xfId="0" applyAlignment="1" applyBorder="1" applyFont="1" applyNumberFormat="1">
      <alignment horizontal="center" vertical="center"/>
    </xf>
    <xf borderId="17" fillId="0" fontId="5" numFmtId="168" xfId="0" applyAlignment="1" applyBorder="1" applyFont="1" applyNumberFormat="1">
      <alignment horizontal="center" shrinkToFit="1" vertical="center" wrapText="0"/>
    </xf>
    <xf borderId="17" fillId="0" fontId="5" numFmtId="168" xfId="0" applyAlignment="1" applyBorder="1" applyFont="1" applyNumberFormat="1">
      <alignment horizontal="center" vertical="center"/>
    </xf>
    <xf borderId="0" fillId="0" fontId="1" numFmtId="168" xfId="0" applyFont="1" applyNumberFormat="1"/>
    <xf borderId="30" fillId="0" fontId="5" numFmtId="0" xfId="0" applyAlignment="1" applyBorder="1" applyFont="1">
      <alignment horizontal="center" shrinkToFit="0" vertical="center" wrapText="1"/>
    </xf>
    <xf borderId="60" fillId="3" fontId="4" numFmtId="165" xfId="0" applyAlignment="1" applyBorder="1" applyFont="1" applyNumberFormat="1">
      <alignment horizontal="center" vertical="center"/>
    </xf>
    <xf borderId="60" fillId="3" fontId="4" numFmtId="165" xfId="0" applyBorder="1" applyFont="1" applyNumberFormat="1"/>
    <xf borderId="55" fillId="18" fontId="10" numFmtId="165" xfId="0" applyBorder="1" applyFont="1" applyNumberFormat="1"/>
    <xf borderId="17" fillId="4" fontId="4" numFmtId="168" xfId="0" applyAlignment="1" applyBorder="1" applyFont="1" applyNumberFormat="1">
      <alignment horizontal="center" vertical="center"/>
    </xf>
    <xf borderId="80" fillId="5" fontId="10" numFmtId="0" xfId="0" applyAlignment="1" applyBorder="1" applyFont="1">
      <alignment horizontal="center" vertical="center"/>
    </xf>
    <xf borderId="0" fillId="0" fontId="1" numFmtId="171" xfId="0" applyFont="1" applyNumberFormat="1"/>
    <xf borderId="60" fillId="3" fontId="4" numFmtId="165" xfId="0" applyAlignment="1" applyBorder="1" applyFont="1" applyNumberFormat="1">
      <alignment horizontal="center"/>
    </xf>
    <xf borderId="0" fillId="0" fontId="1" numFmtId="1" xfId="0" applyFont="1" applyNumberFormat="1"/>
    <xf borderId="0" fillId="0" fontId="15" numFmtId="0" xfId="0" applyAlignment="1" applyFont="1">
      <alignment horizontal="left" vertical="center"/>
    </xf>
    <xf borderId="0" fillId="0" fontId="16" numFmtId="0" xfId="0" applyFont="1"/>
    <xf borderId="0" fillId="0" fontId="17" numFmtId="0" xfId="0" applyAlignment="1" applyFont="1">
      <alignment horizontal="center"/>
    </xf>
    <xf borderId="81" fillId="0" fontId="5" numFmtId="0" xfId="0" applyBorder="1" applyFont="1"/>
    <xf borderId="82" fillId="0" fontId="18" numFmtId="0" xfId="0" applyAlignment="1" applyBorder="1" applyFont="1">
      <alignment horizontal="center"/>
    </xf>
    <xf borderId="2" fillId="2" fontId="1" numFmtId="0" xfId="0" applyBorder="1" applyFont="1"/>
    <xf borderId="83" fillId="0" fontId="1" numFmtId="0" xfId="0" applyAlignment="1" applyBorder="1" applyFont="1">
      <alignment horizontal="left"/>
    </xf>
    <xf borderId="17" fillId="0" fontId="5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horizontal="center" shrinkToFit="0" vertical="center" wrapText="1"/>
    </xf>
    <xf borderId="51" fillId="2" fontId="1" numFmtId="0" xfId="0" applyAlignment="1" applyBorder="1" applyFont="1">
      <alignment horizontal="center" readingOrder="0" vertical="center"/>
    </xf>
    <xf borderId="81" fillId="3" fontId="4" numFmtId="0" xfId="0" applyAlignment="1" applyBorder="1" applyFont="1">
      <alignment horizontal="right"/>
    </xf>
    <xf borderId="82" fillId="0" fontId="8" numFmtId="0" xfId="0" applyBorder="1" applyFont="1"/>
    <xf borderId="84" fillId="3" fontId="4" numFmtId="9" xfId="0" applyBorder="1" applyFont="1" applyNumberFormat="1"/>
    <xf borderId="85" fillId="3" fontId="4" numFmtId="0" xfId="0" applyBorder="1" applyFont="1"/>
    <xf borderId="86" fillId="3" fontId="4" numFmtId="0" xfId="0" applyAlignment="1" applyBorder="1" applyFont="1">
      <alignment vertical="center"/>
    </xf>
    <xf borderId="84" fillId="3" fontId="4" numFmtId="0" xfId="0" applyAlignment="1" applyBorder="1" applyFont="1">
      <alignment vertical="center"/>
    </xf>
    <xf borderId="85" fillId="3" fontId="4" numFmtId="0" xfId="0" applyAlignment="1" applyBorder="1" applyFont="1">
      <alignment vertical="center"/>
    </xf>
    <xf borderId="87" fillId="3" fontId="4" numFmtId="0" xfId="0" applyAlignment="1" applyBorder="1" applyFont="1">
      <alignment horizontal="right"/>
    </xf>
    <xf borderId="88" fillId="0" fontId="8" numFmtId="0" xfId="0" applyBorder="1" applyFont="1"/>
    <xf borderId="89" fillId="3" fontId="4" numFmtId="9" xfId="0" applyBorder="1" applyFont="1" applyNumberFormat="1"/>
    <xf borderId="90" fillId="3" fontId="4" numFmtId="0" xfId="0" applyBorder="1" applyFont="1"/>
    <xf borderId="86" fillId="3" fontId="4" numFmtId="0" xfId="0" applyAlignment="1" applyBorder="1" applyFont="1">
      <alignment horizontal="left"/>
    </xf>
    <xf borderId="84" fillId="3" fontId="4" numFmtId="0" xfId="0" applyBorder="1" applyFont="1"/>
    <xf borderId="17" fillId="4" fontId="10" numFmtId="0" xfId="0" applyAlignment="1" applyBorder="1" applyFont="1">
      <alignment horizontal="center" shrinkToFit="0" vertical="center" wrapText="1"/>
    </xf>
    <xf borderId="0" fillId="0" fontId="10" numFmtId="0" xfId="0" applyAlignment="1" applyFont="1">
      <alignment horizontal="center" shrinkToFit="0" vertical="center" wrapText="1"/>
    </xf>
    <xf borderId="86" fillId="3" fontId="1" numFmtId="0" xfId="0" applyBorder="1" applyFont="1"/>
    <xf borderId="84" fillId="3" fontId="1" numFmtId="0" xfId="0" applyBorder="1" applyFont="1"/>
    <xf borderId="2" fillId="3" fontId="5" numFmtId="0" xfId="0" applyAlignment="1" applyBorder="1" applyFont="1">
      <alignment horizontal="center" vertical="center"/>
    </xf>
    <xf borderId="91" fillId="3" fontId="1" numFmtId="0" xfId="0" applyBorder="1" applyFont="1"/>
    <xf borderId="92" fillId="3" fontId="1" numFmtId="0" xfId="0" applyBorder="1" applyFont="1"/>
    <xf borderId="17" fillId="0" fontId="5" numFmtId="0" xfId="0" applyAlignment="1" applyBorder="1" applyFont="1">
      <alignment horizontal="center" shrinkToFit="0" wrapText="1"/>
    </xf>
    <xf borderId="0" fillId="0" fontId="19" numFmtId="0" xfId="0" applyAlignment="1" applyFont="1">
      <alignment shrinkToFit="0" wrapText="1"/>
    </xf>
    <xf borderId="0" fillId="0" fontId="5" numFmtId="0" xfId="0" applyAlignment="1" applyFont="1">
      <alignment horizontal="center" shrinkToFit="1" wrapText="0"/>
    </xf>
    <xf borderId="51" fillId="2" fontId="1" numFmtId="0" xfId="0" applyAlignment="1" applyBorder="1" applyFont="1">
      <alignment horizontal="center" vertical="center"/>
    </xf>
    <xf borderId="81" fillId="3" fontId="10" numFmtId="0" xfId="0" applyAlignment="1" applyBorder="1" applyFont="1">
      <alignment horizontal="center"/>
    </xf>
    <xf borderId="83" fillId="0" fontId="8" numFmtId="0" xfId="0" applyBorder="1" applyFont="1"/>
    <xf borderId="86" fillId="3" fontId="10" numFmtId="9" xfId="0" applyBorder="1" applyFont="1" applyNumberFormat="1"/>
    <xf borderId="85" fillId="3" fontId="10" numFmtId="0" xfId="0" applyBorder="1" applyFont="1"/>
    <xf borderId="0" fillId="0" fontId="4" numFmtId="0" xfId="0" applyAlignment="1" applyFont="1">
      <alignment vertical="center"/>
    </xf>
    <xf borderId="17" fillId="4" fontId="4" numFmtId="0" xfId="0" applyAlignment="1" applyBorder="1" applyFont="1">
      <alignment horizontal="center" shrinkToFit="0" vertical="center" wrapText="1"/>
    </xf>
    <xf borderId="81" fillId="3" fontId="1" numFmtId="0" xfId="0" applyAlignment="1" applyBorder="1" applyFont="1">
      <alignment horizontal="right" shrinkToFit="0" wrapText="1"/>
    </xf>
    <xf borderId="2" fillId="3" fontId="5" numFmtId="1" xfId="0" applyAlignment="1" applyBorder="1" applyFont="1" applyNumberFormat="1">
      <alignment horizontal="right" vertical="center"/>
    </xf>
    <xf borderId="4" fillId="2" fontId="5" numFmtId="0" xfId="0" applyAlignment="1" applyBorder="1" applyFont="1">
      <alignment horizontal="center"/>
    </xf>
    <xf borderId="0" fillId="0" fontId="1" numFmtId="2" xfId="0" applyFont="1" applyNumberFormat="1"/>
    <xf borderId="22" fillId="5" fontId="20" numFmtId="0" xfId="0" applyAlignment="1" applyBorder="1" applyFont="1">
      <alignment horizontal="left" vertical="center"/>
    </xf>
    <xf borderId="52" fillId="5" fontId="10" numFmtId="0" xfId="0" applyBorder="1" applyFont="1"/>
    <xf borderId="54" fillId="5" fontId="10" numFmtId="0" xfId="0" applyBorder="1" applyFont="1"/>
    <xf borderId="52" fillId="5" fontId="10" numFmtId="0" xfId="0" applyAlignment="1" applyBorder="1" applyFont="1">
      <alignment horizontal="left"/>
    </xf>
    <xf borderId="54" fillId="5" fontId="10" numFmtId="0" xfId="0" applyAlignment="1" applyBorder="1" applyFont="1">
      <alignment horizontal="left"/>
    </xf>
    <xf borderId="17" fillId="0" fontId="1" numFmtId="0" xfId="0" applyAlignment="1" applyBorder="1" applyFont="1">
      <alignment horizontal="center" shrinkToFit="0" vertical="center" wrapText="1"/>
    </xf>
    <xf borderId="17" fillId="0" fontId="9" numFmtId="0" xfId="0" applyAlignment="1" applyBorder="1" applyFont="1">
      <alignment horizontal="center" shrinkToFit="1" vertical="center" wrapText="0"/>
    </xf>
    <xf borderId="17" fillId="2" fontId="1" numFmtId="0" xfId="0" applyAlignment="1" applyBorder="1" applyFont="1">
      <alignment horizontal="center" readingOrder="0" vertical="center"/>
    </xf>
    <xf borderId="17" fillId="0" fontId="9" numFmtId="0" xfId="0" applyAlignment="1" applyBorder="1" applyFont="1">
      <alignment horizontal="center" shrinkToFit="0" vertical="center" wrapText="1"/>
    </xf>
    <xf borderId="17" fillId="2" fontId="1" numFmtId="4" xfId="0" applyAlignment="1" applyBorder="1" applyFont="1" applyNumberFormat="1">
      <alignment horizontal="center" readingOrder="0" vertical="center"/>
    </xf>
    <xf borderId="17" fillId="2" fontId="1" numFmtId="165" xfId="0" applyAlignment="1" applyBorder="1" applyFont="1" applyNumberFormat="1">
      <alignment horizontal="center" readingOrder="0" vertical="center"/>
    </xf>
    <xf borderId="2" fillId="0" fontId="5" numFmtId="0" xfId="0" applyAlignment="1" applyBorder="1" applyFont="1">
      <alignment horizontal="center" shrinkToFit="0" vertical="center" wrapText="1"/>
    </xf>
    <xf borderId="93" fillId="0" fontId="5" numFmtId="0" xfId="0" applyAlignment="1" applyBorder="1" applyFont="1">
      <alignment horizontal="center" shrinkToFit="1" vertical="center" wrapText="0"/>
    </xf>
    <xf borderId="17" fillId="0" fontId="1" numFmtId="4" xfId="0" applyAlignment="1" applyBorder="1" applyFont="1" applyNumberFormat="1">
      <alignment horizontal="right"/>
    </xf>
    <xf borderId="60" fillId="4" fontId="4" numFmtId="165" xfId="0" applyAlignment="1" applyBorder="1" applyFont="1" applyNumberFormat="1">
      <alignment horizontal="center" vertical="center"/>
    </xf>
    <xf borderId="17" fillId="0" fontId="1" numFmtId="0" xfId="0" applyAlignment="1" applyBorder="1" applyFont="1">
      <alignment horizontal="right"/>
    </xf>
    <xf borderId="60" fillId="4" fontId="4" numFmtId="165" xfId="0" applyAlignment="1" applyBorder="1" applyFont="1" applyNumberFormat="1">
      <alignment horizontal="center" shrinkToFit="0" vertical="center" wrapText="1"/>
    </xf>
    <xf borderId="94" fillId="4" fontId="10" numFmtId="165" xfId="0" applyAlignment="1" applyBorder="1" applyFont="1" applyNumberFormat="1">
      <alignment horizontal="center" shrinkToFit="0" vertical="center" wrapText="1"/>
    </xf>
    <xf borderId="2" fillId="4" fontId="10" numFmtId="165" xfId="0" applyAlignment="1" applyBorder="1" applyFont="1" applyNumberFormat="1">
      <alignment horizontal="center" shrinkToFit="0" vertical="center" wrapText="1"/>
    </xf>
    <xf borderId="95" fillId="4" fontId="20" numFmtId="0" xfId="0" applyAlignment="1" applyBorder="1" applyFont="1">
      <alignment horizontal="center" shrinkToFit="0" vertical="center" wrapText="1"/>
    </xf>
    <xf borderId="96" fillId="0" fontId="8" numFmtId="0" xfId="0" applyBorder="1" applyFont="1"/>
    <xf borderId="97" fillId="4" fontId="20" numFmtId="0" xfId="0" applyAlignment="1" applyBorder="1" applyFont="1">
      <alignment horizontal="center" shrinkToFit="0" vertical="center" wrapText="1"/>
    </xf>
    <xf borderId="98" fillId="0" fontId="8" numFmtId="0" xfId="0" applyBorder="1" applyFont="1"/>
    <xf borderId="99" fillId="4" fontId="4" numFmtId="0" xfId="0" applyAlignment="1" applyBorder="1" applyFont="1">
      <alignment horizontal="center" shrinkToFit="0" vertical="center" wrapText="1"/>
    </xf>
    <xf borderId="100" fillId="4" fontId="4" numFmtId="0" xfId="0" applyAlignment="1" applyBorder="1" applyFont="1">
      <alignment horizontal="center" shrinkToFit="0" vertical="center" wrapText="1"/>
    </xf>
    <xf borderId="99" fillId="4" fontId="10" numFmtId="0" xfId="0" applyAlignment="1" applyBorder="1" applyFont="1">
      <alignment horizontal="center" shrinkToFit="0" vertical="center" wrapText="1"/>
    </xf>
    <xf borderId="99" fillId="4" fontId="10" numFmtId="9" xfId="0" applyAlignment="1" applyBorder="1" applyFont="1" applyNumberFormat="1">
      <alignment horizontal="center" vertical="center"/>
    </xf>
    <xf borderId="100" fillId="4" fontId="10" numFmtId="0" xfId="0" applyAlignment="1" applyBorder="1" applyFont="1">
      <alignment horizontal="center" shrinkToFit="0" vertical="center" wrapText="1"/>
    </xf>
    <xf borderId="100" fillId="4" fontId="10" numFmtId="9" xfId="0" applyAlignment="1" applyBorder="1" applyFont="1" applyNumberFormat="1">
      <alignment horizontal="center" vertical="center"/>
    </xf>
    <xf borderId="68" fillId="0" fontId="1" numFmtId="0" xfId="0" applyAlignment="1" applyBorder="1" applyFont="1">
      <alignment horizontal="center" vertical="center"/>
    </xf>
    <xf borderId="101" fillId="0" fontId="1" numFmtId="0" xfId="0" applyAlignment="1" applyBorder="1" applyFont="1">
      <alignment horizontal="center" vertical="center"/>
    </xf>
    <xf borderId="102" fillId="0" fontId="1" numFmtId="0" xfId="0" applyAlignment="1" applyBorder="1" applyFont="1">
      <alignment horizontal="center" vertical="center"/>
    </xf>
    <xf borderId="93" fillId="0" fontId="21" numFmtId="0" xfId="0" applyAlignment="1" applyBorder="1" applyFont="1">
      <alignment horizontal="center" shrinkToFit="0" wrapText="1"/>
    </xf>
    <xf borderId="103" fillId="0" fontId="1" numFmtId="0" xfId="0" applyAlignment="1" applyBorder="1" applyFont="1">
      <alignment horizontal="center" vertical="center"/>
    </xf>
    <xf borderId="30" fillId="0" fontId="21" numFmtId="0" xfId="0" applyAlignment="1" applyBorder="1" applyFont="1">
      <alignment horizontal="center" shrinkToFit="0" wrapText="1"/>
    </xf>
    <xf borderId="30" fillId="0" fontId="21" numFmtId="0" xfId="0" applyAlignment="1" applyBorder="1" applyFont="1">
      <alignment horizontal="center" shrinkToFit="0" vertical="center" wrapText="1"/>
    </xf>
    <xf borderId="93" fillId="0" fontId="21" numFmtId="0" xfId="0" applyAlignment="1" applyBorder="1" applyFont="1">
      <alignment horizontal="center" shrinkToFit="0" vertical="center" wrapText="1"/>
    </xf>
    <xf borderId="0" fillId="0" fontId="5" numFmtId="0" xfId="0" applyAlignment="1" applyFont="1">
      <alignment horizontal="center" shrinkToFit="1" vertical="center" wrapText="0"/>
    </xf>
    <xf borderId="78" fillId="0" fontId="1" numFmtId="0" xfId="0" applyBorder="1" applyFont="1"/>
    <xf borderId="16" fillId="0" fontId="1" numFmtId="0" xfId="0" applyAlignment="1" applyBorder="1" applyFont="1">
      <alignment shrinkToFit="1" wrapText="0"/>
    </xf>
    <xf borderId="18" fillId="0" fontId="1" numFmtId="0" xfId="0" applyAlignment="1" applyBorder="1" applyFont="1">
      <alignment shrinkToFit="1" wrapText="0"/>
    </xf>
    <xf borderId="0" fillId="0" fontId="1" numFmtId="0" xfId="0" applyAlignment="1" applyFont="1">
      <alignment shrinkToFit="1" wrapText="0"/>
    </xf>
    <xf borderId="46" fillId="0" fontId="1" numFmtId="0" xfId="0" applyBorder="1" applyFont="1"/>
    <xf borderId="45" fillId="0" fontId="1" numFmtId="0" xfId="0" applyBorder="1" applyFont="1"/>
    <xf borderId="75" fillId="0" fontId="1" numFmtId="0" xfId="0" applyBorder="1" applyFont="1"/>
    <xf borderId="46" fillId="0" fontId="1" numFmtId="0" xfId="0" applyAlignment="1" applyBorder="1" applyFont="1">
      <alignment horizontal="left" vertical="center"/>
    </xf>
    <xf borderId="18" fillId="0" fontId="1" numFmtId="0" xfId="0" applyBorder="1" applyFont="1"/>
    <xf borderId="104" fillId="0" fontId="8" numFmtId="0" xfId="0" applyBorder="1" applyFont="1"/>
    <xf borderId="105" fillId="0" fontId="8" numFmtId="0" xfId="0" applyBorder="1" applyFont="1"/>
    <xf borderId="55" fillId="2" fontId="1" numFmtId="0" xfId="0" applyAlignment="1" applyBorder="1" applyFont="1">
      <alignment horizontal="center" readingOrder="0" shrinkToFit="0" vertical="center" wrapText="0"/>
    </xf>
    <xf borderId="16" fillId="2" fontId="1" numFmtId="0" xfId="0" applyAlignment="1" applyBorder="1" applyFont="1">
      <alignment readingOrder="0"/>
    </xf>
    <xf borderId="17" fillId="2" fontId="1" numFmtId="0" xfId="0" applyAlignment="1" applyBorder="1" applyFont="1">
      <alignment readingOrder="0"/>
    </xf>
    <xf borderId="18" fillId="2" fontId="1" numFmtId="0" xfId="0" applyAlignment="1" applyBorder="1" applyFont="1">
      <alignment readingOrder="0"/>
    </xf>
    <xf borderId="16" fillId="2" fontId="1" numFmtId="0" xfId="0" applyAlignment="1" applyBorder="1" applyFont="1">
      <alignment horizontal="right" readingOrder="0" vertical="center"/>
    </xf>
    <xf borderId="16" fillId="2" fontId="1" numFmtId="0" xfId="0" applyAlignment="1" applyBorder="1" applyFont="1">
      <alignment horizontal="right" readingOrder="0"/>
    </xf>
    <xf borderId="17" fillId="2" fontId="1" numFmtId="168" xfId="0" applyBorder="1" applyFont="1" applyNumberFormat="1"/>
    <xf borderId="60" fillId="4" fontId="4" numFmtId="166" xfId="0" applyAlignment="1" applyBorder="1" applyFont="1" applyNumberFormat="1">
      <alignment horizontal="right"/>
    </xf>
    <xf borderId="17" fillId="2" fontId="1" numFmtId="1" xfId="0" applyBorder="1" applyFont="1" applyNumberFormat="1"/>
    <xf borderId="11" fillId="0" fontId="1" numFmtId="2" xfId="0" applyAlignment="1" applyBorder="1" applyFont="1" applyNumberFormat="1">
      <alignment horizontal="right"/>
    </xf>
    <xf borderId="78" fillId="0" fontId="1" numFmtId="2" xfId="0" applyBorder="1" applyFont="1" applyNumberFormat="1"/>
    <xf borderId="18" fillId="2" fontId="1" numFmtId="0" xfId="0" applyAlignment="1" applyBorder="1" applyFont="1">
      <alignment horizontal="right" readingOrder="0"/>
    </xf>
    <xf borderId="16" fillId="2" fontId="1" numFmtId="0" xfId="0" applyBorder="1" applyFont="1"/>
    <xf borderId="17" fillId="2" fontId="1" numFmtId="0" xfId="0" applyBorder="1" applyFont="1"/>
    <xf borderId="18" fillId="2" fontId="1" numFmtId="0" xfId="0" applyBorder="1" applyFont="1"/>
    <xf borderId="16" fillId="2" fontId="1" numFmtId="0" xfId="0" applyAlignment="1" applyBorder="1" applyFont="1">
      <alignment horizontal="right"/>
    </xf>
    <xf borderId="18" fillId="2" fontId="1" numFmtId="0" xfId="0" applyAlignment="1" applyBorder="1" applyFont="1">
      <alignment horizontal="right"/>
    </xf>
    <xf borderId="18" fillId="2" fontId="1" numFmtId="2" xfId="0" applyAlignment="1" applyBorder="1" applyFont="1" applyNumberFormat="1">
      <alignment horizontal="right" readingOrder="0"/>
    </xf>
    <xf borderId="16" fillId="2" fontId="1" numFmtId="0" xfId="0" applyAlignment="1" applyBorder="1" applyFont="1">
      <alignment horizontal="right" vertical="center"/>
    </xf>
    <xf borderId="17" fillId="2" fontId="1" numFmtId="0" xfId="0" applyAlignment="1" applyBorder="1" applyFont="1">
      <alignment horizontal="right"/>
    </xf>
    <xf borderId="17" fillId="2" fontId="1" numFmtId="0" xfId="0" applyAlignment="1" applyBorder="1" applyFont="1">
      <alignment horizontal="right" readingOrder="0"/>
    </xf>
    <xf borderId="78" fillId="2" fontId="1" numFmtId="0" xfId="0" applyAlignment="1" applyBorder="1" applyFont="1">
      <alignment horizontal="center" readingOrder="0" shrinkToFit="0" vertical="center" wrapText="0"/>
    </xf>
    <xf borderId="78" fillId="2" fontId="1" numFmtId="0" xfId="0" applyAlignment="1" applyBorder="1" applyFont="1">
      <alignment horizontal="center" readingOrder="0" vertical="center"/>
    </xf>
    <xf borderId="55" fillId="2" fontId="1" numFmtId="0" xfId="0" applyAlignment="1" applyBorder="1" applyFont="1">
      <alignment horizontal="right"/>
    </xf>
    <xf borderId="78" fillId="2" fontId="1" numFmtId="0" xfId="0" applyAlignment="1" applyBorder="1" applyFont="1">
      <alignment readingOrder="0" shrinkToFit="0" wrapText="0"/>
    </xf>
    <xf borderId="78" fillId="2" fontId="1" numFmtId="0" xfId="0" applyAlignment="1" applyBorder="1" applyFont="1">
      <alignment shrinkToFit="0" wrapText="1"/>
    </xf>
    <xf borderId="78" fillId="2" fontId="1" numFmtId="0" xfId="0" applyBorder="1" applyFont="1"/>
    <xf borderId="106" fillId="4" fontId="20" numFmtId="0" xfId="0" applyAlignment="1" applyBorder="1" applyFont="1">
      <alignment horizontal="center" shrinkToFit="0" vertical="center" wrapText="1"/>
    </xf>
    <xf borderId="107" fillId="0" fontId="8" numFmtId="0" xfId="0" applyBorder="1" applyFont="1"/>
    <xf borderId="99" fillId="4" fontId="4" numFmtId="0" xfId="0" applyAlignment="1" applyBorder="1" applyFont="1">
      <alignment shrinkToFit="0" vertical="center" wrapText="1"/>
    </xf>
    <xf borderId="79" fillId="2" fontId="1" numFmtId="0" xfId="0" applyBorder="1" applyFont="1"/>
    <xf borderId="19" fillId="2" fontId="1" numFmtId="0" xfId="0" applyBorder="1" applyFont="1"/>
    <xf borderId="20" fillId="2" fontId="1" numFmtId="0" xfId="0" applyBorder="1" applyFont="1"/>
    <xf borderId="21" fillId="2" fontId="1" numFmtId="0" xfId="0" applyBorder="1" applyFont="1"/>
    <xf borderId="19" fillId="2" fontId="1" numFmtId="0" xfId="0" applyAlignment="1" applyBorder="1" applyFont="1">
      <alignment horizontal="right"/>
    </xf>
    <xf borderId="20" fillId="2" fontId="1" numFmtId="0" xfId="0" applyAlignment="1" applyBorder="1" applyFont="1">
      <alignment horizontal="right"/>
    </xf>
    <xf borderId="21" fillId="2" fontId="1" numFmtId="0" xfId="0" applyAlignment="1" applyBorder="1" applyFont="1">
      <alignment horizontal="right"/>
    </xf>
    <xf borderId="17" fillId="0" fontId="1" numFmtId="0" xfId="0" applyAlignment="1" applyBorder="1" applyFont="1">
      <alignment horizontal="center" readingOrder="0" shrinkToFit="0" vertical="center" wrapText="1"/>
    </xf>
    <xf borderId="86" fillId="4" fontId="4" numFmtId="0" xfId="0" applyAlignment="1" applyBorder="1" applyFont="1">
      <alignment horizontal="center" shrinkToFit="0" vertical="center" wrapText="1"/>
    </xf>
    <xf borderId="2" fillId="4" fontId="4" numFmtId="0" xfId="0" applyAlignment="1" applyBorder="1" applyFont="1">
      <alignment horizontal="center" shrinkToFit="0" vertical="center" wrapText="1"/>
    </xf>
    <xf borderId="51" fillId="2" fontId="1" numFmtId="0" xfId="0" applyAlignment="1" applyBorder="1" applyFont="1">
      <alignment horizontal="right" readingOrder="0" vertical="center"/>
    </xf>
    <xf borderId="86" fillId="4" fontId="10" numFmtId="0" xfId="0" applyBorder="1" applyFont="1"/>
    <xf borderId="2" fillId="4" fontId="10" numFmtId="9" xfId="0" applyAlignment="1" applyBorder="1" applyFont="1" applyNumberFormat="1">
      <alignment horizontal="center"/>
    </xf>
    <xf borderId="108" fillId="4" fontId="4" numFmtId="0" xfId="0" applyAlignment="1" applyBorder="1" applyFont="1">
      <alignment horizontal="center" shrinkToFit="0" vertical="center" wrapText="1"/>
    </xf>
    <xf borderId="0" fillId="0" fontId="6" numFmtId="0" xfId="0" applyAlignment="1" applyFont="1">
      <alignment horizontal="center" vertical="center"/>
    </xf>
    <xf borderId="0" fillId="0" fontId="6" numFmtId="0" xfId="0" applyAlignment="1" applyFont="1">
      <alignment vertical="center"/>
    </xf>
    <xf borderId="109" fillId="0" fontId="8" numFmtId="0" xfId="0" applyBorder="1" applyFont="1"/>
    <xf borderId="110" fillId="0" fontId="8" numFmtId="0" xfId="0" applyBorder="1" applyFont="1"/>
    <xf borderId="2" fillId="2" fontId="1" numFmtId="0" xfId="0" applyAlignment="1" applyBorder="1" applyFont="1">
      <alignment horizontal="center"/>
    </xf>
    <xf borderId="0" fillId="0" fontId="6" numFmtId="0" xfId="0" applyAlignment="1" applyFont="1">
      <alignment horizontal="left" vertical="center"/>
    </xf>
    <xf borderId="2" fillId="3" fontId="4" numFmtId="0" xfId="0" applyAlignment="1" applyBorder="1" applyFont="1">
      <alignment shrinkToFit="0" vertical="center" wrapText="1"/>
    </xf>
    <xf borderId="2" fillId="3" fontId="10" numFmtId="0" xfId="0" applyBorder="1" applyFont="1"/>
    <xf borderId="2" fillId="3" fontId="10" numFmtId="9" xfId="0" applyBorder="1" applyFont="1" applyNumberFormat="1"/>
  </cellXfs>
  <cellStyles count="1">
    <cellStyle xfId="0" name="Normal" builtinId="0"/>
  </cellStyles>
  <dxfs count="1">
    <dxf>
      <font/>
      <fill>
        <patternFill patternType="solid">
          <fgColor rgb="FF548135"/>
          <bgColor rgb="FF548135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22</xdr:row>
      <xdr:rowOff>114300</xdr:rowOff>
    </xdr:from>
    <xdr:ext cx="1209675" cy="11906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</xdr:row>
      <xdr:rowOff>0</xdr:rowOff>
    </xdr:from>
    <xdr:ext cx="5305425" cy="1647825"/>
    <xdr:pic>
      <xdr:nvPicPr>
        <xdr:cNvPr id="0" name="image2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s://alim.agriculture.gouv.fr/ift/bilan-ift/2018" TargetMode="External"/><Relationship Id="rId2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5" width="11.57"/>
    <col customWidth="1" min="6" max="6" width="11.43"/>
    <col customWidth="1" min="7" max="8" width="11.57"/>
    <col customWidth="1" min="9" max="9" width="4.57"/>
    <col customWidth="1" min="10" max="26" width="11.57"/>
  </cols>
  <sheetData>
    <row r="1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4.2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5.0" customHeight="1">
      <c r="A4" s="1"/>
      <c r="B4" s="1"/>
      <c r="C4" s="1"/>
      <c r="D4" s="1"/>
      <c r="E4" s="1"/>
      <c r="F4" s="1"/>
      <c r="G4" s="1"/>
      <c r="H4" s="1"/>
      <c r="I4" s="1"/>
      <c r="J4" s="1" t="s">
        <v>0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4.25" customHeight="1">
      <c r="A5" s="1"/>
      <c r="B5" s="1"/>
      <c r="C5" s="1"/>
      <c r="D5" s="1"/>
      <c r="E5" s="1"/>
      <c r="F5" s="1"/>
      <c r="G5" s="1"/>
      <c r="H5" s="1"/>
      <c r="I5" s="1"/>
      <c r="J5" s="1" t="s">
        <v>1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4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5.0" customHeight="1">
      <c r="A7" s="1"/>
      <c r="B7" s="1"/>
      <c r="C7" s="1"/>
      <c r="D7" s="1"/>
      <c r="E7" s="1"/>
      <c r="F7" s="1"/>
      <c r="G7" s="1"/>
      <c r="H7" s="1"/>
      <c r="I7" s="1"/>
      <c r="J7" s="1" t="s">
        <v>2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4.25" customHeight="1">
      <c r="A8" s="1"/>
      <c r="B8" s="1"/>
      <c r="C8" s="1"/>
      <c r="D8" s="1"/>
      <c r="E8" s="1"/>
      <c r="F8" s="1"/>
      <c r="G8" s="1"/>
      <c r="H8" s="1"/>
      <c r="I8" s="1"/>
      <c r="J8" s="1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"/>
      <c r="W8" s="1"/>
      <c r="X8" s="1"/>
      <c r="Y8" s="1"/>
      <c r="Z8" s="1"/>
    </row>
    <row r="9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 t="s">
        <v>4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 t="s">
        <v>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 t="s">
        <v>6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 t="s">
        <v>7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4.25" customHeight="1">
      <c r="A13" s="1"/>
      <c r="B13" s="1"/>
      <c r="C13" s="1"/>
      <c r="D13" s="1"/>
      <c r="E13" s="1"/>
      <c r="F13" s="1"/>
      <c r="G13" s="1"/>
      <c r="H13" s="1"/>
      <c r="I13" s="1"/>
      <c r="J13" s="1" t="s">
        <v>8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4.25" customHeight="1">
      <c r="A16" s="1"/>
      <c r="B16" s="1"/>
      <c r="C16" s="1"/>
      <c r="D16" s="1"/>
      <c r="E16" s="1"/>
      <c r="F16" s="1"/>
      <c r="G16" s="1"/>
      <c r="H16" s="1"/>
      <c r="I16" s="1"/>
      <c r="J16" s="3"/>
      <c r="K16" s="1" t="s">
        <v>9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4" t="s">
        <v>10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4.25" customHeight="1">
      <c r="A19" s="1"/>
      <c r="B19" s="1"/>
      <c r="C19" s="1"/>
      <c r="D19" s="1"/>
      <c r="E19" s="1"/>
      <c r="F19" s="1"/>
      <c r="G19" s="1"/>
      <c r="H19" s="1"/>
      <c r="I19" s="1"/>
      <c r="J19" s="5"/>
      <c r="K19" s="1" t="s">
        <v>11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4.25" customHeight="1">
      <c r="A21" s="1"/>
      <c r="B21" s="1"/>
      <c r="C21" s="1"/>
      <c r="D21" s="1"/>
      <c r="E21" s="1"/>
      <c r="F21" s="1"/>
      <c r="G21" s="1"/>
      <c r="H21" s="1"/>
      <c r="I21" s="1"/>
      <c r="J21" s="6"/>
      <c r="K21" s="1" t="s">
        <v>12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4.25" customHeight="1">
      <c r="A22" s="1"/>
      <c r="B22" s="1" t="s">
        <v>13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 t="s">
        <v>14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4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4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4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4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4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4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4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4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4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4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4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4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4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4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4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4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4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4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4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4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4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4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4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4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4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4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4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4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4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4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4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4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4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4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4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4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4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4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4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4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4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4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4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4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4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4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4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4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4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4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4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4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4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4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4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4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4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4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4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4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4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4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4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4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4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4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4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4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4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4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4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4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4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4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4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4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4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4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4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4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4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4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4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4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4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4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4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4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4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4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4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4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4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4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4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4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4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4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4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4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4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4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4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4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4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4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4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4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4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4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4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4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4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4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4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4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4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4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4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4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4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4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4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4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4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4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4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4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4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4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4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4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4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4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4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4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4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4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4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4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4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4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4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4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4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4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4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4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4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4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4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4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4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4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4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4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4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4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4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4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4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4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4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4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4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4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4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4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4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4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4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4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4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4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4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4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4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4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4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4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4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4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4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4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4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4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4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4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4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4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4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4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4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4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4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4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4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4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4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4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4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4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4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4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4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4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4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4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4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4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4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4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4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4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4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4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4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4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4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4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4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4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4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4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4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4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4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4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4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4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4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4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4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4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4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4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4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4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4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4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4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4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4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4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4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4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4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4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4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4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4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4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4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4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4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4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4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4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4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4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4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4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4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4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4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4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4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4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4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4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4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4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4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4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4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4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4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4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4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4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4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4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4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4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4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4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4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4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4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4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4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4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4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4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4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4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4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4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4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4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4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4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4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4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4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4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4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4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4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4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4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4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4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4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4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4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4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4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4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4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4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4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4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4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4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4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4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4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4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4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4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4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4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4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4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4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4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4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4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4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4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4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4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4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4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4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4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4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4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4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4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4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4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4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4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4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4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4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4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4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4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4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4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4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4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4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4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4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4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4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4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4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4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4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4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4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4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4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4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4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4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4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4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4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4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4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4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4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4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4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4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4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4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4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4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4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4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4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4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4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4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4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4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4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4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4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4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4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4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4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4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4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4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4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4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4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4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4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4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4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4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4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4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4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4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4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4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4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4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4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4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4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4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4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4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4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4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4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4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4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4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4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4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4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4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4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4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4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4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4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4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4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4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4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4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4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4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4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4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4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4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4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4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4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4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4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4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4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4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4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4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4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4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4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4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4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4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4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4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4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4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4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4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4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4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4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4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4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4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4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4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4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4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4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4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4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4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4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4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4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4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4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4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4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4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4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4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4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4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4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4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4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4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4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4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4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4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4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4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4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4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4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4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4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4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4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4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4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4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4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4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4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4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4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4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4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4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4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4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4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4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4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4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4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4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4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4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4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4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4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4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4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4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4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4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4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4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4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4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4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4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4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4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4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4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4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4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4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4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4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4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4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4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4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4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4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4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4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4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4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4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4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4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4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4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4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4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4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4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4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4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4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4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4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4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4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4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4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4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4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4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4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4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4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4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4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4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4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4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4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4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4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4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4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4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4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4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4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4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4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4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4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4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4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4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4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4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4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4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4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4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4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4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4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4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4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4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4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4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4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4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4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4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4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4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4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4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4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4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4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4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4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4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4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4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4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4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4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4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4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4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4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4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4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4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4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4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4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4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4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4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4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4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4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4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4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4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4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4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4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4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4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4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4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4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4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4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4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4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4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4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4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4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4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4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4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4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4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4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4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4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4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4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4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4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4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4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4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4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4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4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4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4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4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4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4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4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4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4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4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4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4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4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4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4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4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4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4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4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4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4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4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4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4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4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4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4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4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4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4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4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4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4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4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4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4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4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4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4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4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4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4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4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4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4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4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4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4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4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4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4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4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4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4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4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4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4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4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4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4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4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4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4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4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4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4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4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4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4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4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4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4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4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4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4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4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4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4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4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4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4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4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4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4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4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4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4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4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4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4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4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4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4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4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4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4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4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4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4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4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4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4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4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4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4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4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4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4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4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4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4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4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4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4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4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4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4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4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4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4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4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4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4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4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4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4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4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4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4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4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4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4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4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4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4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4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4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4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4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4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4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4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4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4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4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4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4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4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4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4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4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4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4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4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4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4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4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4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4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4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4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4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4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4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4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4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4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4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4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4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4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4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4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4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4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4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4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4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4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4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4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4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4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4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4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4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4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4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4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4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4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4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4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4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4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4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4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4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4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4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4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4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4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4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4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4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4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4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4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4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4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4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4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4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4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4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4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4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4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4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4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4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4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4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4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4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4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4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4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4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4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4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4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4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4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4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4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4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4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4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4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4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4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4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4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4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4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4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4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4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4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4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4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4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4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4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4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1.57"/>
    <col customWidth="1" min="3" max="3" width="23.86"/>
    <col customWidth="1" min="4" max="4" width="16.14"/>
    <col customWidth="1" min="5" max="5" width="17.14"/>
    <col customWidth="1" min="6" max="6" width="15.14"/>
    <col customWidth="1" min="7" max="7" width="12.57"/>
    <col customWidth="1" min="8" max="8" width="11.57"/>
    <col customWidth="1" min="9" max="9" width="16.43"/>
    <col customWidth="1" min="10" max="10" width="11.57"/>
    <col customWidth="1" min="11" max="11" width="12.57"/>
    <col customWidth="1" min="12" max="12" width="13.86"/>
    <col customWidth="1" min="13" max="13" width="16.86"/>
    <col customWidth="1" min="14" max="14" width="15.14"/>
    <col customWidth="1" min="15" max="15" width="14.86"/>
    <col customWidth="1" min="16" max="26" width="11.57"/>
  </cols>
  <sheetData>
    <row r="1" ht="14.25" customHeight="1">
      <c r="A1" s="7"/>
      <c r="B1" s="7"/>
      <c r="C1" s="7"/>
      <c r="D1" s="7"/>
      <c r="E1" s="7"/>
      <c r="F1" s="7"/>
      <c r="G1" s="7"/>
      <c r="H1" s="7"/>
      <c r="I1" s="7"/>
      <c r="J1" s="7"/>
      <c r="K1" s="8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14.25" customHeight="1">
      <c r="A2" s="7"/>
      <c r="B2" s="9" t="s">
        <v>15</v>
      </c>
      <c r="C2" s="7"/>
      <c r="D2" s="7"/>
      <c r="E2" s="7"/>
      <c r="F2" s="7"/>
      <c r="G2" s="7"/>
      <c r="H2" s="7"/>
      <c r="I2" s="7"/>
      <c r="J2" s="7"/>
      <c r="K2" s="8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14.25" customHeight="1">
      <c r="A3" s="7"/>
      <c r="B3" s="7" t="s">
        <v>16</v>
      </c>
      <c r="C3" s="7"/>
      <c r="D3" s="10">
        <f>'GES AVANT NOTIFICATION'!AX45</f>
        <v>3000.464036</v>
      </c>
      <c r="E3" s="7" t="s">
        <v>17</v>
      </c>
      <c r="F3" s="7"/>
      <c r="G3" s="11">
        <f>IFERROR(D3/SUM('SUIVI RABAIS PRODUCTION ET C '!D9:H9),"-")</f>
        <v>1.604251698</v>
      </c>
      <c r="H3" s="7" t="s">
        <v>18</v>
      </c>
      <c r="I3" s="7"/>
      <c r="J3" s="7"/>
      <c r="K3" s="8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14.25" customHeight="1">
      <c r="A4" s="7"/>
      <c r="B4" s="7" t="s">
        <v>19</v>
      </c>
      <c r="C4" s="7"/>
      <c r="D4" s="10">
        <f t="array" ref="D4">IFERROR(SUM(AVERAGE('GES AVANT NOTIFICATION'!AP31:AP35+'GES AVANT NOTIFICATION'!AV41:AV45)/1000*'SUIVI RABAIS PRODUCTION ET C '!O9:S9),"-")</f>
        <v>3112.466321</v>
      </c>
      <c r="E4" s="7" t="s">
        <v>17</v>
      </c>
      <c r="F4" s="7"/>
      <c r="G4" s="11">
        <f>IFERROR(D4/SUM('SUIVI RABAIS PRODUCTION ET C '!O9:S9),"-")</f>
        <v>1.621667442</v>
      </c>
      <c r="H4" s="7" t="s">
        <v>18</v>
      </c>
      <c r="I4" s="8"/>
      <c r="J4" s="7"/>
      <c r="K4" s="8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ht="14.25" customHeight="1">
      <c r="A5" s="7"/>
      <c r="B5" s="7" t="s">
        <v>20</v>
      </c>
      <c r="C5" s="7"/>
      <c r="D5" s="10">
        <f>'GES APRES NOTIFICATION '!AX45</f>
        <v>2300.893755</v>
      </c>
      <c r="E5" s="7" t="s">
        <v>17</v>
      </c>
      <c r="F5" s="7"/>
      <c r="G5" s="11">
        <f>IFERROR(D5/SUM('SUIVI RABAIS PRODUCTION ET C '!O9:S9),"-")</f>
        <v>1.198819233</v>
      </c>
      <c r="H5" s="7" t="s">
        <v>18</v>
      </c>
      <c r="I5" s="8"/>
      <c r="J5" s="7"/>
      <c r="K5" s="8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14.2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8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15.75" customHeight="1">
      <c r="A7" s="7"/>
      <c r="B7" s="12" t="s">
        <v>21</v>
      </c>
      <c r="C7" s="13"/>
      <c r="D7" s="13"/>
      <c r="E7" s="13"/>
      <c r="F7" s="13"/>
      <c r="G7" s="7"/>
      <c r="H7" s="7"/>
      <c r="I7" s="7"/>
      <c r="J7" s="14"/>
      <c r="K7" s="8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14.25" customHeight="1">
      <c r="A8" s="7"/>
      <c r="B8" s="13"/>
      <c r="C8" s="7" t="s">
        <v>22</v>
      </c>
      <c r="D8" s="13"/>
      <c r="E8" s="13"/>
      <c r="F8" s="13"/>
      <c r="G8" s="15">
        <f>IFERROR(D4-D5,"-")</f>
        <v>811.5725661</v>
      </c>
      <c r="H8" s="7" t="s">
        <v>23</v>
      </c>
      <c r="I8" s="8"/>
      <c r="J8" s="8"/>
      <c r="K8" s="8"/>
      <c r="L8" s="8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14.25" customHeight="1">
      <c r="A9" s="7"/>
      <c r="B9" s="16"/>
      <c r="C9" s="7" t="s">
        <v>24</v>
      </c>
      <c r="D9" s="16"/>
      <c r="E9" s="16"/>
      <c r="F9" s="16"/>
      <c r="G9" s="17">
        <f>IFERROR((D4-D5)/D4,"-")</f>
        <v>0.2607490275</v>
      </c>
      <c r="H9" s="7"/>
      <c r="I9" s="8"/>
      <c r="J9" s="8"/>
      <c r="K9" s="8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14.25" customHeight="1">
      <c r="A10" s="7"/>
      <c r="B10" s="18"/>
      <c r="C10" s="18"/>
      <c r="D10" s="18"/>
      <c r="E10" s="18"/>
      <c r="F10" s="18"/>
      <c r="G10" s="7"/>
      <c r="H10" s="7"/>
      <c r="I10" s="7"/>
      <c r="J10" s="8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14.25" customHeight="1">
      <c r="A11" s="7"/>
      <c r="B11" s="7"/>
      <c r="C11" s="7"/>
      <c r="D11" s="7"/>
      <c r="E11" s="19" t="s">
        <v>25</v>
      </c>
      <c r="F11" s="20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14.25" customHeight="1">
      <c r="A12" s="7"/>
      <c r="B12" s="7" t="s">
        <v>26</v>
      </c>
      <c r="C12" s="7"/>
      <c r="D12" s="7"/>
      <c r="E12" s="21" t="str">
        <f>IF(G12="-","-",IF(G12&gt;=0.3,"O","N"))</f>
        <v>O</v>
      </c>
      <c r="F12" s="7"/>
      <c r="G12" s="22">
        <f>IFERROR(((
SUMIFS('GES AVANT NOTIFICATION'!C24:CL24,'GES AVANT NOTIFICATION'!C18:CL18,"=Unités de N")/'SUIVI RABAIS PRODUCTION ET C '!D9 +
SUMIFS('GES AVANT NOTIFICATION'!C25:CL25,'GES AVANT NOTIFICATION'!C18:CL18,"=Unités de N")/'SUIVI RABAIS PRODUCTION ET C '!E9 +
SUMIFS('GES AVANT NOTIFICATION'!C26:CL26,'GES AVANT NOTIFICATION'!C18:CL18,"=Unités de N")/'SUIVI RABAIS PRODUCTION ET C '!F9 +
SUMIFS('GES AVANT NOTIFICATION'!C27:CL27,'GES AVANT NOTIFICATION'!C18:CL18,"=Unités de N")/'SUIVI RABAIS PRODUCTION ET C '!G9 +
SUMIFS('GES AVANT NOTIFICATION'!C28:CL28,'GES AVANT NOTIFICATION'!C18:CL18,"=Unités de N")/'SUIVI RABAIS PRODUCTION ET C '!H9)
-
(SUMIFS('GES APRES NOTIFICATION '!C24:CL24,'GES APRES NOTIFICATION '!C18:CL18,"=Unités de N")/'SUIVI RABAIS PRODUCTION ET C '!O9 +
SUMIFS('GES APRES NOTIFICATION '!C25:CL25,'GES APRES NOTIFICATION '!C18:CL18,"=Unités de N")/'SUIVI RABAIS PRODUCTION ET C '!P9 +
SUMIFS('GES APRES NOTIFICATION '!C26:CL26,'GES APRES NOTIFICATION '!C18:CL18,"=Unités de N")/'SUIVI RABAIS PRODUCTION ET C '!Q9 +
SUMIFS('GES APRES NOTIFICATION '!C27:CL27,'GES APRES NOTIFICATION '!C18:CL18,"=Unités de N")/'SUIVI RABAIS PRODUCTION ET C '!R9 +
SUMIFS('GES APRES NOTIFICATION '!C28:CL28,'GES APRES NOTIFICATION '!C18:CL18,"=Unités de N")/'SUIVI RABAIS PRODUCTION ET C '!S9 ))
/
(
SUMIFS('GES AVANT NOTIFICATION'!C24:CL24,'GES AVANT NOTIFICATION'!C18:CL18,"=Unités de N")/'SUIVI RABAIS PRODUCTION ET C '!D9 +
SUMIFS('GES AVANT NOTIFICATION'!C25:CL25,'GES AVANT NOTIFICATION'!C18:CL18,"=Unités de N")/'SUIVI RABAIS PRODUCTION ET C '!E9 +
SUMIFS('GES AVANT NOTIFICATION'!C26:CL26,'GES AVANT NOTIFICATION'!C18:CL18,"=Unités de N")/'SUIVI RABAIS PRODUCTION ET C '!F9 +
SUMIFS('GES AVANT NOTIFICATION'!C27:CL27,'GES AVANT NOTIFICATION'!C18:CL18,"=Unités de N")/'SUIVI RABAIS PRODUCTION ET C '!G9 +
SUMIFS('GES AVANT NOTIFICATION'!C28:CL28,'GES AVANT NOTIFICATION'!C18:CL18,"=Unités de N")/'SUIVI RABAIS PRODUCTION ET C '!H9),"-")</f>
        <v>0.3182907054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14.25" customHeight="1">
      <c r="A13" s="7"/>
      <c r="B13" s="7" t="s">
        <v>27</v>
      </c>
      <c r="C13" s="7"/>
      <c r="D13" s="7"/>
      <c r="E13" s="21" t="str">
        <f>IF(SUM('GES AVANT NOTIFICATION'!AX44,'GES APRES NOTIFICATION '!AX44)=0,"-",IF(SUM('GES APRES NOTIFICATION '!AA24,'GES APRES NOTIFICATION '!AE24,'GES APRES NOTIFICATION '!AI24,'GES APRES NOTIFICATION '!AM24,'GES APRES NOTIFICATION '!AQ24,'GES APRES NOTIFICATION '!AX19:AX23,'GES APRES NOTIFICATION '!BB24,'GES APRES NOTIFICATION '!BI19:BI23,'GES APRES NOTIFICATION '!BM19:BM23,'GES APRES NOTIFICATION '!BQ24,'GES APRES NOTIFICATION '!CA24)=0,"O","N"))</f>
        <v>O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14.25" customHeight="1">
      <c r="A14" s="7"/>
      <c r="B14" s="7" t="s">
        <v>28</v>
      </c>
      <c r="C14" s="7"/>
      <c r="D14" s="7"/>
      <c r="E14" s="21" t="str">
        <f>IF(SUM('GES AVANT NOTIFICATION'!AX44,'GES APRES NOTIFICATION '!AX44)=0,"-",IF(SUM('GES APRES NOTIFICATION '!CM24,'GES APRES NOTIFICATION '!CQ24,'GES APRES NOTIFICATION '!CU24,'GES APRES NOTIFICATION '!CY24)=0,"O","N"))</f>
        <v>O</v>
      </c>
      <c r="F14" s="7"/>
      <c r="G14" s="7"/>
      <c r="H14" s="7"/>
      <c r="I14" s="7"/>
      <c r="J14" s="7"/>
      <c r="K14" s="7"/>
      <c r="L14" s="7"/>
      <c r="M14" s="7"/>
      <c r="N14" s="23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14.25" customHeight="1">
      <c r="A15" s="7"/>
      <c r="B15" s="9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14.25" customHeight="1">
      <c r="A16" s="7"/>
      <c r="B16" s="9" t="s">
        <v>29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14.2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14.25" customHeight="1">
      <c r="A18" s="7"/>
      <c r="B18" s="9"/>
      <c r="C18" s="7"/>
      <c r="D18" s="7"/>
      <c r="E18" s="19" t="s">
        <v>30</v>
      </c>
      <c r="F18" s="19" t="s">
        <v>31</v>
      </c>
      <c r="G18" s="7" t="s">
        <v>32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14.25" customHeight="1">
      <c r="A19" s="7"/>
      <c r="B19" s="7" t="s">
        <v>33</v>
      </c>
      <c r="C19" s="7"/>
      <c r="D19" s="7"/>
      <c r="E19" s="21" t="str">
        <f>IF('CO-BENEFICES '!L22="Ni rabais ni bonus","O",IF('CO-BENEFICES '!L22="le co-bénéfice préservation de la ressource en eau n'est pas effectif", "N", "O"))</f>
        <v>O</v>
      </c>
      <c r="F19" s="24" t="str">
        <f>IF('CO-BENEFICES '!L22="Ni rabais ni bonus","-",'CO-BENEFICES '!P26)</f>
        <v>-</v>
      </c>
      <c r="G19" s="22" t="str">
        <f>IF('CO-BENEFICES '!L22="Ni rabais ni bonus","-",'CO-BENEFICES '!P21*-1)</f>
        <v>-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14.25" customHeight="1">
      <c r="A20" s="7"/>
      <c r="B20" s="7" t="s">
        <v>34</v>
      </c>
      <c r="C20" s="7"/>
      <c r="D20" s="7"/>
      <c r="E20" s="21" t="str">
        <f>IF(AND('CO-BENEFICES '!M13="Ni rabais ni bonus",'CO-BENEFICES '!M16="Ni rabais ni bonus"),"-",IF(AND('CO-BENEFICES '!M13="les co-bénéfices basés sur les herbicides ne sont pas validés", 'CO-BENEFICES '!M16="les co-bénéfices basés sur les non-herbicides ne sont pas validés"), "N", "O"))</f>
        <v>O</v>
      </c>
      <c r="F20" s="21">
        <f>IF(AND('CO-BENEFICES '!M13="Ni rabais ni bonus",'CO-BENEFICES '!M16="Ni rabais ni bonus"),"-",IF(E20="N","/",'CO-BENEFICES '!R18+'CO-BENEFICES '!R19))</f>
        <v>0</v>
      </c>
      <c r="G20" s="22">
        <f>IF(AND('CO-BENEFICES '!M13="Ni rabais ni bonus",'CO-BENEFICES '!M16="Ni rabais ni bonus"),"-",F20/32)</f>
        <v>0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14.25" customHeight="1">
      <c r="A21" s="7"/>
      <c r="B21" s="7" t="s">
        <v>35</v>
      </c>
      <c r="C21" s="7"/>
      <c r="D21" s="7"/>
      <c r="E21" s="21" t="str">
        <f>IF(AND('CO-BENEFICES '!M13="Ni rabais ni bonus",'CO-BENEFICES '!M16="Ni rabais ni bonus"),"-",IF(AND('CO-BENEFICES '!M13="les co-bénéfices basés sur les herbicides ne sont pas validés", 'CO-BENEFICES '!M16="les co-bénéfices basés sur les non-herbicides ne sont pas validés"), "N", "O"))</f>
        <v>O</v>
      </c>
      <c r="F21" s="25">
        <f>IF(AND('CO-BENEFICES '!M13="Ni rabais ni bonus",'CO-BENEFICES '!M16="Ni rabais ni bonus"),"-",IF(E21="N", "/", 'CO-BENEFICES '!R18+'CO-BENEFICES '!R19))</f>
        <v>0</v>
      </c>
      <c r="G21" s="22">
        <f>IF(AND('CO-BENEFICES '!M13="Ni rabais ni bonus",'CO-BENEFICES '!M16="Ni rabais ni bonus"),"-",F21/32)</f>
        <v>0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14.2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14.25" customHeight="1">
      <c r="A23" s="7"/>
      <c r="B23" s="9" t="s">
        <v>36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14.25" customHeight="1">
      <c r="A24" s="7"/>
      <c r="B24" s="9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ht="15.0" customHeight="1">
      <c r="A25" s="7"/>
      <c r="B25" s="7" t="s">
        <v>37</v>
      </c>
      <c r="C25" s="7"/>
      <c r="D25" s="7"/>
      <c r="E25" s="21" t="str">
        <f>'SUIVI RABAIS PRODUCTION ET C '!C75</f>
        <v>Ni rabais ni bonus</v>
      </c>
      <c r="F25" s="7"/>
      <c r="G25" s="22">
        <f>'SUIVI RABAIS PRODUCTION ET C '!D75</f>
        <v>0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ht="14.25" customHeight="1">
      <c r="A26" s="7"/>
      <c r="B26" s="9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ht="14.25" customHeight="1">
      <c r="A27" s="7"/>
      <c r="B27" s="7"/>
      <c r="C27" s="7"/>
      <c r="D27" s="7"/>
      <c r="E27" s="19" t="s">
        <v>38</v>
      </c>
      <c r="F27" s="19"/>
      <c r="G27" s="19" t="s">
        <v>39</v>
      </c>
      <c r="H27" s="7"/>
      <c r="I27" s="7"/>
      <c r="J27" s="7"/>
      <c r="K27" s="7"/>
      <c r="L27" s="7"/>
      <c r="O27" s="13"/>
      <c r="P27" s="26"/>
      <c r="Q27" s="13"/>
      <c r="R27" s="13"/>
      <c r="S27" s="13"/>
      <c r="T27" s="7"/>
      <c r="U27" s="7"/>
      <c r="V27" s="7"/>
      <c r="W27" s="7"/>
      <c r="X27" s="7"/>
      <c r="Y27" s="7"/>
      <c r="Z27" s="7"/>
    </row>
    <row r="28" ht="14.25" customHeight="1">
      <c r="A28" s="7"/>
      <c r="B28" s="7" t="s">
        <v>40</v>
      </c>
      <c r="C28" s="7"/>
      <c r="D28" s="7"/>
      <c r="E28" s="21" t="str">
        <f>IF(ISBLANK('SUIVI RABAIS PRODUCTION ET C '!M64),"-",IF('SUIVI RABAIS PRODUCTION ET C '!M64="O","Rabais","/"))</f>
        <v>/</v>
      </c>
      <c r="F28" s="7"/>
      <c r="G28" s="22">
        <f>'SUIVI RABAIS PRODUCTION ET C '!O64</f>
        <v>0</v>
      </c>
      <c r="H28" s="14"/>
      <c r="I28" s="7"/>
      <c r="J28" s="7"/>
      <c r="K28" s="7"/>
      <c r="L28" s="14"/>
      <c r="P28" s="27"/>
      <c r="T28" s="7"/>
      <c r="U28" s="7"/>
      <c r="V28" s="7"/>
      <c r="W28" s="7"/>
      <c r="X28" s="7"/>
      <c r="Y28" s="7"/>
      <c r="Z28" s="7"/>
    </row>
    <row r="29" ht="14.25" customHeight="1">
      <c r="A29" s="7"/>
      <c r="B29" s="7" t="s">
        <v>41</v>
      </c>
      <c r="C29" s="7"/>
      <c r="D29" s="7"/>
      <c r="E29" s="21" t="str">
        <f>IF(ISBLANK('SUIVI RABAIS PRODUCTION ET C '!M66),"-",IF('SUIVI RABAIS PRODUCTION ET C '!M66="O","Rabais","/"))</f>
        <v>/</v>
      </c>
      <c r="F29" s="7"/>
      <c r="G29" s="22">
        <f>'SUIVI RABAIS PRODUCTION ET C '!O66</f>
        <v>0</v>
      </c>
      <c r="H29" s="14"/>
      <c r="I29" s="7"/>
      <c r="J29" s="7"/>
      <c r="K29" s="7"/>
      <c r="L29" s="14"/>
      <c r="P29" s="27"/>
      <c r="T29" s="7"/>
      <c r="U29" s="7"/>
      <c r="V29" s="7"/>
      <c r="W29" s="7"/>
      <c r="X29" s="7"/>
      <c r="Y29" s="7"/>
      <c r="Z29" s="7"/>
    </row>
    <row r="30" ht="14.25" customHeight="1">
      <c r="A30" s="7"/>
      <c r="B30" s="7" t="s">
        <v>42</v>
      </c>
      <c r="C30" s="7"/>
      <c r="D30" s="7"/>
      <c r="E30" s="25" t="str">
        <f>'SUIVI RABAIS PRODUCTION ET C '!AN21</f>
        <v>Ni rabais ni bonus</v>
      </c>
      <c r="F30" s="7"/>
      <c r="G30" s="22">
        <f>'SUIVI RABAIS PRODUCTION ET C '!AO21</f>
        <v>0</v>
      </c>
      <c r="H30" s="14"/>
      <c r="I30" s="7"/>
      <c r="J30" s="7"/>
      <c r="K30" s="7"/>
      <c r="L30" s="14"/>
      <c r="P30" s="27"/>
      <c r="T30" s="7"/>
      <c r="U30" s="7"/>
      <c r="V30" s="7"/>
      <c r="W30" s="7"/>
      <c r="X30" s="7"/>
      <c r="Y30" s="7"/>
      <c r="Z30" s="7"/>
    </row>
    <row r="31" ht="14.25" customHeight="1">
      <c r="A31" s="7"/>
      <c r="B31" s="7" t="s">
        <v>43</v>
      </c>
      <c r="C31" s="7"/>
      <c r="D31" s="7"/>
      <c r="E31" s="21" t="str">
        <f>'SUIVI RABAIS PRODUCTION ET C '!I54</f>
        <v>Ni rabais ni bonus</v>
      </c>
      <c r="F31" s="7"/>
      <c r="G31" s="22">
        <f>'SUIVI RABAIS PRODUCTION ET C '!J54</f>
        <v>0</v>
      </c>
      <c r="H31" s="14"/>
      <c r="I31" s="7"/>
      <c r="J31" s="7"/>
      <c r="K31" s="7"/>
      <c r="L31" s="14"/>
      <c r="P31" s="27"/>
      <c r="T31" s="7"/>
      <c r="U31" s="7"/>
      <c r="V31" s="7"/>
      <c r="W31" s="7"/>
      <c r="X31" s="7"/>
      <c r="Y31" s="7"/>
      <c r="Z31" s="7"/>
    </row>
    <row r="32" ht="14.25" customHeight="1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14"/>
      <c r="S32" s="7"/>
      <c r="T32" s="7"/>
      <c r="U32" s="7"/>
      <c r="V32" s="7"/>
      <c r="W32" s="7"/>
      <c r="X32" s="7"/>
      <c r="Y32" s="7"/>
      <c r="Z32" s="7"/>
    </row>
    <row r="33" ht="14.25" customHeight="1">
      <c r="A33" s="7"/>
      <c r="B33" s="9" t="s">
        <v>44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14"/>
      <c r="S33" s="7"/>
      <c r="T33" s="7"/>
      <c r="U33" s="7"/>
      <c r="V33" s="7"/>
      <c r="W33" s="7"/>
      <c r="X33" s="7"/>
      <c r="Y33" s="7"/>
      <c r="Z33" s="7"/>
    </row>
    <row r="34" ht="14.25" customHeight="1">
      <c r="A34" s="7"/>
      <c r="B34" s="7" t="str">
        <f>IF(AND(E12="-",E19="-",E20="-",E21="-"),"Les réductions d'émissions ne sont pas encore calculées",IF(AND(E12="O",E19="O",E20="O",E21="O"),"Les réductions d'émissions sont validables et atteignent","Les réductions d'émissions ne sont pas validables"))</f>
        <v>Les réductions d'émissions sont validables et atteignent</v>
      </c>
      <c r="C34" s="7"/>
      <c r="D34" s="7"/>
      <c r="E34" s="7"/>
      <c r="F34" s="7"/>
      <c r="G34" s="28">
        <f>IF(B34="Les réductions d'émissions ne sont pas encore calculées","-",IF(B34="Les réductions d'émissions ne sont pas validables","/",G8*(1+G28)*(1+G29)*(1+G30)*(1+G31)))</f>
        <v>811.5725661</v>
      </c>
      <c r="H34" s="7"/>
      <c r="I34" s="7"/>
      <c r="J34" s="7"/>
      <c r="K34" s="7"/>
      <c r="L34" s="7"/>
      <c r="M34" s="7"/>
      <c r="N34" s="7"/>
      <c r="O34" s="7"/>
      <c r="P34" s="7"/>
      <c r="Q34" s="14"/>
      <c r="R34" s="7"/>
      <c r="S34" s="7"/>
      <c r="T34" s="7"/>
      <c r="U34" s="7"/>
      <c r="V34" s="7"/>
      <c r="W34" s="7"/>
      <c r="X34" s="7"/>
      <c r="Y34" s="7"/>
      <c r="Z34" s="7"/>
    </row>
    <row r="35" ht="14.25" customHeight="1">
      <c r="A35" s="7"/>
      <c r="B35" s="7"/>
      <c r="C35" s="7"/>
      <c r="D35" s="7"/>
      <c r="E35" s="7"/>
      <c r="F35" s="7"/>
      <c r="G35" s="29"/>
      <c r="H35" s="7"/>
      <c r="I35" s="7"/>
      <c r="J35" s="7"/>
      <c r="K35" s="8"/>
      <c r="L35" s="8"/>
      <c r="M35" s="23"/>
      <c r="N35" s="23"/>
      <c r="O35" s="8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ht="14.25" customHeight="1">
      <c r="A36" s="7"/>
      <c r="B36" s="7"/>
      <c r="C36" s="7"/>
      <c r="D36" s="7"/>
      <c r="E36" s="7"/>
      <c r="F36" s="23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ht="14.25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ht="14.25" customHeight="1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4.25" customHeight="1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ht="14.25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ht="14.25" customHeight="1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ht="14.25" customHeight="1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ht="14.25" customHeight="1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ht="14.25" customHeight="1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ht="14.25" customHeight="1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4.25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14.25" customHeight="1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14.25" customHeigh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14.25" customHeight="1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ht="14.25" customHeight="1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ht="14.25" customHeight="1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ht="14.25" customHeight="1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ht="14.25" customHeight="1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ht="14.25" customHeight="1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ht="14.25" customHeight="1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ht="14.25" customHeight="1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ht="14.25" customHeight="1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ht="14.25" customHeight="1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ht="14.25" customHeight="1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ht="14.25" customHeight="1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ht="14.25" customHeight="1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ht="14.25" customHeight="1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ht="14.25" customHeight="1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ht="14.25" customHeight="1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ht="14.25" customHeight="1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ht="14.25" customHeight="1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ht="14.25" customHeight="1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ht="14.25" customHeight="1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ht="14.25" customHeight="1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ht="14.25" customHeight="1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ht="14.25" customHeight="1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ht="14.25" customHeight="1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ht="14.25" customHeight="1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ht="14.25" customHeight="1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ht="14.25" customHeight="1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ht="14.25" customHeight="1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ht="14.25" customHeight="1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ht="14.25" customHeight="1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ht="14.25" customHeight="1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ht="14.25" customHeight="1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ht="14.25" customHeight="1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ht="14.25" customHeight="1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ht="14.2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ht="14.2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ht="14.25" customHeight="1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ht="14.25" customHeight="1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ht="14.25" customHeight="1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ht="14.2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ht="14.2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ht="14.25" customHeight="1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ht="14.25" customHeight="1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ht="14.25" customHeight="1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ht="14.2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ht="14.2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ht="14.25" customHeigh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ht="14.25" customHeight="1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ht="14.25" customHeight="1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ht="14.25" customHeight="1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ht="14.25" customHeight="1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ht="14.25" customHeight="1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ht="14.25" customHeight="1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ht="14.25" customHeight="1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ht="14.25" customHeight="1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ht="14.25" customHeight="1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ht="14.25" customHeight="1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ht="14.25" customHeight="1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ht="14.25" customHeight="1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ht="14.25" customHeight="1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ht="14.25" customHeight="1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ht="14.25" customHeight="1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ht="14.25" customHeight="1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ht="14.25" customHeight="1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ht="14.25" customHeight="1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ht="14.25" customHeight="1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ht="14.25" customHeight="1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ht="14.25" customHeight="1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ht="14.25" customHeight="1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ht="14.25" customHeight="1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ht="14.25" customHeight="1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ht="14.25" customHeight="1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ht="14.25" customHeight="1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ht="14.25" customHeight="1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ht="14.25" customHeight="1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ht="14.25" customHeight="1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ht="14.25" customHeight="1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ht="14.25" customHeight="1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ht="14.25" customHeight="1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ht="14.25" customHeight="1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ht="14.25" customHeight="1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ht="14.25" customHeight="1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ht="14.25" customHeight="1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ht="14.25" customHeight="1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ht="14.25" customHeight="1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ht="14.25" customHeight="1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ht="14.25" customHeight="1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ht="14.25" customHeight="1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ht="14.25" customHeight="1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ht="14.25" customHeight="1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ht="14.2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4.2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4.2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4.2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4.2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4.2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4.2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4.2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4.2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4.2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4.2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4.2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4.2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4.2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4.2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4.2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4.2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4.2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4.2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4.2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4.2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4.2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4.2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4.2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4.2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4.2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4.2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4.2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4.2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4.2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4.2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4.2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4.2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4.2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4.2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4.2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4.2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4.2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4.2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4.2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4.2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4.2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4.2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4.2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4.2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4.2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4.2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4.2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4.2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4.2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4.2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4.2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4.2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4.2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4.2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4.2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4.2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4.2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4.2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4.2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4.2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4.2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4.2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4.2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4.2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4.2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4.2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4.2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4.2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4.2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4.2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4.2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4.2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4.2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4.2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4.2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4.2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4.2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4.2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4.2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4.2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4.2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4.2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4.2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4.2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4.2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4.2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4.2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4.2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4.2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4.2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4.2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4.2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4.2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4.2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4.2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4.2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4.2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4.2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4.2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4.2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4.2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4.2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4.2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4.2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4.2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4.2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4.2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4.2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4.2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4.2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4.2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4.2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4.2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4.2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4.2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4.2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4.2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4.2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4.2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4.2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4.2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4.2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4.2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4.2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4.2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4.2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4.2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4.2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4.2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4.2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4.2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4.2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4.2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4.2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4.2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4.2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4.2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4.2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4.2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4.2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4.2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4.2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4.2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4.2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4.2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4.2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4.2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4.2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4.2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4.2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4.2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4.2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4.2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4.2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4.2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4.2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4.2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4.2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4.2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4.2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4.2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4.2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4.2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4.2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4.2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4.2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4.2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4.2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4.2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4.2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4.2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4.2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4.2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4.2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4.2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4.2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4.2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4.2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4.2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4.2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4.2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4.2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4.2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4.2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4.2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4.2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4.2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4.2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4.2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4.2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4.2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4.2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4.2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4.2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4.2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4.2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4.2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4.2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4.2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4.2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4.2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4.2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4.2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4.2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4.2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4.2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4.2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4.2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4.2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4.2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4.2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4.2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4.2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4.2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4.2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4.2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4.2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4.2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4.2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4.2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4.2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4.2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4.2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4.2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4.2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4.2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4.2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4.2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4.2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4.2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4.2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4.2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4.2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4.2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4.2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4.2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4.2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4.2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4.2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4.2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4.2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4.2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4.2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4.2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4.2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4.2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4.2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4.2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4.2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4.2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4.2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4.2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4.2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4.2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4.2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4.2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4.2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4.2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4.2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4.2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4.2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4.2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4.2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4.2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4.2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4.2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4.2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4.2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4.2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4.2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4.2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4.2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4.2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4.2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4.2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4.2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4.2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4.2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4.2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4.2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4.2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4.2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4.2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4.2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4.2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4.2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4.2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4.2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4.2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4.2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4.2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4.2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4.2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4.2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4.2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4.2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4.2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4.2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4.2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4.2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4.2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4.2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4.2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4.2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4.2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4.2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4.2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4.2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4.2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4.2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4.2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4.2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4.2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4.2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4.2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4.2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4.2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4.2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4.2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4.2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4.2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4.2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4.2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4.2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4.2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4.2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4.2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4.2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4.2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4.2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4.2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4.2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4.2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4.2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4.2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4.2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4.2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4.2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4.2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4.2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4.2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4.2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4.2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4.2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4.2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4.2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4.2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4.2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4.2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4.2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4.2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4.2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4.2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4.2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4.2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4.2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4.2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4.2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4.2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4.2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4.2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4.2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4.2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4.2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4.2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4.2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4.2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4.2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4.2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4.2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4.2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4.2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4.2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4.2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4.2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4.2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4.2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4.2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4.2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4.2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4.2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4.2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4.2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4.2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4.2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4.2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4.2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4.2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4.2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4.2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4.2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4.2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4.2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4.2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4.2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4.2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4.2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4.2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4.2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4.2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4.2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4.2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4.2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4.2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4.2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4.2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4.2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4.2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4.2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4.2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4.2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4.2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4.2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4.2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4.2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4.2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4.2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4.2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4.2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4.2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4.2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4.2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4.2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4.2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4.2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4.2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4.2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4.2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4.2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4.2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4.2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4.2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4.2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4.2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4.2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4.2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4.2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4.2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4.2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4.2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4.2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4.2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4.2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4.2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4.2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4.2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4.2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4.2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4.2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4.2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4.2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4.2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4.2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4.2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4.2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4.2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4.2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4.2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4.2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4.2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4.2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4.2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4.2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4.2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4.2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4.2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4.2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4.2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4.2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4.2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4.2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4.2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4.2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4.2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4.2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4.2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4.2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4.2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4.2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4.2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4.2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4.2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4.2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4.2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4.2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4.2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4.2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4.2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4.2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4.2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4.2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4.2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4.2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4.2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4.2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4.2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4.2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4.2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4.2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4.2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4.2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4.2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4.2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4.2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4.2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4.2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4.2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4.2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4.2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4.2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4.2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4.2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4.2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4.2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4.2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4.2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4.2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4.2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4.2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4.2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4.2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4.2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4.2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4.2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4.2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4.2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4.2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4.2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4.2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4.2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4.2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4.2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4.2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4.2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4.2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4.2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4.2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4.2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4.2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4.2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4.2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4.2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4.2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4.2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4.2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4.2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4.2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4.2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4.2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4.2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4.2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4.2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4.2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4.2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4.2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4.2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4.2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4.2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4.2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4.2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4.2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4.2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4.2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4.2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4.2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4.2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4.2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4.2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4.2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4.2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4.2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4.2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4.2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4.2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4.2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4.2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4.2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4.2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4.2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4.2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4.2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4.2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4.2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4.2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4.2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4.2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4.2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4.2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4.2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4.2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4.2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4.2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4.2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4.2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4.2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4.2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4.2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4.2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4.2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4.2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4.2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4.2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4.2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4.2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4.2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4.2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4.2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4.2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4.2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4.2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4.2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4.2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4.2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4.2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4.2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4.2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4.2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4.2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4.2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4.2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4.2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4.2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4.2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4.2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4.2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4.2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4.2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4.2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4.2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4.2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4.2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4.2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4.2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4.2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4.2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4.2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4.2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4.2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4.2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4.2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4.2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4.2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4.2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4.2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4.2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4.2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4.2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4.2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4.2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4.2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4.2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4.2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4.2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4.2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4.2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4.2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4.2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4.2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4.2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4.2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4.2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4.2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4.2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4.2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4.2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4.2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4.2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4.2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4.2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4.2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4.2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4.2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4.2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4.2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4.2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4.2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4.2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4.2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4.2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4.2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4.2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4.2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4.2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4.2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4.2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4.2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4.2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4.2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4.2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4.2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4.2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4.2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4.2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4.2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4.2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4.2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4.2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4.2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4.2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4.2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4.2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4.2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4.2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4.2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4.2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4.2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4.2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4.2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4.2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4.2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4.2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4.2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4.2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4.2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4.2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4.2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4.2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4.2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4.2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4.2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4.2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4.2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4.2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4.2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4.2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4.2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4.2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4.2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4.2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4.2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4.2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4.2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4.2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4.2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4.2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4.2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4.2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4.2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4.2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4.2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4.2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4.2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4.2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4.2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4.2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4.2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4.2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4.2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4.2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4.2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4.2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4.2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4.2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4.2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4.2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4.2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4.2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4.2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4.2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4.2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4.2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4.2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4.2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4.2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4.2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4.2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4.2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4.2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4.2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4.2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4.2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4.2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4.2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4.2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4.2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4.2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4.2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4.2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4.2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4.2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4.2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4.2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4.2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4.2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4.2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4.2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4.2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4.2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4.2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4.2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4.2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4.2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4.2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4.2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4.2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4.2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4.2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4.2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4.2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4.2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4.2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4.2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4.2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4.2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4.2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4.2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4.2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4.2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4.2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4.2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4.2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4.2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4.2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4.2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4.2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4.2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4.2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4.2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4.2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4.2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4.2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4.2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4.2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4.2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4.2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4.2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4.2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4.2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4.2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4.2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4.2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4.2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4.2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4.2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4.2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4.2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4.2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4.2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4.2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4.2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4.2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4.2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4.2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4.2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4.2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4.2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4.2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4.2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4.2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4.2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4.2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4.2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4.2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4.2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4.2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4.2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4.2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14.2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14.2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ht="14.2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ht="14.2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2.0" topLeftCell="C1" activePane="topRight" state="frozen"/>
      <selection activeCell="D2" sqref="D2" pane="topRight"/>
    </sheetView>
  </sheetViews>
  <sheetFormatPr customHeight="1" defaultColWidth="14.43" defaultRowHeight="15.0"/>
  <cols>
    <col customWidth="1" min="1" max="8" width="11.57"/>
    <col customWidth="1" min="9" max="9" width="12.57"/>
    <col customWidth="1" min="10" max="21" width="11.57"/>
    <col customWidth="1" min="22" max="22" width="13.0"/>
    <col customWidth="1" min="23" max="23" width="11.57"/>
    <col customWidth="1" min="24" max="24" width="13.86"/>
    <col customWidth="1" min="25" max="40" width="11.57"/>
    <col customWidth="1" min="41" max="41" width="13.14"/>
    <col customWidth="1" min="42" max="46" width="11.57"/>
    <col customWidth="1" min="47" max="47" width="13.14"/>
    <col customWidth="1" min="48" max="48" width="11.86"/>
    <col customWidth="1" min="49" max="49" width="11.57"/>
    <col customWidth="1" min="50" max="50" width="14.14"/>
    <col customWidth="1" min="51" max="139" width="11.57"/>
  </cols>
  <sheetData>
    <row r="1" ht="15.0" customHeight="1">
      <c r="A1" s="30"/>
      <c r="B1" s="31" t="s">
        <v>45</v>
      </c>
    </row>
    <row r="2" ht="15.0" customHeight="1"/>
    <row r="3" ht="15.0" customHeight="1">
      <c r="B3" s="32" t="s">
        <v>46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4"/>
      <c r="BQ3" s="35"/>
      <c r="BR3" s="35"/>
      <c r="BS3" s="35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7"/>
      <c r="CG3" s="37"/>
      <c r="CH3" s="37"/>
      <c r="CI3" s="37"/>
      <c r="CJ3" s="34"/>
      <c r="CK3" s="35"/>
      <c r="CL3" s="35"/>
      <c r="CM3" s="35"/>
      <c r="CN3" s="36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</row>
    <row r="4" ht="15.0" customHeight="1">
      <c r="B4" s="31"/>
      <c r="C4" s="38" t="s">
        <v>47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40"/>
      <c r="AG4" s="38" t="s">
        <v>48</v>
      </c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40"/>
      <c r="AV4" s="38" t="s">
        <v>49</v>
      </c>
      <c r="AW4" s="39"/>
      <c r="AX4" s="41"/>
      <c r="AY4" s="42" t="s">
        <v>49</v>
      </c>
      <c r="AZ4" s="39"/>
      <c r="BA4" s="40"/>
      <c r="BB4" s="43" t="s">
        <v>50</v>
      </c>
      <c r="BC4" s="39"/>
      <c r="BD4" s="40"/>
      <c r="BE4" s="44" t="s">
        <v>51</v>
      </c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40"/>
      <c r="BQ4" s="45" t="s">
        <v>52</v>
      </c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41"/>
      <c r="CI4" s="46" t="s">
        <v>52</v>
      </c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40"/>
    </row>
    <row r="5" ht="36.75" customHeight="1">
      <c r="A5" s="47"/>
      <c r="B5" s="48"/>
      <c r="C5" s="49" t="s">
        <v>53</v>
      </c>
      <c r="D5" s="50"/>
      <c r="E5" s="51"/>
      <c r="F5" s="52" t="s">
        <v>54</v>
      </c>
      <c r="G5" s="50"/>
      <c r="H5" s="51"/>
      <c r="I5" s="52" t="s">
        <v>55</v>
      </c>
      <c r="J5" s="50"/>
      <c r="K5" s="51"/>
      <c r="L5" s="52" t="s">
        <v>56</v>
      </c>
      <c r="M5" s="50"/>
      <c r="N5" s="51"/>
      <c r="O5" s="52" t="s">
        <v>57</v>
      </c>
      <c r="P5" s="50"/>
      <c r="Q5" s="51"/>
      <c r="R5" s="52" t="s">
        <v>58</v>
      </c>
      <c r="S5" s="50"/>
      <c r="T5" s="51"/>
      <c r="U5" s="52" t="s">
        <v>59</v>
      </c>
      <c r="V5" s="50"/>
      <c r="W5" s="51"/>
      <c r="X5" s="52" t="s">
        <v>60</v>
      </c>
      <c r="Y5" s="50"/>
      <c r="Z5" s="51"/>
      <c r="AA5" s="52" t="s">
        <v>61</v>
      </c>
      <c r="AB5" s="50"/>
      <c r="AC5" s="51"/>
      <c r="AD5" s="52" t="s">
        <v>62</v>
      </c>
      <c r="AE5" s="50"/>
      <c r="AF5" s="53"/>
      <c r="AG5" s="49" t="s">
        <v>63</v>
      </c>
      <c r="AH5" s="50"/>
      <c r="AI5" s="51"/>
      <c r="AJ5" s="52" t="s">
        <v>64</v>
      </c>
      <c r="AK5" s="50"/>
      <c r="AL5" s="51"/>
      <c r="AM5" s="52" t="s">
        <v>65</v>
      </c>
      <c r="AN5" s="50"/>
      <c r="AO5" s="51"/>
      <c r="AP5" s="52" t="s">
        <v>66</v>
      </c>
      <c r="AQ5" s="50"/>
      <c r="AR5" s="51"/>
      <c r="AS5" s="52" t="s">
        <v>67</v>
      </c>
      <c r="AT5" s="50"/>
      <c r="AU5" s="53"/>
      <c r="AV5" s="49" t="s">
        <v>68</v>
      </c>
      <c r="AW5" s="50"/>
      <c r="AX5" s="51"/>
      <c r="AY5" s="52" t="s">
        <v>69</v>
      </c>
      <c r="AZ5" s="50"/>
      <c r="BA5" s="53"/>
      <c r="BB5" s="54" t="s">
        <v>70</v>
      </c>
      <c r="BC5" s="50"/>
      <c r="BD5" s="53"/>
      <c r="BE5" s="55" t="s">
        <v>71</v>
      </c>
      <c r="BF5" s="50"/>
      <c r="BG5" s="51"/>
      <c r="BH5" s="56" t="s">
        <v>72</v>
      </c>
      <c r="BI5" s="50"/>
      <c r="BJ5" s="51"/>
      <c r="BK5" s="56" t="s">
        <v>73</v>
      </c>
      <c r="BL5" s="50"/>
      <c r="BM5" s="51"/>
      <c r="BN5" s="56" t="s">
        <v>74</v>
      </c>
      <c r="BO5" s="50"/>
      <c r="BP5" s="53"/>
      <c r="BQ5" s="57" t="s">
        <v>75</v>
      </c>
      <c r="BR5" s="50"/>
      <c r="BS5" s="51"/>
      <c r="BT5" s="58" t="s">
        <v>76</v>
      </c>
      <c r="BU5" s="50"/>
      <c r="BV5" s="51"/>
      <c r="BW5" s="59"/>
      <c r="BX5" s="50"/>
      <c r="BY5" s="51"/>
      <c r="BZ5" s="59"/>
      <c r="CA5" s="50"/>
      <c r="CB5" s="51"/>
      <c r="CC5" s="59"/>
      <c r="CD5" s="50"/>
      <c r="CE5" s="51"/>
      <c r="CF5" s="59"/>
      <c r="CG5" s="50"/>
      <c r="CH5" s="51"/>
      <c r="CI5" s="60" t="s">
        <v>77</v>
      </c>
      <c r="CJ5" s="50"/>
      <c r="CK5" s="51"/>
      <c r="CL5" s="60" t="s">
        <v>78</v>
      </c>
      <c r="CM5" s="50"/>
      <c r="CN5" s="51"/>
      <c r="CO5" s="60" t="s">
        <v>79</v>
      </c>
      <c r="CP5" s="50"/>
      <c r="CQ5" s="51"/>
      <c r="CR5" s="60" t="s">
        <v>80</v>
      </c>
      <c r="CS5" s="50"/>
      <c r="CT5" s="51"/>
      <c r="CU5" s="60" t="s">
        <v>81</v>
      </c>
      <c r="CV5" s="50"/>
      <c r="CW5" s="51"/>
      <c r="CX5" s="61" t="s">
        <v>82</v>
      </c>
      <c r="CY5" s="50"/>
      <c r="CZ5" s="51"/>
      <c r="DA5" s="60" t="s">
        <v>83</v>
      </c>
      <c r="DB5" s="50"/>
      <c r="DC5" s="51"/>
      <c r="DD5" s="60" t="s">
        <v>84</v>
      </c>
      <c r="DE5" s="50"/>
      <c r="DF5" s="51"/>
      <c r="DG5" s="61" t="s">
        <v>85</v>
      </c>
      <c r="DH5" s="50"/>
      <c r="DI5" s="51"/>
      <c r="DJ5" s="60" t="s">
        <v>86</v>
      </c>
      <c r="DK5" s="50"/>
      <c r="DL5" s="53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</row>
    <row r="6" ht="33.75" customHeight="1">
      <c r="B6" s="62"/>
      <c r="C6" s="63" t="s">
        <v>87</v>
      </c>
      <c r="D6" s="64" t="s">
        <v>88</v>
      </c>
      <c r="E6" s="64" t="s">
        <v>89</v>
      </c>
      <c r="F6" s="64" t="s">
        <v>87</v>
      </c>
      <c r="G6" s="64" t="s">
        <v>88</v>
      </c>
      <c r="H6" s="64" t="s">
        <v>89</v>
      </c>
      <c r="I6" s="64" t="s">
        <v>87</v>
      </c>
      <c r="J6" s="64" t="s">
        <v>88</v>
      </c>
      <c r="K6" s="64" t="s">
        <v>89</v>
      </c>
      <c r="L6" s="64" t="s">
        <v>87</v>
      </c>
      <c r="M6" s="64" t="s">
        <v>88</v>
      </c>
      <c r="N6" s="64" t="s">
        <v>89</v>
      </c>
      <c r="O6" s="64" t="s">
        <v>87</v>
      </c>
      <c r="P6" s="64" t="s">
        <v>88</v>
      </c>
      <c r="Q6" s="64" t="s">
        <v>89</v>
      </c>
      <c r="R6" s="64" t="s">
        <v>87</v>
      </c>
      <c r="S6" s="64" t="s">
        <v>88</v>
      </c>
      <c r="T6" s="64" t="s">
        <v>89</v>
      </c>
      <c r="U6" s="64" t="s">
        <v>87</v>
      </c>
      <c r="V6" s="64" t="s">
        <v>88</v>
      </c>
      <c r="W6" s="64" t="s">
        <v>89</v>
      </c>
      <c r="X6" s="64" t="s">
        <v>87</v>
      </c>
      <c r="Y6" s="64" t="s">
        <v>88</v>
      </c>
      <c r="Z6" s="64" t="s">
        <v>89</v>
      </c>
      <c r="AA6" s="64" t="s">
        <v>87</v>
      </c>
      <c r="AB6" s="64" t="s">
        <v>88</v>
      </c>
      <c r="AC6" s="64" t="s">
        <v>89</v>
      </c>
      <c r="AD6" s="64" t="s">
        <v>87</v>
      </c>
      <c r="AE6" s="64" t="s">
        <v>88</v>
      </c>
      <c r="AF6" s="65" t="s">
        <v>89</v>
      </c>
      <c r="AG6" s="63" t="s">
        <v>87</v>
      </c>
      <c r="AH6" s="64" t="s">
        <v>88</v>
      </c>
      <c r="AI6" s="64" t="s">
        <v>89</v>
      </c>
      <c r="AJ6" s="64" t="s">
        <v>87</v>
      </c>
      <c r="AK6" s="64" t="s">
        <v>88</v>
      </c>
      <c r="AL6" s="64" t="s">
        <v>89</v>
      </c>
      <c r="AM6" s="64" t="s">
        <v>87</v>
      </c>
      <c r="AN6" s="64" t="s">
        <v>88</v>
      </c>
      <c r="AO6" s="64" t="s">
        <v>89</v>
      </c>
      <c r="AP6" s="64" t="s">
        <v>87</v>
      </c>
      <c r="AQ6" s="64" t="s">
        <v>88</v>
      </c>
      <c r="AR6" s="64" t="s">
        <v>89</v>
      </c>
      <c r="AS6" s="64" t="s">
        <v>87</v>
      </c>
      <c r="AT6" s="64" t="s">
        <v>88</v>
      </c>
      <c r="AU6" s="65" t="s">
        <v>89</v>
      </c>
      <c r="AV6" s="63" t="s">
        <v>87</v>
      </c>
      <c r="AW6" s="64" t="s">
        <v>88</v>
      </c>
      <c r="AX6" s="64" t="s">
        <v>89</v>
      </c>
      <c r="AY6" s="64" t="s">
        <v>87</v>
      </c>
      <c r="AZ6" s="64" t="s">
        <v>88</v>
      </c>
      <c r="BA6" s="65" t="s">
        <v>89</v>
      </c>
      <c r="BB6" s="63" t="s">
        <v>87</v>
      </c>
      <c r="BC6" s="64" t="s">
        <v>88</v>
      </c>
      <c r="BD6" s="65" t="s">
        <v>89</v>
      </c>
      <c r="BE6" s="63" t="s">
        <v>87</v>
      </c>
      <c r="BF6" s="64" t="s">
        <v>88</v>
      </c>
      <c r="BG6" s="64" t="s">
        <v>89</v>
      </c>
      <c r="BH6" s="64" t="s">
        <v>87</v>
      </c>
      <c r="BI6" s="64" t="s">
        <v>88</v>
      </c>
      <c r="BJ6" s="64" t="s">
        <v>89</v>
      </c>
      <c r="BK6" s="64" t="s">
        <v>87</v>
      </c>
      <c r="BL6" s="64" t="s">
        <v>88</v>
      </c>
      <c r="BM6" s="64" t="s">
        <v>89</v>
      </c>
      <c r="BN6" s="64" t="s">
        <v>87</v>
      </c>
      <c r="BO6" s="64" t="s">
        <v>88</v>
      </c>
      <c r="BP6" s="65" t="s">
        <v>89</v>
      </c>
      <c r="BQ6" s="63" t="s">
        <v>87</v>
      </c>
      <c r="BR6" s="64" t="s">
        <v>88</v>
      </c>
      <c r="BS6" s="64" t="s">
        <v>89</v>
      </c>
      <c r="BT6" s="64" t="s">
        <v>87</v>
      </c>
      <c r="BU6" s="64" t="s">
        <v>88</v>
      </c>
      <c r="BV6" s="64" t="s">
        <v>89</v>
      </c>
      <c r="BW6" s="64" t="s">
        <v>87</v>
      </c>
      <c r="BX6" s="64" t="s">
        <v>88</v>
      </c>
      <c r="BY6" s="64" t="s">
        <v>89</v>
      </c>
      <c r="BZ6" s="64" t="s">
        <v>87</v>
      </c>
      <c r="CA6" s="64" t="s">
        <v>88</v>
      </c>
      <c r="CB6" s="64" t="s">
        <v>89</v>
      </c>
      <c r="CC6" s="64" t="s">
        <v>87</v>
      </c>
      <c r="CD6" s="64" t="s">
        <v>88</v>
      </c>
      <c r="CE6" s="64" t="s">
        <v>89</v>
      </c>
      <c r="CF6" s="64" t="s">
        <v>87</v>
      </c>
      <c r="CG6" s="64" t="s">
        <v>88</v>
      </c>
      <c r="CH6" s="64" t="s">
        <v>89</v>
      </c>
      <c r="CI6" s="64" t="s">
        <v>90</v>
      </c>
      <c r="CJ6" s="64" t="s">
        <v>91</v>
      </c>
      <c r="CK6" s="64" t="s">
        <v>92</v>
      </c>
      <c r="CL6" s="64" t="s">
        <v>90</v>
      </c>
      <c r="CM6" s="64" t="s">
        <v>91</v>
      </c>
      <c r="CN6" s="64" t="s">
        <v>92</v>
      </c>
      <c r="CO6" s="64" t="s">
        <v>90</v>
      </c>
      <c r="CP6" s="64" t="s">
        <v>91</v>
      </c>
      <c r="CQ6" s="64" t="s">
        <v>92</v>
      </c>
      <c r="CR6" s="64" t="s">
        <v>90</v>
      </c>
      <c r="CS6" s="64" t="s">
        <v>91</v>
      </c>
      <c r="CT6" s="64" t="s">
        <v>92</v>
      </c>
      <c r="CU6" s="64" t="s">
        <v>90</v>
      </c>
      <c r="CV6" s="64" t="s">
        <v>91</v>
      </c>
      <c r="CW6" s="64" t="s">
        <v>92</v>
      </c>
      <c r="CX6" s="64" t="s">
        <v>90</v>
      </c>
      <c r="CY6" s="64" t="s">
        <v>91</v>
      </c>
      <c r="CZ6" s="64" t="s">
        <v>92</v>
      </c>
      <c r="DA6" s="64" t="s">
        <v>90</v>
      </c>
      <c r="DB6" s="64" t="s">
        <v>91</v>
      </c>
      <c r="DC6" s="64" t="s">
        <v>92</v>
      </c>
      <c r="DD6" s="64" t="s">
        <v>90</v>
      </c>
      <c r="DE6" s="64" t="s">
        <v>91</v>
      </c>
      <c r="DF6" s="64" t="s">
        <v>92</v>
      </c>
      <c r="DG6" s="64" t="s">
        <v>90</v>
      </c>
      <c r="DH6" s="64" t="s">
        <v>91</v>
      </c>
      <c r="DI6" s="64" t="s">
        <v>92</v>
      </c>
      <c r="DJ6" s="64" t="s">
        <v>90</v>
      </c>
      <c r="DK6" s="64" t="s">
        <v>91</v>
      </c>
      <c r="DL6" s="65" t="s">
        <v>92</v>
      </c>
      <c r="EI6" s="66"/>
    </row>
    <row r="7" ht="14.25" customHeight="1">
      <c r="B7" s="67" t="s">
        <v>93</v>
      </c>
      <c r="C7" s="68">
        <v>0.0</v>
      </c>
      <c r="D7" s="69">
        <v>0.0</v>
      </c>
      <c r="E7" s="69">
        <v>0.0</v>
      </c>
      <c r="F7" s="69">
        <v>24800.54795</v>
      </c>
      <c r="G7" s="69">
        <v>1583.013699</v>
      </c>
      <c r="H7" s="69">
        <v>23745.20548</v>
      </c>
      <c r="I7" s="69">
        <v>0.0</v>
      </c>
      <c r="J7" s="69">
        <v>0.0</v>
      </c>
      <c r="K7" s="69">
        <v>0.0</v>
      </c>
      <c r="L7" s="69">
        <v>117354.0822</v>
      </c>
      <c r="M7" s="69">
        <v>56109.0411</v>
      </c>
      <c r="N7" s="69">
        <v>45379.72603</v>
      </c>
      <c r="O7" s="69">
        <v>0.0</v>
      </c>
      <c r="P7" s="69">
        <v>0.0</v>
      </c>
      <c r="Q7" s="69">
        <v>0.0</v>
      </c>
      <c r="R7" s="69">
        <v>43444.93151</v>
      </c>
      <c r="S7" s="69">
        <v>48545.75342</v>
      </c>
      <c r="T7" s="69">
        <v>43444.93151</v>
      </c>
      <c r="U7" s="69">
        <v>0.0</v>
      </c>
      <c r="V7" s="69">
        <v>0.0</v>
      </c>
      <c r="W7" s="69">
        <v>0.0</v>
      </c>
      <c r="X7" s="69">
        <v>9498.082192</v>
      </c>
      <c r="Y7" s="69">
        <v>0.0</v>
      </c>
      <c r="Z7" s="69">
        <v>7915.068493</v>
      </c>
      <c r="AA7" s="69">
        <v>0.0</v>
      </c>
      <c r="AB7" s="69">
        <v>0.0</v>
      </c>
      <c r="AC7" s="69">
        <v>0.0</v>
      </c>
      <c r="AD7" s="69">
        <v>7915.068493</v>
      </c>
      <c r="AE7" s="69">
        <v>0.0</v>
      </c>
      <c r="AF7" s="70">
        <v>7915.068493</v>
      </c>
      <c r="AG7" s="68">
        <v>22162.19178</v>
      </c>
      <c r="AH7" s="69">
        <v>23622.08219</v>
      </c>
      <c r="AI7" s="69">
        <v>0.0</v>
      </c>
      <c r="AJ7" s="69">
        <v>0.0</v>
      </c>
      <c r="AK7" s="69">
        <v>0.0</v>
      </c>
      <c r="AL7" s="69">
        <v>0.0</v>
      </c>
      <c r="AM7" s="69">
        <v>0.0</v>
      </c>
      <c r="AN7" s="69">
        <v>0.0</v>
      </c>
      <c r="AO7" s="69">
        <v>0.0</v>
      </c>
      <c r="AP7" s="69">
        <v>0.0</v>
      </c>
      <c r="AQ7" s="69">
        <v>0.0</v>
      </c>
      <c r="AR7" s="69">
        <v>0.0</v>
      </c>
      <c r="AS7" s="69">
        <v>0.0</v>
      </c>
      <c r="AT7" s="69">
        <v>0.0</v>
      </c>
      <c r="AU7" s="70">
        <v>0.0</v>
      </c>
      <c r="AV7" s="68">
        <v>49601.09589</v>
      </c>
      <c r="AW7" s="69">
        <v>24800.54795</v>
      </c>
      <c r="AX7" s="71">
        <v>49601.09589</v>
      </c>
      <c r="AY7" s="69">
        <v>0.0</v>
      </c>
      <c r="AZ7" s="69">
        <v>0.0</v>
      </c>
      <c r="BA7" s="70">
        <v>0.0</v>
      </c>
      <c r="BB7" s="68">
        <v>1968.961233</v>
      </c>
      <c r="BC7" s="69">
        <v>2018.342466</v>
      </c>
      <c r="BD7" s="70">
        <v>1365.076685</v>
      </c>
      <c r="BE7" s="68">
        <v>22162.19178</v>
      </c>
      <c r="BF7" s="69">
        <v>23745.20548</v>
      </c>
      <c r="BG7" s="69">
        <v>22162.19178</v>
      </c>
      <c r="BH7" s="69">
        <v>0.0</v>
      </c>
      <c r="BI7" s="69">
        <v>0.0</v>
      </c>
      <c r="BJ7" s="69">
        <v>0.0</v>
      </c>
      <c r="BK7" s="69">
        <v>0.0</v>
      </c>
      <c r="BL7" s="69">
        <v>0.0</v>
      </c>
      <c r="BM7" s="69">
        <v>0.0</v>
      </c>
      <c r="BN7" s="69">
        <v>0.0</v>
      </c>
      <c r="BO7" s="69">
        <v>0.0</v>
      </c>
      <c r="BP7" s="70">
        <v>0.0</v>
      </c>
      <c r="BQ7" s="68">
        <v>0.0</v>
      </c>
      <c r="BR7" s="69">
        <v>0.0</v>
      </c>
      <c r="BS7" s="69">
        <v>0.0</v>
      </c>
      <c r="BT7" s="69">
        <v>0.0</v>
      </c>
      <c r="BU7" s="69">
        <v>0.0</v>
      </c>
      <c r="BV7" s="69">
        <v>0.0</v>
      </c>
      <c r="BW7" s="69">
        <v>0.0</v>
      </c>
      <c r="BX7" s="69">
        <v>0.0</v>
      </c>
      <c r="BY7" s="69">
        <v>0.0</v>
      </c>
      <c r="BZ7" s="69">
        <v>0.0</v>
      </c>
      <c r="CA7" s="69">
        <v>0.0</v>
      </c>
      <c r="CB7" s="69">
        <v>0.0</v>
      </c>
      <c r="CC7" s="69">
        <v>0.0</v>
      </c>
      <c r="CD7" s="69">
        <v>0.0</v>
      </c>
      <c r="CE7" s="69">
        <v>0.0</v>
      </c>
      <c r="CF7" s="69">
        <v>0.0</v>
      </c>
      <c r="CG7" s="69">
        <v>0.0</v>
      </c>
      <c r="CH7" s="69">
        <v>0.0</v>
      </c>
      <c r="CI7" s="69">
        <v>0.0</v>
      </c>
      <c r="CJ7" s="69">
        <v>0.0</v>
      </c>
      <c r="CK7" s="69">
        <v>0.0</v>
      </c>
      <c r="CL7" s="69">
        <v>0.0</v>
      </c>
      <c r="CM7" s="69">
        <v>0.0</v>
      </c>
      <c r="CN7" s="69">
        <v>0.0</v>
      </c>
      <c r="CO7" s="69">
        <v>0.0</v>
      </c>
      <c r="CP7" s="69">
        <v>0.0</v>
      </c>
      <c r="CQ7" s="69">
        <v>0.0</v>
      </c>
      <c r="CR7" s="69">
        <v>0.0</v>
      </c>
      <c r="CS7" s="69">
        <v>0.0</v>
      </c>
      <c r="CT7" s="69">
        <v>0.0</v>
      </c>
      <c r="CU7" s="69">
        <v>0.0</v>
      </c>
      <c r="CV7" s="69">
        <v>0.0</v>
      </c>
      <c r="CW7" s="69">
        <v>0.0</v>
      </c>
      <c r="CX7" s="69">
        <v>0.0</v>
      </c>
      <c r="CY7" s="69">
        <v>0.0</v>
      </c>
      <c r="CZ7" s="69">
        <v>0.0</v>
      </c>
      <c r="DA7" s="69">
        <v>0.0</v>
      </c>
      <c r="DB7" s="69">
        <v>0.0</v>
      </c>
      <c r="DC7" s="69">
        <v>0.0</v>
      </c>
      <c r="DD7" s="69">
        <v>0.0</v>
      </c>
      <c r="DE7" s="69">
        <v>0.0</v>
      </c>
      <c r="DF7" s="69">
        <v>0.0</v>
      </c>
      <c r="DG7" s="69">
        <v>0.0</v>
      </c>
      <c r="DH7" s="69">
        <v>0.0</v>
      </c>
      <c r="DI7" s="69">
        <v>0.0</v>
      </c>
      <c r="DJ7" s="69">
        <v>0.0</v>
      </c>
      <c r="DK7" s="69">
        <v>0.0</v>
      </c>
      <c r="DL7" s="70">
        <v>0.0</v>
      </c>
      <c r="EI7" s="66"/>
    </row>
    <row r="8" ht="14.25" customHeight="1">
      <c r="B8" s="52" t="s">
        <v>94</v>
      </c>
      <c r="C8" s="68">
        <v>0.0</v>
      </c>
      <c r="D8" s="69">
        <v>0.0</v>
      </c>
      <c r="E8" s="69">
        <v>0.0</v>
      </c>
      <c r="F8" s="69">
        <v>0.0</v>
      </c>
      <c r="G8" s="69">
        <v>27000.0</v>
      </c>
      <c r="H8" s="69">
        <v>27000.0</v>
      </c>
      <c r="I8" s="69">
        <v>0.0</v>
      </c>
      <c r="J8" s="69">
        <v>0.0</v>
      </c>
      <c r="K8" s="69">
        <v>0.0</v>
      </c>
      <c r="L8" s="69">
        <v>115000.0</v>
      </c>
      <c r="M8" s="69">
        <v>51600.0</v>
      </c>
      <c r="N8" s="69">
        <v>41610.0</v>
      </c>
      <c r="O8" s="69">
        <v>0.0</v>
      </c>
      <c r="P8" s="69">
        <v>0.0</v>
      </c>
      <c r="Q8" s="69">
        <v>0.0</v>
      </c>
      <c r="R8" s="69">
        <v>15500.0</v>
      </c>
      <c r="S8" s="69">
        <v>49400.0</v>
      </c>
      <c r="T8" s="69">
        <v>4100.0</v>
      </c>
      <c r="U8" s="69">
        <v>0.0</v>
      </c>
      <c r="V8" s="69">
        <v>0.0</v>
      </c>
      <c r="W8" s="69">
        <v>0.0</v>
      </c>
      <c r="X8" s="69">
        <v>6600.0</v>
      </c>
      <c r="Y8" s="69">
        <v>9000.0</v>
      </c>
      <c r="Z8" s="69">
        <v>0.0</v>
      </c>
      <c r="AA8" s="69">
        <v>0.0</v>
      </c>
      <c r="AB8" s="69">
        <v>0.0</v>
      </c>
      <c r="AC8" s="69">
        <v>0.0</v>
      </c>
      <c r="AD8" s="69">
        <v>0.0</v>
      </c>
      <c r="AE8" s="69">
        <v>9000.0</v>
      </c>
      <c r="AF8" s="70">
        <v>0.0</v>
      </c>
      <c r="AG8" s="68">
        <v>35280.0</v>
      </c>
      <c r="AH8" s="69">
        <v>0.0</v>
      </c>
      <c r="AI8" s="69">
        <v>5280.0</v>
      </c>
      <c r="AJ8" s="69">
        <v>0.0</v>
      </c>
      <c r="AK8" s="69">
        <v>0.0</v>
      </c>
      <c r="AL8" s="69">
        <v>0.0</v>
      </c>
      <c r="AM8" s="69">
        <v>0.0</v>
      </c>
      <c r="AN8" s="69">
        <v>0.0</v>
      </c>
      <c r="AO8" s="69">
        <v>0.0</v>
      </c>
      <c r="AP8" s="69">
        <v>0.0</v>
      </c>
      <c r="AQ8" s="69">
        <v>0.0</v>
      </c>
      <c r="AR8" s="69">
        <v>0.0</v>
      </c>
      <c r="AS8" s="69">
        <v>0.0</v>
      </c>
      <c r="AT8" s="69">
        <v>0.0</v>
      </c>
      <c r="AU8" s="70">
        <v>0.0</v>
      </c>
      <c r="AV8" s="68">
        <v>25200.0</v>
      </c>
      <c r="AW8" s="69">
        <v>56400.0</v>
      </c>
      <c r="AX8" s="71">
        <v>12600.0</v>
      </c>
      <c r="AY8" s="69">
        <v>0.0</v>
      </c>
      <c r="AZ8" s="69">
        <v>0.0</v>
      </c>
      <c r="BA8" s="70">
        <v>0.0</v>
      </c>
      <c r="BB8" s="68">
        <v>1452.47</v>
      </c>
      <c r="BC8" s="69">
        <v>1553.19</v>
      </c>
      <c r="BD8" s="70">
        <v>1524.01</v>
      </c>
      <c r="BE8" s="68">
        <v>25200.0</v>
      </c>
      <c r="BF8" s="69">
        <v>25200.0</v>
      </c>
      <c r="BG8" s="69">
        <v>3600.0</v>
      </c>
      <c r="BH8" s="69">
        <v>0.0</v>
      </c>
      <c r="BI8" s="69">
        <v>0.0</v>
      </c>
      <c r="BJ8" s="69">
        <v>0.0</v>
      </c>
      <c r="BK8" s="69">
        <v>0.0</v>
      </c>
      <c r="BL8" s="69">
        <v>0.0</v>
      </c>
      <c r="BM8" s="69">
        <v>0.0</v>
      </c>
      <c r="BN8" s="69">
        <v>0.0</v>
      </c>
      <c r="BO8" s="69">
        <v>0.0</v>
      </c>
      <c r="BP8" s="70">
        <v>0.0</v>
      </c>
      <c r="BQ8" s="68">
        <v>0.0</v>
      </c>
      <c r="BR8" s="69">
        <v>0.0</v>
      </c>
      <c r="BS8" s="69">
        <v>0.0</v>
      </c>
      <c r="BT8" s="69">
        <v>0.0</v>
      </c>
      <c r="BU8" s="69">
        <v>0.0</v>
      </c>
      <c r="BV8" s="69">
        <v>0.0</v>
      </c>
      <c r="BW8" s="69">
        <v>0.0</v>
      </c>
      <c r="BX8" s="69">
        <v>0.0</v>
      </c>
      <c r="BY8" s="69">
        <v>0.0</v>
      </c>
      <c r="BZ8" s="69">
        <v>0.0</v>
      </c>
      <c r="CA8" s="69">
        <v>0.0</v>
      </c>
      <c r="CB8" s="69">
        <v>0.0</v>
      </c>
      <c r="CC8" s="69">
        <v>0.0</v>
      </c>
      <c r="CD8" s="69">
        <v>0.0</v>
      </c>
      <c r="CE8" s="69">
        <v>0.0</v>
      </c>
      <c r="CF8" s="69">
        <v>0.0</v>
      </c>
      <c r="CG8" s="69">
        <v>0.0</v>
      </c>
      <c r="CH8" s="69">
        <v>0.0</v>
      </c>
      <c r="CI8" s="69">
        <v>0.0</v>
      </c>
      <c r="CJ8" s="69">
        <v>0.0</v>
      </c>
      <c r="CK8" s="69">
        <v>0.0</v>
      </c>
      <c r="CL8" s="69">
        <v>0.0</v>
      </c>
      <c r="CM8" s="69">
        <v>0.0</v>
      </c>
      <c r="CN8" s="69">
        <v>0.0</v>
      </c>
      <c r="CO8" s="69">
        <v>0.0</v>
      </c>
      <c r="CP8" s="69">
        <v>0.0</v>
      </c>
      <c r="CQ8" s="69">
        <v>0.0</v>
      </c>
      <c r="CR8" s="69">
        <v>0.0</v>
      </c>
      <c r="CS8" s="69">
        <v>0.0</v>
      </c>
      <c r="CT8" s="69">
        <v>0.0</v>
      </c>
      <c r="CU8" s="69">
        <v>0.0</v>
      </c>
      <c r="CV8" s="69">
        <v>0.0</v>
      </c>
      <c r="CW8" s="69">
        <v>0.0</v>
      </c>
      <c r="CX8" s="69">
        <v>0.0</v>
      </c>
      <c r="CY8" s="69">
        <v>0.0</v>
      </c>
      <c r="CZ8" s="69">
        <v>0.0</v>
      </c>
      <c r="DA8" s="69">
        <v>0.0</v>
      </c>
      <c r="DB8" s="69">
        <v>0.0</v>
      </c>
      <c r="DC8" s="69">
        <v>0.0</v>
      </c>
      <c r="DD8" s="69">
        <v>0.0</v>
      </c>
      <c r="DE8" s="69">
        <v>0.0</v>
      </c>
      <c r="DF8" s="69">
        <v>0.0</v>
      </c>
      <c r="DG8" s="69">
        <v>0.0</v>
      </c>
      <c r="DH8" s="69">
        <v>0.0</v>
      </c>
      <c r="DI8" s="69">
        <v>0.0</v>
      </c>
      <c r="DJ8" s="69">
        <v>0.0</v>
      </c>
      <c r="DK8" s="69">
        <v>0.0</v>
      </c>
      <c r="DL8" s="70">
        <v>0.0</v>
      </c>
      <c r="EI8" s="66"/>
    </row>
    <row r="9" ht="15.0" customHeight="1">
      <c r="B9" s="52" t="s">
        <v>95</v>
      </c>
      <c r="C9" s="68">
        <v>0.0</v>
      </c>
      <c r="D9" s="69">
        <v>0.0</v>
      </c>
      <c r="E9" s="69">
        <v>0.0</v>
      </c>
      <c r="F9" s="69">
        <v>0.0</v>
      </c>
      <c r="G9" s="69">
        <v>27000.0</v>
      </c>
      <c r="H9" s="69">
        <v>12600.0</v>
      </c>
      <c r="I9" s="69">
        <v>0.0</v>
      </c>
      <c r="J9" s="69">
        <v>0.0</v>
      </c>
      <c r="K9" s="69">
        <v>0.0</v>
      </c>
      <c r="L9" s="69">
        <v>60860.0</v>
      </c>
      <c r="M9" s="69">
        <v>41610.0</v>
      </c>
      <c r="N9" s="69">
        <v>51240.0</v>
      </c>
      <c r="O9" s="69">
        <v>0.0</v>
      </c>
      <c r="P9" s="69">
        <v>0.0</v>
      </c>
      <c r="Q9" s="69">
        <v>0.0</v>
      </c>
      <c r="R9" s="72">
        <v>13600.0</v>
      </c>
      <c r="S9" s="69">
        <v>4100.0</v>
      </c>
      <c r="T9" s="69">
        <v>10300.0</v>
      </c>
      <c r="U9" s="69">
        <v>12600.0</v>
      </c>
      <c r="V9" s="69">
        <v>0.0</v>
      </c>
      <c r="W9" s="69">
        <v>12600.0</v>
      </c>
      <c r="X9" s="69">
        <v>12000.0</v>
      </c>
      <c r="Y9" s="69">
        <v>0.0</v>
      </c>
      <c r="Z9" s="69">
        <v>0.0</v>
      </c>
      <c r="AA9" s="69">
        <v>12600.0</v>
      </c>
      <c r="AB9" s="69">
        <v>0.0</v>
      </c>
      <c r="AC9" s="69">
        <v>12600.0</v>
      </c>
      <c r="AD9" s="69">
        <v>0.0</v>
      </c>
      <c r="AE9" s="69">
        <v>0.0</v>
      </c>
      <c r="AF9" s="70">
        <v>0.0</v>
      </c>
      <c r="AG9" s="68">
        <v>19820.0</v>
      </c>
      <c r="AH9" s="69">
        <v>5280.0</v>
      </c>
      <c r="AI9" s="69">
        <v>16800.0</v>
      </c>
      <c r="AJ9" s="69">
        <v>0.0</v>
      </c>
      <c r="AK9" s="69">
        <v>0.0</v>
      </c>
      <c r="AL9" s="69">
        <v>0.0</v>
      </c>
      <c r="AM9" s="69">
        <v>0.0</v>
      </c>
      <c r="AN9" s="69">
        <v>0.0</v>
      </c>
      <c r="AO9" s="69">
        <v>0.0</v>
      </c>
      <c r="AP9" s="69">
        <v>0.0</v>
      </c>
      <c r="AQ9" s="69">
        <v>0.0</v>
      </c>
      <c r="AR9" s="69">
        <v>0.0</v>
      </c>
      <c r="AS9" s="69">
        <v>0.0</v>
      </c>
      <c r="AT9" s="69">
        <v>0.0</v>
      </c>
      <c r="AU9" s="70">
        <v>0.0</v>
      </c>
      <c r="AV9" s="68">
        <v>56400.0</v>
      </c>
      <c r="AW9" s="69">
        <v>12600.0</v>
      </c>
      <c r="AX9" s="71">
        <v>56400.0</v>
      </c>
      <c r="AY9" s="69">
        <v>0.0</v>
      </c>
      <c r="AZ9" s="69">
        <v>0.0</v>
      </c>
      <c r="BA9" s="70">
        <v>0.0</v>
      </c>
      <c r="BB9" s="68">
        <v>3711.04</v>
      </c>
      <c r="BC9" s="69">
        <v>1524.0</v>
      </c>
      <c r="BD9" s="70">
        <v>3109.16</v>
      </c>
      <c r="BE9" s="68">
        <v>25200.0</v>
      </c>
      <c r="BF9" s="69">
        <v>3600.0</v>
      </c>
      <c r="BG9" s="69">
        <v>0.0</v>
      </c>
      <c r="BH9" s="69">
        <v>0.0</v>
      </c>
      <c r="BI9" s="69">
        <v>0.0</v>
      </c>
      <c r="BJ9" s="69">
        <v>0.0</v>
      </c>
      <c r="BK9" s="69">
        <v>0.0</v>
      </c>
      <c r="BL9" s="69">
        <v>0.0</v>
      </c>
      <c r="BM9" s="69">
        <v>0.0</v>
      </c>
      <c r="BN9" s="69">
        <v>0.0</v>
      </c>
      <c r="BO9" s="69">
        <v>0.0</v>
      </c>
      <c r="BP9" s="70">
        <v>0.0</v>
      </c>
      <c r="BQ9" s="68">
        <v>3000.0</v>
      </c>
      <c r="BR9" s="69">
        <v>0.0</v>
      </c>
      <c r="BS9" s="68">
        <v>3000.0</v>
      </c>
      <c r="BT9" s="69">
        <v>0.0</v>
      </c>
      <c r="BU9" s="69">
        <v>0.0</v>
      </c>
      <c r="BV9" s="69">
        <v>0.0</v>
      </c>
      <c r="BW9" s="69">
        <v>0.0</v>
      </c>
      <c r="BX9" s="69">
        <v>0.0</v>
      </c>
      <c r="BY9" s="69">
        <v>0.0</v>
      </c>
      <c r="BZ9" s="69">
        <v>0.0</v>
      </c>
      <c r="CA9" s="69">
        <v>0.0</v>
      </c>
      <c r="CB9" s="69">
        <v>0.0</v>
      </c>
      <c r="CC9" s="69">
        <v>0.0</v>
      </c>
      <c r="CD9" s="69">
        <v>0.0</v>
      </c>
      <c r="CE9" s="69">
        <v>0.0</v>
      </c>
      <c r="CF9" s="69">
        <v>0.0</v>
      </c>
      <c r="CG9" s="69">
        <v>0.0</v>
      </c>
      <c r="CH9" s="69">
        <v>0.0</v>
      </c>
      <c r="CI9" s="69">
        <v>0.0</v>
      </c>
      <c r="CJ9" s="69">
        <v>0.0</v>
      </c>
      <c r="CK9" s="69">
        <v>0.0</v>
      </c>
      <c r="CL9" s="69">
        <v>0.0</v>
      </c>
      <c r="CM9" s="69">
        <v>0.0</v>
      </c>
      <c r="CN9" s="69">
        <v>0.0</v>
      </c>
      <c r="CO9" s="69">
        <v>0.0</v>
      </c>
      <c r="CP9" s="69">
        <v>0.0</v>
      </c>
      <c r="CQ9" s="69">
        <v>0.0</v>
      </c>
      <c r="CR9" s="69">
        <v>0.0</v>
      </c>
      <c r="CS9" s="69">
        <v>0.0</v>
      </c>
      <c r="CT9" s="69">
        <v>0.0</v>
      </c>
      <c r="CU9" s="69">
        <v>0.0</v>
      </c>
      <c r="CV9" s="69">
        <v>0.0</v>
      </c>
      <c r="CW9" s="69">
        <v>0.0</v>
      </c>
      <c r="CX9" s="69">
        <v>0.0</v>
      </c>
      <c r="CY9" s="69">
        <v>0.0</v>
      </c>
      <c r="CZ9" s="69">
        <v>0.0</v>
      </c>
      <c r="DA9" s="69">
        <v>0.0</v>
      </c>
      <c r="DB9" s="69">
        <v>0.0</v>
      </c>
      <c r="DC9" s="69">
        <v>0.0</v>
      </c>
      <c r="DD9" s="69">
        <v>0.0</v>
      </c>
      <c r="DE9" s="69">
        <v>0.0</v>
      </c>
      <c r="DF9" s="69">
        <v>0.0</v>
      </c>
      <c r="DG9" s="69">
        <v>0.0</v>
      </c>
      <c r="DH9" s="69">
        <v>0.0</v>
      </c>
      <c r="DI9" s="69">
        <v>0.0</v>
      </c>
      <c r="DJ9" s="69">
        <v>0.0</v>
      </c>
      <c r="DK9" s="69">
        <v>0.0</v>
      </c>
      <c r="DL9" s="70">
        <v>0.0</v>
      </c>
      <c r="EI9" s="66"/>
    </row>
    <row r="10" ht="14.25" customHeight="1">
      <c r="B10" s="52" t="s">
        <v>96</v>
      </c>
      <c r="C10" s="68">
        <v>0.0</v>
      </c>
      <c r="D10" s="69">
        <v>0.0</v>
      </c>
      <c r="E10" s="69">
        <v>0.0</v>
      </c>
      <c r="F10" s="69">
        <v>0.0</v>
      </c>
      <c r="G10" s="69">
        <v>12600.0</v>
      </c>
      <c r="H10" s="69">
        <v>0.0</v>
      </c>
      <c r="I10" s="69">
        <v>0.0</v>
      </c>
      <c r="J10" s="69">
        <v>0.0</v>
      </c>
      <c r="K10" s="69">
        <v>0.0</v>
      </c>
      <c r="L10" s="69">
        <v>148140.0</v>
      </c>
      <c r="M10" s="69">
        <v>51240.0</v>
      </c>
      <c r="N10" s="69">
        <v>133820.0</v>
      </c>
      <c r="O10" s="69">
        <v>0.0</v>
      </c>
      <c r="P10" s="69">
        <v>0.0</v>
      </c>
      <c r="Q10" s="69">
        <v>0.0</v>
      </c>
      <c r="R10" s="69">
        <v>15520.0</v>
      </c>
      <c r="S10" s="69">
        <v>10300.0</v>
      </c>
      <c r="T10" s="69">
        <v>15550.0</v>
      </c>
      <c r="U10" s="69">
        <v>0.0</v>
      </c>
      <c r="V10" s="69">
        <v>12600.0</v>
      </c>
      <c r="W10" s="69">
        <v>0.0</v>
      </c>
      <c r="X10" s="69">
        <v>56400.0</v>
      </c>
      <c r="Y10" s="69">
        <v>0.0</v>
      </c>
      <c r="Z10" s="69">
        <v>24600.0</v>
      </c>
      <c r="AA10" s="69">
        <v>4200.0</v>
      </c>
      <c r="AB10" s="69">
        <v>12600.0</v>
      </c>
      <c r="AC10" s="69">
        <v>4200.0</v>
      </c>
      <c r="AD10" s="69">
        <v>0.0</v>
      </c>
      <c r="AE10" s="69">
        <v>0.0</v>
      </c>
      <c r="AF10" s="70">
        <v>0.0</v>
      </c>
      <c r="AG10" s="68">
        <v>0.0</v>
      </c>
      <c r="AH10" s="69">
        <v>16800.0</v>
      </c>
      <c r="AI10" s="69">
        <v>0.0</v>
      </c>
      <c r="AJ10" s="69">
        <v>0.0</v>
      </c>
      <c r="AK10" s="69">
        <v>0.0</v>
      </c>
      <c r="AL10" s="69">
        <v>0.0</v>
      </c>
      <c r="AM10" s="69">
        <v>0.0</v>
      </c>
      <c r="AN10" s="69">
        <v>0.0</v>
      </c>
      <c r="AO10" s="69">
        <v>0.0</v>
      </c>
      <c r="AP10" s="69">
        <v>0.0</v>
      </c>
      <c r="AQ10" s="69">
        <v>0.0</v>
      </c>
      <c r="AR10" s="69">
        <v>0.0</v>
      </c>
      <c r="AS10" s="69">
        <v>0.0</v>
      </c>
      <c r="AT10" s="69">
        <v>0.0</v>
      </c>
      <c r="AU10" s="70">
        <v>0.0</v>
      </c>
      <c r="AV10" s="68">
        <v>28200.0</v>
      </c>
      <c r="AW10" s="69">
        <v>56400.0</v>
      </c>
      <c r="AX10" s="71">
        <v>28240.0</v>
      </c>
      <c r="AY10" s="69">
        <v>25200.0</v>
      </c>
      <c r="AZ10" s="69">
        <v>0.0</v>
      </c>
      <c r="BA10" s="70">
        <v>25200.0</v>
      </c>
      <c r="BB10" s="68">
        <v>3225.585</v>
      </c>
      <c r="BC10" s="69">
        <v>3109.16</v>
      </c>
      <c r="BD10" s="70">
        <v>2917.18</v>
      </c>
      <c r="BE10" s="68">
        <v>0.0</v>
      </c>
      <c r="BF10" s="69">
        <v>0.0</v>
      </c>
      <c r="BG10" s="69">
        <v>0.0</v>
      </c>
      <c r="BH10" s="69">
        <v>0.0</v>
      </c>
      <c r="BI10" s="69">
        <v>0.0</v>
      </c>
      <c r="BJ10" s="69">
        <v>0.0</v>
      </c>
      <c r="BK10" s="69">
        <v>0.0</v>
      </c>
      <c r="BL10" s="69">
        <v>0.0</v>
      </c>
      <c r="BM10" s="69">
        <v>0.0</v>
      </c>
      <c r="BN10" s="69">
        <v>0.0</v>
      </c>
      <c r="BO10" s="69">
        <v>0.0</v>
      </c>
      <c r="BP10" s="70">
        <v>0.0</v>
      </c>
      <c r="BQ10" s="68">
        <v>0.0</v>
      </c>
      <c r="BR10" s="68">
        <v>3000.0</v>
      </c>
      <c r="BS10" s="69">
        <v>0.0</v>
      </c>
      <c r="BT10" s="69">
        <v>9500.0</v>
      </c>
      <c r="BU10" s="69">
        <v>0.0</v>
      </c>
      <c r="BV10" s="69">
        <v>9500.0</v>
      </c>
      <c r="BW10" s="69">
        <v>0.0</v>
      </c>
      <c r="BX10" s="69">
        <v>0.0</v>
      </c>
      <c r="BY10" s="69">
        <v>0.0</v>
      </c>
      <c r="BZ10" s="69">
        <v>0.0</v>
      </c>
      <c r="CA10" s="69">
        <v>0.0</v>
      </c>
      <c r="CB10" s="69">
        <v>0.0</v>
      </c>
      <c r="CC10" s="69">
        <v>0.0</v>
      </c>
      <c r="CD10" s="69">
        <v>0.0</v>
      </c>
      <c r="CE10" s="69">
        <v>0.0</v>
      </c>
      <c r="CF10" s="69">
        <v>0.0</v>
      </c>
      <c r="CG10" s="69">
        <v>0.0</v>
      </c>
      <c r="CH10" s="69">
        <v>0.0</v>
      </c>
      <c r="CI10" s="69">
        <v>0.0</v>
      </c>
      <c r="CJ10" s="69">
        <v>0.0</v>
      </c>
      <c r="CK10" s="69">
        <v>0.0</v>
      </c>
      <c r="CL10" s="69">
        <v>0.0</v>
      </c>
      <c r="CM10" s="69">
        <v>0.0</v>
      </c>
      <c r="CN10" s="69">
        <v>0.0</v>
      </c>
      <c r="CO10" s="69">
        <v>0.0</v>
      </c>
      <c r="CP10" s="69">
        <v>0.0</v>
      </c>
      <c r="CQ10" s="69">
        <v>0.0</v>
      </c>
      <c r="CR10" s="69">
        <v>0.0</v>
      </c>
      <c r="CS10" s="69">
        <v>0.0</v>
      </c>
      <c r="CT10" s="69">
        <v>0.0</v>
      </c>
      <c r="CU10" s="69">
        <v>0.0</v>
      </c>
      <c r="CV10" s="69">
        <v>0.0</v>
      </c>
      <c r="CW10" s="69">
        <v>0.0</v>
      </c>
      <c r="CX10" s="69">
        <v>0.0</v>
      </c>
      <c r="CY10" s="69">
        <v>0.0</v>
      </c>
      <c r="CZ10" s="69">
        <v>0.0</v>
      </c>
      <c r="DA10" s="69">
        <v>0.0</v>
      </c>
      <c r="DB10" s="69">
        <v>0.0</v>
      </c>
      <c r="DC10" s="69">
        <v>0.0</v>
      </c>
      <c r="DD10" s="69">
        <v>0.0</v>
      </c>
      <c r="DE10" s="69">
        <v>0.0</v>
      </c>
      <c r="DF10" s="69">
        <v>0.0</v>
      </c>
      <c r="DG10" s="69">
        <v>0.0</v>
      </c>
      <c r="DH10" s="69">
        <v>0.0</v>
      </c>
      <c r="DI10" s="69">
        <v>0.0</v>
      </c>
      <c r="DJ10" s="69">
        <v>0.0</v>
      </c>
      <c r="DK10" s="69">
        <v>0.0</v>
      </c>
      <c r="DL10" s="70">
        <v>0.0</v>
      </c>
      <c r="EI10" s="66"/>
    </row>
    <row r="11" ht="15.0" customHeight="1">
      <c r="B11" s="52" t="s">
        <v>97</v>
      </c>
      <c r="C11" s="73">
        <v>0.0</v>
      </c>
      <c r="D11" s="74">
        <v>0.0</v>
      </c>
      <c r="E11" s="74">
        <v>0.0</v>
      </c>
      <c r="F11" s="74">
        <v>0.0</v>
      </c>
      <c r="G11" s="74">
        <v>12600.0</v>
      </c>
      <c r="H11" s="74">
        <v>0.0</v>
      </c>
      <c r="I11" s="74">
        <v>0.0</v>
      </c>
      <c r="J11" s="74">
        <v>0.0</v>
      </c>
      <c r="K11" s="74">
        <v>0.0</v>
      </c>
      <c r="L11" s="74">
        <v>148140.0</v>
      </c>
      <c r="M11" s="74">
        <v>51240.0</v>
      </c>
      <c r="N11" s="74">
        <v>133820.0</v>
      </c>
      <c r="O11" s="74">
        <v>0.0</v>
      </c>
      <c r="P11" s="74">
        <v>0.0</v>
      </c>
      <c r="Q11" s="74">
        <v>0.0</v>
      </c>
      <c r="R11" s="74">
        <v>15520.0</v>
      </c>
      <c r="S11" s="74">
        <v>10300.0</v>
      </c>
      <c r="T11" s="74">
        <v>15550.0</v>
      </c>
      <c r="U11" s="74">
        <v>0.0</v>
      </c>
      <c r="V11" s="74">
        <v>12600.0</v>
      </c>
      <c r="W11" s="74">
        <v>0.0</v>
      </c>
      <c r="X11" s="74">
        <v>56400.0</v>
      </c>
      <c r="Y11" s="74">
        <v>0.0</v>
      </c>
      <c r="Z11" s="74">
        <v>24600.0</v>
      </c>
      <c r="AA11" s="74">
        <v>4200.0</v>
      </c>
      <c r="AB11" s="74">
        <v>12600.0</v>
      </c>
      <c r="AC11" s="74">
        <v>4200.0</v>
      </c>
      <c r="AD11" s="74">
        <v>0.0</v>
      </c>
      <c r="AE11" s="74">
        <v>0.0</v>
      </c>
      <c r="AF11" s="75">
        <v>0.0</v>
      </c>
      <c r="AG11" s="73">
        <v>0.0</v>
      </c>
      <c r="AH11" s="74">
        <v>16800.0</v>
      </c>
      <c r="AI11" s="74">
        <v>0.0</v>
      </c>
      <c r="AJ11" s="74">
        <v>0.0</v>
      </c>
      <c r="AK11" s="74">
        <v>0.0</v>
      </c>
      <c r="AL11" s="74">
        <v>0.0</v>
      </c>
      <c r="AM11" s="74">
        <v>0.0</v>
      </c>
      <c r="AN11" s="74">
        <v>0.0</v>
      </c>
      <c r="AO11" s="74">
        <v>0.0</v>
      </c>
      <c r="AP11" s="74">
        <v>0.0</v>
      </c>
      <c r="AQ11" s="74">
        <v>0.0</v>
      </c>
      <c r="AR11" s="74">
        <v>0.0</v>
      </c>
      <c r="AS11" s="74">
        <v>0.0</v>
      </c>
      <c r="AT11" s="74">
        <v>0.0</v>
      </c>
      <c r="AU11" s="75">
        <v>0.0</v>
      </c>
      <c r="AV11" s="73">
        <v>28200.0</v>
      </c>
      <c r="AW11" s="74">
        <v>56400.0</v>
      </c>
      <c r="AX11" s="76">
        <v>28240.0</v>
      </c>
      <c r="AY11" s="74">
        <v>25200.0</v>
      </c>
      <c r="AZ11" s="74">
        <v>0.0</v>
      </c>
      <c r="BA11" s="75">
        <v>25200.0</v>
      </c>
      <c r="BB11" s="73">
        <v>3225.585</v>
      </c>
      <c r="BC11" s="74">
        <v>3109.16</v>
      </c>
      <c r="BD11" s="75">
        <v>2917.18</v>
      </c>
      <c r="BE11" s="73">
        <v>0.0</v>
      </c>
      <c r="BF11" s="74">
        <v>0.0</v>
      </c>
      <c r="BG11" s="74">
        <v>0.0</v>
      </c>
      <c r="BH11" s="74">
        <v>0.0</v>
      </c>
      <c r="BI11" s="74">
        <v>0.0</v>
      </c>
      <c r="BJ11" s="74">
        <v>0.0</v>
      </c>
      <c r="BK11" s="74">
        <v>0.0</v>
      </c>
      <c r="BL11" s="74">
        <v>0.0</v>
      </c>
      <c r="BM11" s="74">
        <v>0.0</v>
      </c>
      <c r="BN11" s="74">
        <v>0.0</v>
      </c>
      <c r="BO11" s="74">
        <v>0.0</v>
      </c>
      <c r="BP11" s="75">
        <v>0.0</v>
      </c>
      <c r="BQ11" s="73">
        <v>0.0</v>
      </c>
      <c r="BR11" s="68">
        <v>3000.0</v>
      </c>
      <c r="BS11" s="74">
        <v>0.0</v>
      </c>
      <c r="BT11" s="69">
        <v>9500.0</v>
      </c>
      <c r="BU11" s="74">
        <v>0.0</v>
      </c>
      <c r="BV11" s="69">
        <v>9500.0</v>
      </c>
      <c r="BW11" s="74">
        <v>0.0</v>
      </c>
      <c r="BX11" s="74">
        <v>0.0</v>
      </c>
      <c r="BY11" s="74">
        <v>0.0</v>
      </c>
      <c r="BZ11" s="74">
        <v>0.0</v>
      </c>
      <c r="CA11" s="74">
        <v>0.0</v>
      </c>
      <c r="CB11" s="74">
        <v>0.0</v>
      </c>
      <c r="CC11" s="74">
        <v>0.0</v>
      </c>
      <c r="CD11" s="74">
        <v>0.0</v>
      </c>
      <c r="CE11" s="74">
        <v>0.0</v>
      </c>
      <c r="CF11" s="74">
        <v>0.0</v>
      </c>
      <c r="CG11" s="74">
        <v>0.0</v>
      </c>
      <c r="CH11" s="74">
        <v>0.0</v>
      </c>
      <c r="CI11" s="74">
        <v>0.0</v>
      </c>
      <c r="CJ11" s="74">
        <v>0.0</v>
      </c>
      <c r="CK11" s="74">
        <v>0.0</v>
      </c>
      <c r="CL11" s="74">
        <v>0.0</v>
      </c>
      <c r="CM11" s="74">
        <v>0.0</v>
      </c>
      <c r="CN11" s="74">
        <v>0.0</v>
      </c>
      <c r="CO11" s="74">
        <v>0.0</v>
      </c>
      <c r="CP11" s="74">
        <v>0.0</v>
      </c>
      <c r="CQ11" s="74">
        <v>0.0</v>
      </c>
      <c r="CR11" s="74">
        <v>0.0</v>
      </c>
      <c r="CS11" s="74">
        <v>0.0</v>
      </c>
      <c r="CT11" s="74">
        <v>0.0</v>
      </c>
      <c r="CU11" s="69">
        <v>0.0</v>
      </c>
      <c r="CV11" s="74">
        <v>0.0</v>
      </c>
      <c r="CW11" s="74">
        <v>0.0</v>
      </c>
      <c r="CX11" s="74">
        <v>0.0</v>
      </c>
      <c r="CY11" s="74">
        <v>0.0</v>
      </c>
      <c r="CZ11" s="74">
        <v>0.0</v>
      </c>
      <c r="DA11" s="74">
        <v>0.0</v>
      </c>
      <c r="DB11" s="74">
        <v>0.0</v>
      </c>
      <c r="DC11" s="74">
        <v>0.0</v>
      </c>
      <c r="DD11" s="74">
        <v>0.0</v>
      </c>
      <c r="DE11" s="74">
        <v>0.0</v>
      </c>
      <c r="DF11" s="74">
        <v>0.0</v>
      </c>
      <c r="DG11" s="74">
        <v>0.0</v>
      </c>
      <c r="DH11" s="74">
        <v>0.0</v>
      </c>
      <c r="DI11" s="74">
        <v>0.0</v>
      </c>
      <c r="DJ11" s="74">
        <v>0.0</v>
      </c>
      <c r="DK11" s="74">
        <v>0.0</v>
      </c>
      <c r="DL11" s="75">
        <v>0.0</v>
      </c>
      <c r="EI11" s="66"/>
    </row>
    <row r="12" ht="14.25" customHeight="1">
      <c r="EI12" s="66"/>
    </row>
    <row r="13" ht="14.25" customHeight="1">
      <c r="B13" s="77" t="s">
        <v>98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  <c r="CY13" s="78"/>
      <c r="CZ13" s="79"/>
      <c r="DA13" s="79"/>
      <c r="DB13" s="79"/>
      <c r="DC13" s="79"/>
      <c r="DD13" s="79"/>
      <c r="DE13" s="79"/>
      <c r="DF13" s="79"/>
      <c r="DG13" s="79"/>
      <c r="DH13" s="79"/>
      <c r="DI13" s="79"/>
      <c r="DJ13" s="79"/>
      <c r="DK13" s="79"/>
      <c r="DL13" s="79"/>
      <c r="DM13" s="79"/>
      <c r="DN13" s="79"/>
      <c r="DO13" s="79"/>
      <c r="DP13" s="79"/>
      <c r="DQ13" s="80"/>
      <c r="DR13" s="80"/>
      <c r="DS13" s="80"/>
      <c r="DT13" s="80"/>
      <c r="DU13" s="80"/>
      <c r="DV13" s="80"/>
      <c r="DW13" s="80"/>
      <c r="DX13" s="80"/>
      <c r="DY13" s="80"/>
      <c r="DZ13" s="80"/>
      <c r="EA13" s="80"/>
      <c r="EB13" s="80"/>
      <c r="EC13" s="80"/>
      <c r="ED13" s="80"/>
      <c r="EE13" s="80"/>
      <c r="EF13" s="80"/>
      <c r="EG13" s="80"/>
      <c r="EH13" s="80"/>
      <c r="EI13" s="66"/>
    </row>
    <row r="14" ht="15.0" customHeight="1">
      <c r="B14" s="81"/>
      <c r="C14" s="82" t="s">
        <v>99</v>
      </c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4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6" t="s">
        <v>50</v>
      </c>
      <c r="CL14" s="87"/>
      <c r="CM14" s="88" t="s">
        <v>100</v>
      </c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87"/>
      <c r="DC14" s="89" t="s">
        <v>52</v>
      </c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87"/>
      <c r="DO14" s="90" t="s">
        <v>52</v>
      </c>
      <c r="DP14" s="83"/>
      <c r="DQ14" s="83"/>
      <c r="DR14" s="83"/>
      <c r="DS14" s="83"/>
      <c r="DT14" s="83"/>
      <c r="DU14" s="83"/>
      <c r="DV14" s="83"/>
      <c r="DW14" s="83"/>
      <c r="DX14" s="83"/>
      <c r="DY14" s="83"/>
      <c r="DZ14" s="83"/>
      <c r="EA14" s="83"/>
      <c r="EB14" s="83"/>
      <c r="EC14" s="83"/>
      <c r="ED14" s="83"/>
      <c r="EE14" s="83"/>
      <c r="EF14" s="83"/>
      <c r="EG14" s="83"/>
      <c r="EH14" s="84"/>
      <c r="EI14" s="66"/>
    </row>
    <row r="15" ht="15.0" customHeight="1">
      <c r="B15" s="91"/>
      <c r="C15" s="38" t="s">
        <v>47</v>
      </c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40"/>
      <c r="AQ15" s="92" t="s">
        <v>48</v>
      </c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40"/>
      <c r="BQ15" s="92" t="s">
        <v>49</v>
      </c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40"/>
      <c r="CK15" s="93" t="s">
        <v>101</v>
      </c>
      <c r="CL15" s="94"/>
      <c r="CM15" s="95" t="s">
        <v>102</v>
      </c>
      <c r="CN15" s="96"/>
      <c r="CO15" s="96"/>
      <c r="CP15" s="97"/>
      <c r="CQ15" s="98" t="s">
        <v>103</v>
      </c>
      <c r="CR15" s="96"/>
      <c r="CS15" s="96"/>
      <c r="CT15" s="97"/>
      <c r="CU15" s="98" t="s">
        <v>104</v>
      </c>
      <c r="CV15" s="96"/>
      <c r="CW15" s="96"/>
      <c r="CX15" s="97"/>
      <c r="CY15" s="98" t="s">
        <v>105</v>
      </c>
      <c r="CZ15" s="96"/>
      <c r="DA15" s="96"/>
      <c r="DB15" s="94"/>
      <c r="DC15" s="99" t="str">
        <f>BQ5</f>
        <v>Bactériosol concentré</v>
      </c>
      <c r="DD15" s="97"/>
      <c r="DE15" s="100" t="s">
        <v>76</v>
      </c>
      <c r="DF15" s="97"/>
      <c r="DG15" s="101" t="str">
        <f>BW5</f>
        <v/>
      </c>
      <c r="DH15" s="97"/>
      <c r="DI15" s="101" t="str">
        <f>BZ5</f>
        <v/>
      </c>
      <c r="DJ15" s="97"/>
      <c r="DK15" s="101" t="str">
        <f>CC5</f>
        <v/>
      </c>
      <c r="DL15" s="97"/>
      <c r="DM15" s="101" t="str">
        <f>CF5</f>
        <v/>
      </c>
      <c r="DN15" s="97"/>
      <c r="DO15" s="102" t="s">
        <v>77</v>
      </c>
      <c r="DP15" s="97"/>
      <c r="DQ15" s="102" t="s">
        <v>78</v>
      </c>
      <c r="DR15" s="97"/>
      <c r="DS15" s="102" t="s">
        <v>79</v>
      </c>
      <c r="DT15" s="97"/>
      <c r="DU15" s="102" t="s">
        <v>80</v>
      </c>
      <c r="DV15" s="97"/>
      <c r="DW15" s="103" t="s">
        <v>81</v>
      </c>
      <c r="DX15" s="97"/>
      <c r="DY15" s="103" t="s">
        <v>82</v>
      </c>
      <c r="DZ15" s="97"/>
      <c r="EA15" s="102" t="s">
        <v>83</v>
      </c>
      <c r="EB15" s="97"/>
      <c r="EC15" s="102" t="s">
        <v>84</v>
      </c>
      <c r="ED15" s="97"/>
      <c r="EE15" s="104" t="s">
        <v>85</v>
      </c>
      <c r="EF15" s="96"/>
      <c r="EG15" s="102" t="s">
        <v>86</v>
      </c>
      <c r="EH15" s="94"/>
      <c r="EI15" s="66"/>
    </row>
    <row r="16" ht="14.25" customHeight="1">
      <c r="B16" s="91"/>
      <c r="C16" s="105" t="s">
        <v>106</v>
      </c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1"/>
      <c r="AA16" s="106" t="s">
        <v>107</v>
      </c>
      <c r="AB16" s="50"/>
      <c r="AC16" s="50"/>
      <c r="AD16" s="50"/>
      <c r="AE16" s="50"/>
      <c r="AF16" s="50"/>
      <c r="AG16" s="50"/>
      <c r="AH16" s="51"/>
      <c r="AI16" s="107" t="s">
        <v>108</v>
      </c>
      <c r="AJ16" s="50"/>
      <c r="AK16" s="50"/>
      <c r="AL16" s="50"/>
      <c r="AM16" s="50"/>
      <c r="AN16" s="50"/>
      <c r="AO16" s="50"/>
      <c r="AP16" s="53"/>
      <c r="AQ16" s="105" t="s">
        <v>109</v>
      </c>
      <c r="AR16" s="50"/>
      <c r="AS16" s="50"/>
      <c r="AT16" s="50"/>
      <c r="AU16" s="50"/>
      <c r="AV16" s="50"/>
      <c r="AW16" s="51"/>
      <c r="AX16" s="106" t="s">
        <v>110</v>
      </c>
      <c r="AY16" s="50"/>
      <c r="AZ16" s="50"/>
      <c r="BA16" s="51"/>
      <c r="BB16" s="106" t="s">
        <v>111</v>
      </c>
      <c r="BC16" s="50"/>
      <c r="BD16" s="50"/>
      <c r="BE16" s="50"/>
      <c r="BF16" s="50"/>
      <c r="BG16" s="50"/>
      <c r="BH16" s="51"/>
      <c r="BI16" s="106" t="s">
        <v>112</v>
      </c>
      <c r="BJ16" s="50"/>
      <c r="BK16" s="50"/>
      <c r="BL16" s="51"/>
      <c r="BM16" s="106" t="s">
        <v>113</v>
      </c>
      <c r="BN16" s="50"/>
      <c r="BO16" s="50"/>
      <c r="BP16" s="53"/>
      <c r="BQ16" s="105" t="s">
        <v>114</v>
      </c>
      <c r="BR16" s="50"/>
      <c r="BS16" s="50"/>
      <c r="BT16" s="50"/>
      <c r="BU16" s="50"/>
      <c r="BV16" s="50"/>
      <c r="BW16" s="50"/>
      <c r="BX16" s="50"/>
      <c r="BY16" s="50"/>
      <c r="BZ16" s="51"/>
      <c r="CA16" s="106" t="s">
        <v>115</v>
      </c>
      <c r="CB16" s="50"/>
      <c r="CC16" s="50"/>
      <c r="CD16" s="50"/>
      <c r="CE16" s="50"/>
      <c r="CF16" s="50"/>
      <c r="CG16" s="50"/>
      <c r="CH16" s="50"/>
      <c r="CI16" s="50"/>
      <c r="CJ16" s="53"/>
      <c r="CK16" s="108"/>
      <c r="CL16" s="109"/>
      <c r="CM16" s="108"/>
      <c r="CP16" s="110"/>
      <c r="CQ16" s="111"/>
      <c r="CT16" s="110"/>
      <c r="CU16" s="111"/>
      <c r="CX16" s="110"/>
      <c r="CY16" s="111"/>
      <c r="DB16" s="109"/>
      <c r="DC16" s="108"/>
      <c r="DD16" s="110"/>
      <c r="DE16" s="111"/>
      <c r="DF16" s="110"/>
      <c r="DG16" s="111"/>
      <c r="DH16" s="110"/>
      <c r="DI16" s="111"/>
      <c r="DJ16" s="110"/>
      <c r="DK16" s="111"/>
      <c r="DL16" s="110"/>
      <c r="DM16" s="111"/>
      <c r="DN16" s="110"/>
      <c r="DO16" s="111"/>
      <c r="DP16" s="110"/>
      <c r="DQ16" s="111"/>
      <c r="DR16" s="110"/>
      <c r="DS16" s="111"/>
      <c r="DT16" s="110"/>
      <c r="DU16" s="111"/>
      <c r="DV16" s="110"/>
      <c r="DW16" s="111"/>
      <c r="DX16" s="110"/>
      <c r="DY16" s="111"/>
      <c r="DZ16" s="110"/>
      <c r="EA16" s="111"/>
      <c r="EB16" s="110"/>
      <c r="EC16" s="111"/>
      <c r="ED16" s="110"/>
      <c r="EE16" s="111"/>
      <c r="EG16" s="111"/>
      <c r="EH16" s="109"/>
    </row>
    <row r="17" ht="14.25" customHeight="1">
      <c r="B17" s="91"/>
      <c r="C17" s="105" t="s">
        <v>53</v>
      </c>
      <c r="D17" s="50"/>
      <c r="E17" s="50"/>
      <c r="F17" s="51"/>
      <c r="G17" s="106" t="s">
        <v>54</v>
      </c>
      <c r="H17" s="50"/>
      <c r="I17" s="50"/>
      <c r="J17" s="51"/>
      <c r="K17" s="106" t="s">
        <v>55</v>
      </c>
      <c r="L17" s="50"/>
      <c r="M17" s="50"/>
      <c r="N17" s="51"/>
      <c r="O17" s="106" t="s">
        <v>56</v>
      </c>
      <c r="P17" s="50"/>
      <c r="Q17" s="50"/>
      <c r="R17" s="51"/>
      <c r="S17" s="106" t="s">
        <v>57</v>
      </c>
      <c r="T17" s="50"/>
      <c r="U17" s="50"/>
      <c r="V17" s="51"/>
      <c r="W17" s="107" t="s">
        <v>58</v>
      </c>
      <c r="X17" s="50"/>
      <c r="Y17" s="50"/>
      <c r="Z17" s="51"/>
      <c r="AA17" s="106" t="s">
        <v>59</v>
      </c>
      <c r="AB17" s="50"/>
      <c r="AC17" s="50"/>
      <c r="AD17" s="51"/>
      <c r="AE17" s="107" t="s">
        <v>60</v>
      </c>
      <c r="AF17" s="50"/>
      <c r="AG17" s="50"/>
      <c r="AH17" s="51"/>
      <c r="AI17" s="107" t="s">
        <v>61</v>
      </c>
      <c r="AJ17" s="50"/>
      <c r="AK17" s="50"/>
      <c r="AL17" s="51"/>
      <c r="AM17" s="107" t="s">
        <v>62</v>
      </c>
      <c r="AN17" s="50"/>
      <c r="AO17" s="50"/>
      <c r="AP17" s="53"/>
      <c r="AQ17" s="112" t="s">
        <v>116</v>
      </c>
      <c r="AR17" s="107" t="s">
        <v>117</v>
      </c>
      <c r="AS17" s="50"/>
      <c r="AT17" s="51"/>
      <c r="AU17" s="107" t="s">
        <v>118</v>
      </c>
      <c r="AV17" s="50"/>
      <c r="AW17" s="51"/>
      <c r="AX17" s="113" t="s">
        <v>116</v>
      </c>
      <c r="AY17" s="107" t="s">
        <v>118</v>
      </c>
      <c r="AZ17" s="50"/>
      <c r="BA17" s="51"/>
      <c r="BB17" s="113" t="s">
        <v>116</v>
      </c>
      <c r="BC17" s="107" t="s">
        <v>119</v>
      </c>
      <c r="BD17" s="50"/>
      <c r="BE17" s="51"/>
      <c r="BF17" s="107" t="s">
        <v>118</v>
      </c>
      <c r="BG17" s="50"/>
      <c r="BH17" s="51"/>
      <c r="BI17" s="113" t="s">
        <v>116</v>
      </c>
      <c r="BJ17" s="107" t="s">
        <v>118</v>
      </c>
      <c r="BK17" s="50"/>
      <c r="BL17" s="51"/>
      <c r="BM17" s="113" t="s">
        <v>116</v>
      </c>
      <c r="BN17" s="107" t="s">
        <v>118</v>
      </c>
      <c r="BO17" s="50"/>
      <c r="BP17" s="53"/>
      <c r="BQ17" s="112" t="s">
        <v>116</v>
      </c>
      <c r="BR17" s="107" t="s">
        <v>119</v>
      </c>
      <c r="BS17" s="50"/>
      <c r="BT17" s="51"/>
      <c r="BU17" s="107" t="s">
        <v>117</v>
      </c>
      <c r="BV17" s="50"/>
      <c r="BW17" s="51"/>
      <c r="BX17" s="107" t="s">
        <v>118</v>
      </c>
      <c r="BY17" s="50"/>
      <c r="BZ17" s="51"/>
      <c r="CA17" s="113" t="s">
        <v>116</v>
      </c>
      <c r="CB17" s="107" t="s">
        <v>119</v>
      </c>
      <c r="CC17" s="50"/>
      <c r="CD17" s="51"/>
      <c r="CE17" s="107" t="s">
        <v>117</v>
      </c>
      <c r="CF17" s="50"/>
      <c r="CG17" s="51"/>
      <c r="CH17" s="107" t="s">
        <v>118</v>
      </c>
      <c r="CI17" s="50"/>
      <c r="CJ17" s="53"/>
      <c r="CK17" s="114"/>
      <c r="CL17" s="115"/>
      <c r="CM17" s="114"/>
      <c r="CN17" s="116"/>
      <c r="CO17" s="116"/>
      <c r="CP17" s="117"/>
      <c r="CQ17" s="118"/>
      <c r="CR17" s="116"/>
      <c r="CS17" s="116"/>
      <c r="CT17" s="117"/>
      <c r="CU17" s="118"/>
      <c r="CV17" s="116"/>
      <c r="CW17" s="116"/>
      <c r="CX17" s="117"/>
      <c r="CY17" s="118"/>
      <c r="CZ17" s="116"/>
      <c r="DA17" s="116"/>
      <c r="DB17" s="115"/>
      <c r="DC17" s="114"/>
      <c r="DD17" s="117"/>
      <c r="DE17" s="118"/>
      <c r="DF17" s="117"/>
      <c r="DG17" s="118"/>
      <c r="DH17" s="117"/>
      <c r="DI17" s="118"/>
      <c r="DJ17" s="117"/>
      <c r="DK17" s="118"/>
      <c r="DL17" s="117"/>
      <c r="DM17" s="118"/>
      <c r="DN17" s="117"/>
      <c r="DO17" s="118"/>
      <c r="DP17" s="117"/>
      <c r="DQ17" s="118"/>
      <c r="DR17" s="117"/>
      <c r="DS17" s="118"/>
      <c r="DT17" s="117"/>
      <c r="DU17" s="118"/>
      <c r="DV17" s="117"/>
      <c r="DW17" s="118"/>
      <c r="DX17" s="117"/>
      <c r="DY17" s="118"/>
      <c r="DZ17" s="117"/>
      <c r="EA17" s="118"/>
      <c r="EB17" s="117"/>
      <c r="EC17" s="118"/>
      <c r="ED17" s="117"/>
      <c r="EE17" s="118"/>
      <c r="EF17" s="116"/>
      <c r="EG17" s="118"/>
      <c r="EH17" s="115"/>
    </row>
    <row r="18" ht="14.25" customHeight="1">
      <c r="B18" s="119"/>
      <c r="C18" s="120" t="s">
        <v>116</v>
      </c>
      <c r="D18" s="121" t="s">
        <v>120</v>
      </c>
      <c r="E18" s="121" t="s">
        <v>121</v>
      </c>
      <c r="F18" s="121" t="s">
        <v>122</v>
      </c>
      <c r="G18" s="121" t="s">
        <v>116</v>
      </c>
      <c r="H18" s="121" t="s">
        <v>120</v>
      </c>
      <c r="I18" s="121" t="s">
        <v>121</v>
      </c>
      <c r="J18" s="121" t="s">
        <v>122</v>
      </c>
      <c r="K18" s="121" t="s">
        <v>116</v>
      </c>
      <c r="L18" s="121" t="s">
        <v>120</v>
      </c>
      <c r="M18" s="121" t="s">
        <v>121</v>
      </c>
      <c r="N18" s="121" t="s">
        <v>122</v>
      </c>
      <c r="O18" s="121" t="s">
        <v>116</v>
      </c>
      <c r="P18" s="121" t="s">
        <v>120</v>
      </c>
      <c r="Q18" s="121" t="s">
        <v>121</v>
      </c>
      <c r="R18" s="121" t="s">
        <v>122</v>
      </c>
      <c r="S18" s="121" t="s">
        <v>116</v>
      </c>
      <c r="T18" s="121" t="s">
        <v>120</v>
      </c>
      <c r="U18" s="121" t="s">
        <v>121</v>
      </c>
      <c r="V18" s="121" t="s">
        <v>122</v>
      </c>
      <c r="W18" s="121" t="s">
        <v>116</v>
      </c>
      <c r="X18" s="121" t="s">
        <v>120</v>
      </c>
      <c r="Y18" s="121" t="s">
        <v>121</v>
      </c>
      <c r="Z18" s="106" t="s">
        <v>122</v>
      </c>
      <c r="AA18" s="121" t="s">
        <v>116</v>
      </c>
      <c r="AB18" s="121" t="s">
        <v>123</v>
      </c>
      <c r="AC18" s="121" t="s">
        <v>124</v>
      </c>
      <c r="AD18" s="121" t="s">
        <v>125</v>
      </c>
      <c r="AE18" s="121" t="s">
        <v>116</v>
      </c>
      <c r="AF18" s="121" t="s">
        <v>123</v>
      </c>
      <c r="AG18" s="121" t="s">
        <v>124</v>
      </c>
      <c r="AH18" s="121" t="s">
        <v>125</v>
      </c>
      <c r="AI18" s="121" t="s">
        <v>116</v>
      </c>
      <c r="AJ18" s="121" t="s">
        <v>126</v>
      </c>
      <c r="AK18" s="121" t="s">
        <v>127</v>
      </c>
      <c r="AL18" s="121" t="s">
        <v>128</v>
      </c>
      <c r="AM18" s="121" t="s">
        <v>116</v>
      </c>
      <c r="AN18" s="121" t="s">
        <v>129</v>
      </c>
      <c r="AO18" s="121" t="s">
        <v>127</v>
      </c>
      <c r="AP18" s="122" t="s">
        <v>128</v>
      </c>
      <c r="AQ18" s="123"/>
      <c r="AR18" s="121" t="s">
        <v>123</v>
      </c>
      <c r="AS18" s="121" t="s">
        <v>124</v>
      </c>
      <c r="AT18" s="121" t="s">
        <v>125</v>
      </c>
      <c r="AU18" s="121" t="s">
        <v>129</v>
      </c>
      <c r="AV18" s="121" t="s">
        <v>127</v>
      </c>
      <c r="AW18" s="106" t="s">
        <v>128</v>
      </c>
      <c r="AX18" s="119"/>
      <c r="AY18" s="121" t="s">
        <v>129</v>
      </c>
      <c r="AZ18" s="121" t="s">
        <v>127</v>
      </c>
      <c r="BA18" s="106" t="s">
        <v>128</v>
      </c>
      <c r="BB18" s="119"/>
      <c r="BC18" s="121" t="s">
        <v>120</v>
      </c>
      <c r="BD18" s="121" t="s">
        <v>121</v>
      </c>
      <c r="BE18" s="121" t="s">
        <v>122</v>
      </c>
      <c r="BF18" s="121" t="s">
        <v>126</v>
      </c>
      <c r="BG18" s="121" t="s">
        <v>127</v>
      </c>
      <c r="BH18" s="121" t="s">
        <v>128</v>
      </c>
      <c r="BI18" s="119"/>
      <c r="BJ18" s="121" t="s">
        <v>130</v>
      </c>
      <c r="BK18" s="121" t="s">
        <v>131</v>
      </c>
      <c r="BL18" s="106" t="s">
        <v>132</v>
      </c>
      <c r="BM18" s="119"/>
      <c r="BN18" s="121" t="s">
        <v>130</v>
      </c>
      <c r="BO18" s="121" t="s">
        <v>131</v>
      </c>
      <c r="BP18" s="122" t="s">
        <v>132</v>
      </c>
      <c r="BQ18" s="123"/>
      <c r="BR18" s="121" t="s">
        <v>120</v>
      </c>
      <c r="BS18" s="121" t="s">
        <v>121</v>
      </c>
      <c r="BT18" s="121" t="s">
        <v>122</v>
      </c>
      <c r="BU18" s="121" t="s">
        <v>123</v>
      </c>
      <c r="BV18" s="121" t="s">
        <v>124</v>
      </c>
      <c r="BW18" s="121" t="s">
        <v>125</v>
      </c>
      <c r="BX18" s="121" t="s">
        <v>126</v>
      </c>
      <c r="BY18" s="121" t="s">
        <v>127</v>
      </c>
      <c r="BZ18" s="121" t="s">
        <v>128</v>
      </c>
      <c r="CA18" s="119"/>
      <c r="CB18" s="121" t="s">
        <v>120</v>
      </c>
      <c r="CC18" s="121" t="s">
        <v>121</v>
      </c>
      <c r="CD18" s="121" t="s">
        <v>122</v>
      </c>
      <c r="CE18" s="121" t="s">
        <v>123</v>
      </c>
      <c r="CF18" s="121" t="s">
        <v>124</v>
      </c>
      <c r="CG18" s="121" t="s">
        <v>125</v>
      </c>
      <c r="CH18" s="121" t="s">
        <v>126</v>
      </c>
      <c r="CI18" s="121" t="s">
        <v>127</v>
      </c>
      <c r="CJ18" s="122" t="s">
        <v>128</v>
      </c>
      <c r="CK18" s="124" t="s">
        <v>116</v>
      </c>
      <c r="CL18" s="125" t="s">
        <v>133</v>
      </c>
      <c r="CM18" s="124" t="s">
        <v>116</v>
      </c>
      <c r="CN18" s="126" t="s">
        <v>134</v>
      </c>
      <c r="CO18" s="127" t="s">
        <v>135</v>
      </c>
      <c r="CP18" s="126" t="s">
        <v>136</v>
      </c>
      <c r="CQ18" s="127" t="s">
        <v>116</v>
      </c>
      <c r="CR18" s="126" t="s">
        <v>137</v>
      </c>
      <c r="CS18" s="127" t="s">
        <v>135</v>
      </c>
      <c r="CT18" s="127" t="s">
        <v>138</v>
      </c>
      <c r="CU18" s="127" t="s">
        <v>116</v>
      </c>
      <c r="CV18" s="126" t="s">
        <v>137</v>
      </c>
      <c r="CW18" s="127" t="s">
        <v>135</v>
      </c>
      <c r="CX18" s="127" t="s">
        <v>139</v>
      </c>
      <c r="CY18" s="127" t="s">
        <v>116</v>
      </c>
      <c r="CZ18" s="126" t="s">
        <v>137</v>
      </c>
      <c r="DA18" s="127" t="s">
        <v>135</v>
      </c>
      <c r="DB18" s="125" t="s">
        <v>140</v>
      </c>
      <c r="DC18" s="124" t="s">
        <v>116</v>
      </c>
      <c r="DD18" s="127" t="s">
        <v>141</v>
      </c>
      <c r="DE18" s="127" t="s">
        <v>116</v>
      </c>
      <c r="DF18" s="127" t="s">
        <v>142</v>
      </c>
      <c r="DG18" s="127" t="s">
        <v>116</v>
      </c>
      <c r="DH18" s="127" t="s">
        <v>143</v>
      </c>
      <c r="DI18" s="127" t="s">
        <v>116</v>
      </c>
      <c r="DJ18" s="127" t="s">
        <v>144</v>
      </c>
      <c r="DK18" s="127" t="s">
        <v>116</v>
      </c>
      <c r="DL18" s="127" t="s">
        <v>145</v>
      </c>
      <c r="DM18" s="127" t="s">
        <v>116</v>
      </c>
      <c r="DN18" s="127" t="s">
        <v>146</v>
      </c>
      <c r="DO18" s="127" t="s">
        <v>147</v>
      </c>
      <c r="DP18" s="127" t="s">
        <v>148</v>
      </c>
      <c r="DQ18" s="127" t="s">
        <v>147</v>
      </c>
      <c r="DR18" s="127" t="s">
        <v>148</v>
      </c>
      <c r="DS18" s="127" t="s">
        <v>147</v>
      </c>
      <c r="DT18" s="127" t="s">
        <v>148</v>
      </c>
      <c r="DU18" s="127" t="s">
        <v>147</v>
      </c>
      <c r="DV18" s="127" t="s">
        <v>148</v>
      </c>
      <c r="DW18" s="127" t="s">
        <v>147</v>
      </c>
      <c r="DX18" s="127" t="s">
        <v>148</v>
      </c>
      <c r="DY18" s="127" t="s">
        <v>147</v>
      </c>
      <c r="DZ18" s="127" t="s">
        <v>148</v>
      </c>
      <c r="EA18" s="127" t="s">
        <v>147</v>
      </c>
      <c r="EB18" s="127" t="s">
        <v>148</v>
      </c>
      <c r="EC18" s="127" t="s">
        <v>147</v>
      </c>
      <c r="ED18" s="127" t="s">
        <v>148</v>
      </c>
      <c r="EE18" s="127" t="s">
        <v>147</v>
      </c>
      <c r="EF18" s="127" t="s">
        <v>148</v>
      </c>
      <c r="EG18" s="127" t="s">
        <v>147</v>
      </c>
      <c r="EH18" s="125" t="s">
        <v>148</v>
      </c>
    </row>
    <row r="19" ht="14.25" customHeight="1">
      <c r="B19" s="52" t="s">
        <v>93</v>
      </c>
      <c r="C19" s="128">
        <f t="shared" ref="C19:C23" si="1">C7+D7-E7</f>
        <v>0</v>
      </c>
      <c r="D19" s="129">
        <v>0.82</v>
      </c>
      <c r="E19" s="126">
        <f t="shared" ref="E19:E23" si="2">C19*D19</f>
        <v>0</v>
      </c>
      <c r="F19" s="130">
        <v>2.926</v>
      </c>
      <c r="G19" s="131">
        <f t="shared" ref="G19:G23" si="3">F7+G7-H7</f>
        <v>2638.356169</v>
      </c>
      <c r="H19" s="132">
        <v>0.335</v>
      </c>
      <c r="I19" s="126">
        <f t="shared" ref="I19:I23" si="4">G19*H19</f>
        <v>883.8493166</v>
      </c>
      <c r="J19" s="130">
        <v>3.97</v>
      </c>
      <c r="K19" s="131">
        <f t="shared" ref="K19:K23" si="5">I7+J7-K7</f>
        <v>0</v>
      </c>
      <c r="L19" s="129">
        <v>0.27</v>
      </c>
      <c r="M19" s="126">
        <f t="shared" ref="M19:M23" si="6">K19*L19</f>
        <v>0</v>
      </c>
      <c r="N19" s="130">
        <v>4.18</v>
      </c>
      <c r="O19" s="131">
        <f t="shared" ref="O19:O23" si="7">L7+M7-N7</f>
        <v>128083.3973</v>
      </c>
      <c r="P19" s="129">
        <v>0.39</v>
      </c>
      <c r="Q19" s="126">
        <f>O19*P19/(1.3)</f>
        <v>38425.01918</v>
      </c>
      <c r="R19" s="130">
        <v>4.99</v>
      </c>
      <c r="S19" s="133">
        <f t="shared" ref="S19:S23" si="8">O7+P7-Q7</f>
        <v>0</v>
      </c>
      <c r="T19" s="129">
        <v>0.46</v>
      </c>
      <c r="U19" s="126">
        <f t="shared" ref="U19:U23" si="9">S19*T19</f>
        <v>0</v>
      </c>
      <c r="V19" s="130">
        <v>4.54</v>
      </c>
      <c r="W19" s="134">
        <f t="shared" ref="W19:W23" si="10">R7+S7-T7</f>
        <v>48545.75342</v>
      </c>
      <c r="X19" s="135">
        <v>0.222</v>
      </c>
      <c r="Y19" s="133">
        <f t="shared" ref="Y19:Y23" si="11">W19*X19</f>
        <v>10777.15726</v>
      </c>
      <c r="Z19" s="130">
        <v>4.99</v>
      </c>
      <c r="AA19" s="133">
        <f t="shared" ref="AA19:AA23" si="12">U7+V7-W7</f>
        <v>0</v>
      </c>
      <c r="AB19" s="136">
        <v>0.45</v>
      </c>
      <c r="AC19" s="126">
        <f t="shared" ref="AC19:AC23" si="13">AA19*AB19</f>
        <v>0</v>
      </c>
      <c r="AD19" s="130">
        <v>1.45</v>
      </c>
      <c r="AE19" s="133">
        <f t="shared" ref="AE19:AE23" si="14">X7+Y7-Z7</f>
        <v>1583.013699</v>
      </c>
      <c r="AF19" s="137">
        <v>0.15</v>
      </c>
      <c r="AG19" s="131">
        <f t="shared" ref="AG19:AG23" si="15">AE19*AF19</f>
        <v>237.4520549</v>
      </c>
      <c r="AH19" s="130">
        <v>1.45</v>
      </c>
      <c r="AI19" s="133">
        <f t="shared" ref="AI19:AI23" si="16">AA7+AB7-AC7</f>
        <v>0</v>
      </c>
      <c r="AJ19" s="138">
        <v>0.6</v>
      </c>
      <c r="AK19" s="126">
        <f t="shared" ref="AK19:AK23" si="17">AI19*AJ19</f>
        <v>0</v>
      </c>
      <c r="AL19" s="130">
        <v>0.71</v>
      </c>
      <c r="AM19" s="133">
        <f t="shared" ref="AM19:AM23" si="18">AD7+AE7-AF7</f>
        <v>0</v>
      </c>
      <c r="AN19" s="139">
        <v>0.0</v>
      </c>
      <c r="AO19" s="126">
        <f t="shared" ref="AO19:AO23" si="19">AM19*AN19</f>
        <v>0</v>
      </c>
      <c r="AP19" s="140">
        <v>0.71</v>
      </c>
      <c r="AQ19" s="141">
        <f t="shared" ref="AQ19:AQ23" si="20">AG7+AH7-AI7</f>
        <v>45784.27397</v>
      </c>
      <c r="AR19" s="137">
        <v>0.187</v>
      </c>
      <c r="AS19" s="126">
        <f t="shared" ref="AS19:AS23" si="21">AQ19*AR19</f>
        <v>8561.659232</v>
      </c>
      <c r="AT19" s="130">
        <v>1.45</v>
      </c>
      <c r="AU19" s="137">
        <v>0.132</v>
      </c>
      <c r="AV19" s="126">
        <f t="shared" ref="AV19:AV23" si="22">AQ19*AU19</f>
        <v>6043.524164</v>
      </c>
      <c r="AW19" s="130">
        <v>0.71</v>
      </c>
      <c r="AX19" s="131">
        <f t="shared" ref="AX19:AX23" si="23">AJ7+AK7-AL7</f>
        <v>0</v>
      </c>
      <c r="AY19" s="142">
        <v>0.44</v>
      </c>
      <c r="AZ19" s="126">
        <f t="shared" ref="AZ19:AZ23" si="24">AX19*AY19</f>
        <v>0</v>
      </c>
      <c r="BA19" s="130">
        <v>2.74</v>
      </c>
      <c r="BB19" s="133">
        <f t="shared" ref="BB19:BB23" si="25">AM7+AN7-AO7</f>
        <v>0</v>
      </c>
      <c r="BC19" s="143">
        <v>0.0</v>
      </c>
      <c r="BD19" s="126">
        <f t="shared" ref="BD19:BD23" si="26">BB19*BC19</f>
        <v>0</v>
      </c>
      <c r="BE19" s="130">
        <v>2.74</v>
      </c>
      <c r="BF19" s="144">
        <v>0.0</v>
      </c>
      <c r="BG19" s="145">
        <f t="shared" ref="BG19:BG23" si="27">BB19*BF19</f>
        <v>0</v>
      </c>
      <c r="BH19" s="130">
        <v>0.71</v>
      </c>
      <c r="BI19" s="131">
        <f t="shared" ref="BI19:BI23" si="28">AP7+AQ7-AR7</f>
        <v>0</v>
      </c>
      <c r="BJ19" s="129">
        <v>0.54</v>
      </c>
      <c r="BK19" s="126">
        <f t="shared" ref="BK19:BK23" si="29">BI19*BJ19</f>
        <v>0</v>
      </c>
      <c r="BL19" s="130">
        <v>1.82</v>
      </c>
      <c r="BM19" s="131">
        <f t="shared" ref="BM19:BM23" si="30">AS7+AT7-AU7</f>
        <v>0</v>
      </c>
      <c r="BN19" s="142">
        <v>0.46</v>
      </c>
      <c r="BO19" s="126">
        <f t="shared" ref="BO19:BO23" si="31">BM19*BN19</f>
        <v>0</v>
      </c>
      <c r="BP19" s="140">
        <v>3.02</v>
      </c>
      <c r="BQ19" s="146">
        <f t="shared" ref="BQ19:BQ23" si="32">AV7+AW7-AX7</f>
        <v>24800.54795</v>
      </c>
      <c r="BR19" s="143">
        <v>0.13</v>
      </c>
      <c r="BS19" s="126">
        <f t="shared" ref="BS19:BS23" si="33">BQ19*BR19</f>
        <v>3224.071234</v>
      </c>
      <c r="BT19" s="130">
        <v>3.97</v>
      </c>
      <c r="BU19" s="143">
        <v>0.1</v>
      </c>
      <c r="BV19" s="126">
        <f t="shared" ref="BV19:BV23" si="34">BQ19*BU19</f>
        <v>2480.054795</v>
      </c>
      <c r="BW19" s="130">
        <v>1.83</v>
      </c>
      <c r="BX19" s="143">
        <v>0.05</v>
      </c>
      <c r="BY19" s="126">
        <f t="shared" ref="BY19:BY23" si="35">BQ19*BX19</f>
        <v>1240.027398</v>
      </c>
      <c r="BZ19" s="130">
        <v>0.71</v>
      </c>
      <c r="CA19" s="133">
        <f t="shared" ref="CA19:CA23" si="36">AY7+AZ7-BA7</f>
        <v>0</v>
      </c>
      <c r="CB19" s="143">
        <v>0.0</v>
      </c>
      <c r="CC19" s="126">
        <f t="shared" ref="CC19:CC23" si="37">CA19*CB19</f>
        <v>0</v>
      </c>
      <c r="CD19" s="130">
        <v>3.97</v>
      </c>
      <c r="CE19" s="144">
        <v>0.0</v>
      </c>
      <c r="CF19" s="126">
        <f t="shared" ref="CF19:CF23" si="38">CA19*CE19</f>
        <v>0</v>
      </c>
      <c r="CG19" s="130">
        <v>1.83</v>
      </c>
      <c r="CH19" s="144">
        <v>0.0</v>
      </c>
      <c r="CI19" s="126">
        <f t="shared" ref="CI19:CI23" si="39">CA19*CH19</f>
        <v>0</v>
      </c>
      <c r="CJ19" s="140">
        <v>0.71</v>
      </c>
      <c r="CK19" s="128">
        <f t="shared" ref="CK19:CK23" si="40">BB7+BC7-BD7</f>
        <v>2622.227014</v>
      </c>
      <c r="CL19" s="140">
        <v>9.861</v>
      </c>
      <c r="CM19" s="128">
        <f t="shared" ref="CM19:CM23" si="41">BE7+BF7-BG7</f>
        <v>23745.20548</v>
      </c>
      <c r="CN19" s="129">
        <v>0.94</v>
      </c>
      <c r="CO19" s="81">
        <f t="shared" ref="CO19:CO23" si="42">CM19*CN19</f>
        <v>22320.49315</v>
      </c>
      <c r="CP19" s="130">
        <v>0.311</v>
      </c>
      <c r="CQ19" s="133">
        <f t="shared" ref="CQ19:CQ23" si="43">BH7+BI7-BJ7</f>
        <v>0</v>
      </c>
      <c r="CR19" s="138">
        <v>0.55</v>
      </c>
      <c r="CS19" s="145">
        <f t="shared" ref="CS19:CS23" si="44">CQ19*CR19</f>
        <v>0</v>
      </c>
      <c r="CT19" s="130">
        <v>1.257</v>
      </c>
      <c r="CU19" s="133">
        <f t="shared" ref="CU19:CU23" si="45">BK7+BL7-BM7</f>
        <v>0</v>
      </c>
      <c r="CV19" s="138">
        <v>0.55</v>
      </c>
      <c r="CW19" s="145">
        <f t="shared" ref="CW19:CW23" si="46">CU19*CV19</f>
        <v>0</v>
      </c>
      <c r="CX19" s="130">
        <v>1.257</v>
      </c>
      <c r="CY19" s="133">
        <f t="shared" ref="CY19:CY23" si="47">BN7+BO7-BP7</f>
        <v>0</v>
      </c>
      <c r="CZ19" s="138">
        <v>0.35</v>
      </c>
      <c r="DA19" s="145">
        <f t="shared" ref="DA19:DA23" si="48">CY19*CZ19</f>
        <v>0</v>
      </c>
      <c r="DB19" s="140">
        <v>0.1</v>
      </c>
      <c r="DC19" s="141">
        <f t="shared" ref="DC19:DC23" si="49">BQ7+BR7-BS7</f>
        <v>0</v>
      </c>
      <c r="DD19" s="147">
        <v>0.551</v>
      </c>
      <c r="DE19" s="133">
        <f t="shared" ref="DE19:DE23" si="50">BT7+BU7-BV7</f>
        <v>0</v>
      </c>
      <c r="DF19" s="148">
        <v>0.674</v>
      </c>
      <c r="DG19" s="133">
        <f t="shared" ref="DG19:DG23" si="51">BW7+BX7-BY7</f>
        <v>0</v>
      </c>
      <c r="DH19" s="147"/>
      <c r="DI19" s="133">
        <f t="shared" ref="DI19:DI23" si="52">BZ7+CA7-CB7</f>
        <v>0</v>
      </c>
      <c r="DJ19" s="147"/>
      <c r="DK19" s="133">
        <f t="shared" ref="DK19:DK23" si="53">CC7+CD7-CE7</f>
        <v>0</v>
      </c>
      <c r="DL19" s="147"/>
      <c r="DM19" s="131">
        <f t="shared" ref="DM19:DM23" si="54">CF7+CG7-CH7</f>
        <v>0</v>
      </c>
      <c r="DN19" s="147"/>
      <c r="DO19" s="149">
        <f t="shared" ref="DO19:DO23" si="55">CI7+CJ7-CK7</f>
        <v>0</v>
      </c>
      <c r="DP19" s="130">
        <v>625.0</v>
      </c>
      <c r="DQ19" s="149">
        <f t="shared" ref="DQ19:DQ23" si="56">CL7+CM7-CN7</f>
        <v>0</v>
      </c>
      <c r="DR19" s="130">
        <v>517.0</v>
      </c>
      <c r="DS19" s="149">
        <f t="shared" ref="DS19:DS23" si="57">CO7+CP7-CQ7</f>
        <v>0</v>
      </c>
      <c r="DT19" s="130">
        <v>14.6</v>
      </c>
      <c r="DU19" s="149">
        <f t="shared" ref="DU19:DU23" si="58">CR7+CS7-CT7</f>
        <v>0</v>
      </c>
      <c r="DV19" s="130">
        <v>234.0</v>
      </c>
      <c r="DW19" s="149">
        <f t="shared" ref="DW19:DW23" si="59">CU7+CV7-CW7</f>
        <v>0</v>
      </c>
      <c r="DX19" s="130">
        <v>701.0</v>
      </c>
      <c r="DY19" s="149">
        <f t="shared" ref="DY19:DY23" si="60">CX7+CY7-CZ7</f>
        <v>0</v>
      </c>
      <c r="DZ19" s="130">
        <v>1190.0</v>
      </c>
      <c r="EA19" s="149">
        <f t="shared" ref="EA19:EA23" si="61">DA7+DB7-DC7</f>
        <v>0</v>
      </c>
      <c r="EB19" s="130">
        <v>1486.0</v>
      </c>
      <c r="EC19" s="149">
        <f t="shared" ref="EC19:EC23" si="62">DD7+DE7-DF7</f>
        <v>0</v>
      </c>
      <c r="ED19" s="130">
        <v>3084.0</v>
      </c>
      <c r="EE19" s="149">
        <f t="shared" ref="EE19:EE23" si="63">DG7+DH7-DI7</f>
        <v>0</v>
      </c>
      <c r="EF19" s="130">
        <v>193.0</v>
      </c>
      <c r="EG19" s="149">
        <f t="shared" ref="EG19:EG23" si="64">DJ7+DK7-DL7</f>
        <v>0</v>
      </c>
      <c r="EH19" s="140">
        <v>320.0</v>
      </c>
    </row>
    <row r="20" ht="14.25" customHeight="1">
      <c r="B20" s="52" t="s">
        <v>94</v>
      </c>
      <c r="C20" s="128">
        <f t="shared" si="1"/>
        <v>0</v>
      </c>
      <c r="D20" s="129">
        <v>0.82</v>
      </c>
      <c r="E20" s="126">
        <f t="shared" si="2"/>
        <v>0</v>
      </c>
      <c r="F20" s="91"/>
      <c r="G20" s="131">
        <f t="shared" si="3"/>
        <v>0</v>
      </c>
      <c r="H20" s="132">
        <v>0.335</v>
      </c>
      <c r="I20" s="126">
        <f t="shared" si="4"/>
        <v>0</v>
      </c>
      <c r="J20" s="91"/>
      <c r="K20" s="131">
        <f t="shared" si="5"/>
        <v>0</v>
      </c>
      <c r="L20" s="129">
        <v>0.27</v>
      </c>
      <c r="M20" s="126">
        <f t="shared" si="6"/>
        <v>0</v>
      </c>
      <c r="N20" s="91"/>
      <c r="O20" s="131">
        <f t="shared" si="7"/>
        <v>124990</v>
      </c>
      <c r="P20" s="129">
        <v>0.39</v>
      </c>
      <c r="Q20" s="126">
        <f t="shared" ref="Q20:Q23" si="65">O20*P20/(1.3*100)*100</f>
        <v>37497</v>
      </c>
      <c r="R20" s="91"/>
      <c r="S20" s="133">
        <f t="shared" si="8"/>
        <v>0</v>
      </c>
      <c r="T20" s="129">
        <v>0.46</v>
      </c>
      <c r="U20" s="126">
        <f t="shared" si="9"/>
        <v>0</v>
      </c>
      <c r="V20" s="91"/>
      <c r="W20" s="134">
        <f t="shared" si="10"/>
        <v>60800</v>
      </c>
      <c r="X20" s="135">
        <v>0.228</v>
      </c>
      <c r="Y20" s="133">
        <f t="shared" si="11"/>
        <v>13862.4</v>
      </c>
      <c r="Z20" s="91"/>
      <c r="AA20" s="133">
        <f t="shared" si="12"/>
        <v>0</v>
      </c>
      <c r="AB20" s="136">
        <f t="shared" ref="AB20:AB23" si="66">AB19</f>
        <v>0.45</v>
      </c>
      <c r="AC20" s="126">
        <f t="shared" si="13"/>
        <v>0</v>
      </c>
      <c r="AD20" s="91"/>
      <c r="AE20" s="133">
        <f t="shared" si="14"/>
        <v>15600</v>
      </c>
      <c r="AF20" s="137">
        <v>0.256</v>
      </c>
      <c r="AG20" s="131">
        <f t="shared" si="15"/>
        <v>3993.6</v>
      </c>
      <c r="AH20" s="91"/>
      <c r="AI20" s="133">
        <f t="shared" si="16"/>
        <v>0</v>
      </c>
      <c r="AJ20" s="138">
        <v>0.6</v>
      </c>
      <c r="AK20" s="126">
        <f t="shared" si="17"/>
        <v>0</v>
      </c>
      <c r="AL20" s="91"/>
      <c r="AM20" s="133">
        <f t="shared" si="18"/>
        <v>9000</v>
      </c>
      <c r="AN20" s="139">
        <v>0.42</v>
      </c>
      <c r="AO20" s="126">
        <f t="shared" si="19"/>
        <v>3780</v>
      </c>
      <c r="AP20" s="150"/>
      <c r="AQ20" s="141">
        <f t="shared" si="20"/>
        <v>30000</v>
      </c>
      <c r="AR20" s="137">
        <v>0.2</v>
      </c>
      <c r="AS20" s="126">
        <f t="shared" si="21"/>
        <v>6000</v>
      </c>
      <c r="AT20" s="91"/>
      <c r="AU20" s="137">
        <v>0.1</v>
      </c>
      <c r="AV20" s="126">
        <f t="shared" si="22"/>
        <v>3000</v>
      </c>
      <c r="AW20" s="91"/>
      <c r="AX20" s="131">
        <f t="shared" si="23"/>
        <v>0</v>
      </c>
      <c r="AY20" s="142">
        <v>0.44</v>
      </c>
      <c r="AZ20" s="126">
        <f t="shared" si="24"/>
        <v>0</v>
      </c>
      <c r="BA20" s="91"/>
      <c r="BB20" s="133">
        <f t="shared" si="25"/>
        <v>0</v>
      </c>
      <c r="BC20" s="143">
        <v>0.0</v>
      </c>
      <c r="BD20" s="126">
        <f t="shared" si="26"/>
        <v>0</v>
      </c>
      <c r="BE20" s="91"/>
      <c r="BF20" s="151">
        <v>0.0</v>
      </c>
      <c r="BG20" s="145">
        <f t="shared" si="27"/>
        <v>0</v>
      </c>
      <c r="BH20" s="91"/>
      <c r="BI20" s="131">
        <f t="shared" si="28"/>
        <v>0</v>
      </c>
      <c r="BJ20" s="129">
        <v>0.54</v>
      </c>
      <c r="BK20" s="126">
        <f t="shared" si="29"/>
        <v>0</v>
      </c>
      <c r="BL20" s="91"/>
      <c r="BM20" s="131">
        <f t="shared" si="30"/>
        <v>0</v>
      </c>
      <c r="BN20" s="142">
        <v>0.46</v>
      </c>
      <c r="BO20" s="126">
        <f t="shared" si="31"/>
        <v>0</v>
      </c>
      <c r="BP20" s="150"/>
      <c r="BQ20" s="146">
        <f t="shared" si="32"/>
        <v>69000</v>
      </c>
      <c r="BR20" s="143">
        <v>0.13</v>
      </c>
      <c r="BS20" s="126">
        <f t="shared" si="33"/>
        <v>8970</v>
      </c>
      <c r="BT20" s="91"/>
      <c r="BU20" s="143">
        <v>0.1</v>
      </c>
      <c r="BV20" s="126">
        <f t="shared" si="34"/>
        <v>6900</v>
      </c>
      <c r="BW20" s="91"/>
      <c r="BX20" s="143">
        <v>0.05</v>
      </c>
      <c r="BY20" s="126">
        <f t="shared" si="35"/>
        <v>3450</v>
      </c>
      <c r="BZ20" s="91"/>
      <c r="CA20" s="133">
        <f t="shared" si="36"/>
        <v>0</v>
      </c>
      <c r="CB20" s="143">
        <v>0.0</v>
      </c>
      <c r="CC20" s="126">
        <f t="shared" si="37"/>
        <v>0</v>
      </c>
      <c r="CD20" s="91"/>
      <c r="CE20" s="151">
        <v>0.0</v>
      </c>
      <c r="CF20" s="126">
        <f t="shared" si="38"/>
        <v>0</v>
      </c>
      <c r="CG20" s="91"/>
      <c r="CH20" s="151">
        <v>0.0</v>
      </c>
      <c r="CI20" s="126">
        <f t="shared" si="39"/>
        <v>0</v>
      </c>
      <c r="CJ20" s="150"/>
      <c r="CK20" s="128">
        <f t="shared" si="40"/>
        <v>1481.65</v>
      </c>
      <c r="CL20" s="150"/>
      <c r="CM20" s="128">
        <f t="shared" si="41"/>
        <v>46800</v>
      </c>
      <c r="CN20" s="129">
        <v>0.94</v>
      </c>
      <c r="CO20" s="81">
        <f t="shared" si="42"/>
        <v>43992</v>
      </c>
      <c r="CP20" s="91"/>
      <c r="CQ20" s="133">
        <f t="shared" si="43"/>
        <v>0</v>
      </c>
      <c r="CR20" s="138">
        <v>0.55</v>
      </c>
      <c r="CS20" s="145">
        <f t="shared" si="44"/>
        <v>0</v>
      </c>
      <c r="CT20" s="91"/>
      <c r="CU20" s="133">
        <f t="shared" si="45"/>
        <v>0</v>
      </c>
      <c r="CV20" s="138">
        <v>0.55</v>
      </c>
      <c r="CW20" s="145">
        <f t="shared" si="46"/>
        <v>0</v>
      </c>
      <c r="CX20" s="91"/>
      <c r="CY20" s="133">
        <f t="shared" si="47"/>
        <v>0</v>
      </c>
      <c r="CZ20" s="138">
        <v>0.35</v>
      </c>
      <c r="DA20" s="145">
        <f t="shared" si="48"/>
        <v>0</v>
      </c>
      <c r="DB20" s="150"/>
      <c r="DC20" s="141">
        <f t="shared" si="49"/>
        <v>0</v>
      </c>
      <c r="DD20" s="91"/>
      <c r="DE20" s="133">
        <f t="shared" si="50"/>
        <v>0</v>
      </c>
      <c r="DF20" s="91"/>
      <c r="DG20" s="133">
        <f t="shared" si="51"/>
        <v>0</v>
      </c>
      <c r="DH20" s="91"/>
      <c r="DI20" s="133">
        <f t="shared" si="52"/>
        <v>0</v>
      </c>
      <c r="DJ20" s="91"/>
      <c r="DK20" s="133">
        <f t="shared" si="53"/>
        <v>0</v>
      </c>
      <c r="DL20" s="91"/>
      <c r="DM20" s="131">
        <f t="shared" si="54"/>
        <v>0</v>
      </c>
      <c r="DN20" s="91"/>
      <c r="DO20" s="149">
        <f t="shared" si="55"/>
        <v>0</v>
      </c>
      <c r="DP20" s="91"/>
      <c r="DQ20" s="149">
        <f t="shared" si="56"/>
        <v>0</v>
      </c>
      <c r="DR20" s="91"/>
      <c r="DS20" s="149">
        <f t="shared" si="57"/>
        <v>0</v>
      </c>
      <c r="DT20" s="91"/>
      <c r="DU20" s="149">
        <f t="shared" si="58"/>
        <v>0</v>
      </c>
      <c r="DV20" s="91"/>
      <c r="DW20" s="149">
        <f t="shared" si="59"/>
        <v>0</v>
      </c>
      <c r="DX20" s="91"/>
      <c r="DY20" s="149">
        <f t="shared" si="60"/>
        <v>0</v>
      </c>
      <c r="DZ20" s="91"/>
      <c r="EA20" s="149">
        <f t="shared" si="61"/>
        <v>0</v>
      </c>
      <c r="EB20" s="91"/>
      <c r="EC20" s="149">
        <f t="shared" si="62"/>
        <v>0</v>
      </c>
      <c r="ED20" s="91"/>
      <c r="EE20" s="149">
        <f t="shared" si="63"/>
        <v>0</v>
      </c>
      <c r="EF20" s="91"/>
      <c r="EG20" s="149">
        <f t="shared" si="64"/>
        <v>0</v>
      </c>
      <c r="EH20" s="150"/>
    </row>
    <row r="21" ht="14.25" customHeight="1">
      <c r="B21" s="52" t="s">
        <v>95</v>
      </c>
      <c r="C21" s="128">
        <f t="shared" si="1"/>
        <v>0</v>
      </c>
      <c r="D21" s="129">
        <v>0.82</v>
      </c>
      <c r="E21" s="126">
        <f t="shared" si="2"/>
        <v>0</v>
      </c>
      <c r="F21" s="91"/>
      <c r="G21" s="131">
        <f t="shared" si="3"/>
        <v>14400</v>
      </c>
      <c r="H21" s="132">
        <v>0.335</v>
      </c>
      <c r="I21" s="126">
        <f t="shared" si="4"/>
        <v>4824</v>
      </c>
      <c r="J21" s="91"/>
      <c r="K21" s="131">
        <f t="shared" si="5"/>
        <v>0</v>
      </c>
      <c r="L21" s="129">
        <v>0.27</v>
      </c>
      <c r="M21" s="126">
        <f t="shared" si="6"/>
        <v>0</v>
      </c>
      <c r="N21" s="91"/>
      <c r="O21" s="131">
        <f t="shared" si="7"/>
        <v>51230</v>
      </c>
      <c r="P21" s="129">
        <v>0.39</v>
      </c>
      <c r="Q21" s="126">
        <f t="shared" si="65"/>
        <v>15369</v>
      </c>
      <c r="R21" s="91"/>
      <c r="S21" s="133">
        <f t="shared" si="8"/>
        <v>0</v>
      </c>
      <c r="T21" s="129">
        <v>0.46</v>
      </c>
      <c r="U21" s="126">
        <f t="shared" si="9"/>
        <v>0</v>
      </c>
      <c r="V21" s="91"/>
      <c r="W21" s="134">
        <f t="shared" si="10"/>
        <v>7400</v>
      </c>
      <c r="X21" s="135">
        <v>0.173</v>
      </c>
      <c r="Y21" s="133">
        <f t="shared" si="11"/>
        <v>1280.2</v>
      </c>
      <c r="Z21" s="91"/>
      <c r="AA21" s="133">
        <f t="shared" si="12"/>
        <v>0</v>
      </c>
      <c r="AB21" s="136">
        <f t="shared" si="66"/>
        <v>0.45</v>
      </c>
      <c r="AC21" s="126">
        <f t="shared" si="13"/>
        <v>0</v>
      </c>
      <c r="AD21" s="91"/>
      <c r="AE21" s="133">
        <f t="shared" si="14"/>
        <v>12000</v>
      </c>
      <c r="AF21" s="137">
        <v>0.24</v>
      </c>
      <c r="AG21" s="131">
        <f t="shared" si="15"/>
        <v>2880</v>
      </c>
      <c r="AH21" s="91"/>
      <c r="AI21" s="133">
        <f t="shared" si="16"/>
        <v>0</v>
      </c>
      <c r="AJ21" s="138">
        <v>0.6</v>
      </c>
      <c r="AK21" s="126">
        <f t="shared" si="17"/>
        <v>0</v>
      </c>
      <c r="AL21" s="91"/>
      <c r="AM21" s="133">
        <f t="shared" si="18"/>
        <v>0</v>
      </c>
      <c r="AN21" s="139">
        <v>0.0</v>
      </c>
      <c r="AO21" s="126">
        <f t="shared" si="19"/>
        <v>0</v>
      </c>
      <c r="AP21" s="150"/>
      <c r="AQ21" s="141">
        <f t="shared" si="20"/>
        <v>8300</v>
      </c>
      <c r="AR21" s="137">
        <v>0.188</v>
      </c>
      <c r="AS21" s="126">
        <f t="shared" si="21"/>
        <v>1560.4</v>
      </c>
      <c r="AT21" s="91"/>
      <c r="AU21" s="137">
        <v>0.233</v>
      </c>
      <c r="AV21" s="126">
        <f t="shared" si="22"/>
        <v>1933.9</v>
      </c>
      <c r="AW21" s="91"/>
      <c r="AX21" s="131">
        <f t="shared" si="23"/>
        <v>0</v>
      </c>
      <c r="AY21" s="142">
        <v>0.44</v>
      </c>
      <c r="AZ21" s="126">
        <f t="shared" si="24"/>
        <v>0</v>
      </c>
      <c r="BA21" s="91"/>
      <c r="BB21" s="133">
        <f t="shared" si="25"/>
        <v>0</v>
      </c>
      <c r="BC21" s="143">
        <v>0.0</v>
      </c>
      <c r="BD21" s="126">
        <f t="shared" si="26"/>
        <v>0</v>
      </c>
      <c r="BE21" s="91"/>
      <c r="BF21" s="151">
        <v>0.0</v>
      </c>
      <c r="BG21" s="145">
        <f t="shared" si="27"/>
        <v>0</v>
      </c>
      <c r="BH21" s="91"/>
      <c r="BI21" s="131">
        <f t="shared" si="28"/>
        <v>0</v>
      </c>
      <c r="BJ21" s="129">
        <v>0.54</v>
      </c>
      <c r="BK21" s="126">
        <f t="shared" si="29"/>
        <v>0</v>
      </c>
      <c r="BL21" s="91"/>
      <c r="BM21" s="131">
        <f t="shared" si="30"/>
        <v>0</v>
      </c>
      <c r="BN21" s="142">
        <v>0.46</v>
      </c>
      <c r="BO21" s="126">
        <f t="shared" si="31"/>
        <v>0</v>
      </c>
      <c r="BP21" s="150"/>
      <c r="BQ21" s="146">
        <f t="shared" si="32"/>
        <v>12600</v>
      </c>
      <c r="BR21" s="143">
        <v>0.13</v>
      </c>
      <c r="BS21" s="126">
        <f t="shared" si="33"/>
        <v>1638</v>
      </c>
      <c r="BT21" s="91"/>
      <c r="BU21" s="143">
        <v>0.1</v>
      </c>
      <c r="BV21" s="126">
        <f t="shared" si="34"/>
        <v>1260</v>
      </c>
      <c r="BW21" s="91"/>
      <c r="BX21" s="143">
        <v>0.05</v>
      </c>
      <c r="BY21" s="126">
        <f t="shared" si="35"/>
        <v>630</v>
      </c>
      <c r="BZ21" s="91"/>
      <c r="CA21" s="133">
        <f t="shared" si="36"/>
        <v>0</v>
      </c>
      <c r="CB21" s="143">
        <v>0.0</v>
      </c>
      <c r="CC21" s="126">
        <f t="shared" si="37"/>
        <v>0</v>
      </c>
      <c r="CD21" s="91"/>
      <c r="CE21" s="151">
        <v>0.0</v>
      </c>
      <c r="CF21" s="126">
        <f t="shared" si="38"/>
        <v>0</v>
      </c>
      <c r="CG21" s="91"/>
      <c r="CH21" s="151">
        <v>0.0</v>
      </c>
      <c r="CI21" s="126">
        <f t="shared" si="39"/>
        <v>0</v>
      </c>
      <c r="CJ21" s="150"/>
      <c r="CK21" s="128">
        <f t="shared" si="40"/>
        <v>2125.88</v>
      </c>
      <c r="CL21" s="150"/>
      <c r="CM21" s="128">
        <f t="shared" si="41"/>
        <v>28800</v>
      </c>
      <c r="CN21" s="129">
        <v>0.94</v>
      </c>
      <c r="CO21" s="81">
        <f t="shared" si="42"/>
        <v>27072</v>
      </c>
      <c r="CP21" s="91"/>
      <c r="CQ21" s="133">
        <f t="shared" si="43"/>
        <v>0</v>
      </c>
      <c r="CR21" s="138">
        <v>0.55</v>
      </c>
      <c r="CS21" s="145">
        <f t="shared" si="44"/>
        <v>0</v>
      </c>
      <c r="CT21" s="91"/>
      <c r="CU21" s="133">
        <f t="shared" si="45"/>
        <v>0</v>
      </c>
      <c r="CV21" s="138">
        <v>0.55</v>
      </c>
      <c r="CW21" s="145">
        <f t="shared" si="46"/>
        <v>0</v>
      </c>
      <c r="CX21" s="91"/>
      <c r="CY21" s="133">
        <f t="shared" si="47"/>
        <v>0</v>
      </c>
      <c r="CZ21" s="138">
        <v>0.35</v>
      </c>
      <c r="DA21" s="145">
        <f t="shared" si="48"/>
        <v>0</v>
      </c>
      <c r="DB21" s="150"/>
      <c r="DC21" s="141">
        <f t="shared" si="49"/>
        <v>0</v>
      </c>
      <c r="DD21" s="91"/>
      <c r="DE21" s="133">
        <f t="shared" si="50"/>
        <v>0</v>
      </c>
      <c r="DF21" s="91"/>
      <c r="DG21" s="133">
        <f t="shared" si="51"/>
        <v>0</v>
      </c>
      <c r="DH21" s="91"/>
      <c r="DI21" s="133">
        <f t="shared" si="52"/>
        <v>0</v>
      </c>
      <c r="DJ21" s="91"/>
      <c r="DK21" s="133">
        <f t="shared" si="53"/>
        <v>0</v>
      </c>
      <c r="DL21" s="91"/>
      <c r="DM21" s="131">
        <f t="shared" si="54"/>
        <v>0</v>
      </c>
      <c r="DN21" s="91"/>
      <c r="DO21" s="149">
        <f t="shared" si="55"/>
        <v>0</v>
      </c>
      <c r="DP21" s="91"/>
      <c r="DQ21" s="149">
        <f t="shared" si="56"/>
        <v>0</v>
      </c>
      <c r="DR21" s="91"/>
      <c r="DS21" s="149">
        <f t="shared" si="57"/>
        <v>0</v>
      </c>
      <c r="DT21" s="91"/>
      <c r="DU21" s="149">
        <f t="shared" si="58"/>
        <v>0</v>
      </c>
      <c r="DV21" s="91"/>
      <c r="DW21" s="149">
        <f t="shared" si="59"/>
        <v>0</v>
      </c>
      <c r="DX21" s="91"/>
      <c r="DY21" s="149">
        <f t="shared" si="60"/>
        <v>0</v>
      </c>
      <c r="DZ21" s="91"/>
      <c r="EA21" s="149">
        <f t="shared" si="61"/>
        <v>0</v>
      </c>
      <c r="EB21" s="91"/>
      <c r="EC21" s="149">
        <f t="shared" si="62"/>
        <v>0</v>
      </c>
      <c r="ED21" s="91"/>
      <c r="EE21" s="149">
        <f t="shared" si="63"/>
        <v>0</v>
      </c>
      <c r="EF21" s="91"/>
      <c r="EG21" s="149">
        <f t="shared" si="64"/>
        <v>0</v>
      </c>
      <c r="EH21" s="150"/>
    </row>
    <row r="22" ht="14.25" customHeight="1">
      <c r="B22" s="52" t="s">
        <v>96</v>
      </c>
      <c r="C22" s="128">
        <f t="shared" si="1"/>
        <v>0</v>
      </c>
      <c r="D22" s="129">
        <v>0.82</v>
      </c>
      <c r="E22" s="126">
        <f t="shared" si="2"/>
        <v>0</v>
      </c>
      <c r="F22" s="91"/>
      <c r="G22" s="131">
        <f t="shared" si="3"/>
        <v>12600</v>
      </c>
      <c r="H22" s="132">
        <v>0.335</v>
      </c>
      <c r="I22" s="126">
        <f t="shared" si="4"/>
        <v>4221</v>
      </c>
      <c r="J22" s="91"/>
      <c r="K22" s="131">
        <f t="shared" si="5"/>
        <v>0</v>
      </c>
      <c r="L22" s="129">
        <v>0.27</v>
      </c>
      <c r="M22" s="126">
        <f t="shared" si="6"/>
        <v>0</v>
      </c>
      <c r="N22" s="91"/>
      <c r="O22" s="131">
        <f t="shared" si="7"/>
        <v>65560</v>
      </c>
      <c r="P22" s="129">
        <v>0.39</v>
      </c>
      <c r="Q22" s="126">
        <f t="shared" si="65"/>
        <v>19668</v>
      </c>
      <c r="R22" s="91"/>
      <c r="S22" s="133">
        <f t="shared" si="8"/>
        <v>0</v>
      </c>
      <c r="T22" s="129">
        <v>0.46</v>
      </c>
      <c r="U22" s="126">
        <f t="shared" si="9"/>
        <v>0</v>
      </c>
      <c r="V22" s="91"/>
      <c r="W22" s="134">
        <f t="shared" si="10"/>
        <v>10270</v>
      </c>
      <c r="X22" s="135">
        <v>0.21</v>
      </c>
      <c r="Y22" s="133">
        <f t="shared" si="11"/>
        <v>2156.7</v>
      </c>
      <c r="Z22" s="91"/>
      <c r="AA22" s="133">
        <f t="shared" si="12"/>
        <v>12600</v>
      </c>
      <c r="AB22" s="136">
        <f t="shared" si="66"/>
        <v>0.45</v>
      </c>
      <c r="AC22" s="126">
        <f t="shared" si="13"/>
        <v>5670</v>
      </c>
      <c r="AD22" s="91"/>
      <c r="AE22" s="133">
        <f t="shared" si="14"/>
        <v>31800</v>
      </c>
      <c r="AF22" s="137">
        <v>0.24</v>
      </c>
      <c r="AG22" s="131">
        <f t="shared" si="15"/>
        <v>7632</v>
      </c>
      <c r="AH22" s="91"/>
      <c r="AI22" s="133">
        <f t="shared" si="16"/>
        <v>12600</v>
      </c>
      <c r="AJ22" s="138">
        <v>0.6</v>
      </c>
      <c r="AK22" s="126">
        <f t="shared" si="17"/>
        <v>7560</v>
      </c>
      <c r="AL22" s="91"/>
      <c r="AM22" s="133">
        <f t="shared" si="18"/>
        <v>0</v>
      </c>
      <c r="AN22" s="139">
        <v>0.0</v>
      </c>
      <c r="AO22" s="126">
        <f t="shared" si="19"/>
        <v>0</v>
      </c>
      <c r="AP22" s="150"/>
      <c r="AQ22" s="141">
        <f t="shared" si="20"/>
        <v>16800</v>
      </c>
      <c r="AR22" s="137">
        <v>0.16</v>
      </c>
      <c r="AS22" s="126">
        <f t="shared" si="21"/>
        <v>2688</v>
      </c>
      <c r="AT22" s="91"/>
      <c r="AU22" s="137">
        <v>0.07</v>
      </c>
      <c r="AV22" s="126">
        <f t="shared" si="22"/>
        <v>1176</v>
      </c>
      <c r="AW22" s="91"/>
      <c r="AX22" s="131">
        <f t="shared" si="23"/>
        <v>0</v>
      </c>
      <c r="AY22" s="142">
        <v>0.44</v>
      </c>
      <c r="AZ22" s="126">
        <f t="shared" si="24"/>
        <v>0</v>
      </c>
      <c r="BA22" s="91"/>
      <c r="BB22" s="133">
        <f t="shared" si="25"/>
        <v>0</v>
      </c>
      <c r="BC22" s="143">
        <v>0.0</v>
      </c>
      <c r="BD22" s="126">
        <f t="shared" si="26"/>
        <v>0</v>
      </c>
      <c r="BE22" s="91"/>
      <c r="BF22" s="151">
        <v>0.0</v>
      </c>
      <c r="BG22" s="145">
        <f t="shared" si="27"/>
        <v>0</v>
      </c>
      <c r="BH22" s="91"/>
      <c r="BI22" s="131">
        <f t="shared" si="28"/>
        <v>0</v>
      </c>
      <c r="BJ22" s="129">
        <v>0.54</v>
      </c>
      <c r="BK22" s="126">
        <f t="shared" si="29"/>
        <v>0</v>
      </c>
      <c r="BL22" s="91"/>
      <c r="BM22" s="131">
        <f t="shared" si="30"/>
        <v>0</v>
      </c>
      <c r="BN22" s="142">
        <v>0.46</v>
      </c>
      <c r="BO22" s="126">
        <f t="shared" si="31"/>
        <v>0</v>
      </c>
      <c r="BP22" s="150"/>
      <c r="BQ22" s="146">
        <f t="shared" si="32"/>
        <v>56360</v>
      </c>
      <c r="BR22" s="143">
        <v>0.13</v>
      </c>
      <c r="BS22" s="126">
        <f t="shared" si="33"/>
        <v>7326.8</v>
      </c>
      <c r="BT22" s="91"/>
      <c r="BU22" s="143">
        <v>0.1</v>
      </c>
      <c r="BV22" s="126">
        <f t="shared" si="34"/>
        <v>5636</v>
      </c>
      <c r="BW22" s="91"/>
      <c r="BX22" s="143">
        <v>0.05</v>
      </c>
      <c r="BY22" s="126">
        <f t="shared" si="35"/>
        <v>2818</v>
      </c>
      <c r="BZ22" s="91"/>
      <c r="CA22" s="133">
        <f t="shared" si="36"/>
        <v>0</v>
      </c>
      <c r="CB22" s="143">
        <v>0.0</v>
      </c>
      <c r="CC22" s="126">
        <f t="shared" si="37"/>
        <v>0</v>
      </c>
      <c r="CD22" s="91"/>
      <c r="CE22" s="151">
        <v>0.0</v>
      </c>
      <c r="CF22" s="126">
        <f t="shared" si="38"/>
        <v>0</v>
      </c>
      <c r="CG22" s="91"/>
      <c r="CH22" s="151">
        <v>0.0</v>
      </c>
      <c r="CI22" s="126">
        <f t="shared" si="39"/>
        <v>0</v>
      </c>
      <c r="CJ22" s="150"/>
      <c r="CK22" s="128">
        <f t="shared" si="40"/>
        <v>3417.565</v>
      </c>
      <c r="CL22" s="150"/>
      <c r="CM22" s="128">
        <f t="shared" si="41"/>
        <v>0</v>
      </c>
      <c r="CN22" s="129">
        <v>0.94</v>
      </c>
      <c r="CO22" s="81">
        <f t="shared" si="42"/>
        <v>0</v>
      </c>
      <c r="CP22" s="91"/>
      <c r="CQ22" s="133">
        <f t="shared" si="43"/>
        <v>0</v>
      </c>
      <c r="CR22" s="138">
        <v>0.55</v>
      </c>
      <c r="CS22" s="145">
        <f t="shared" si="44"/>
        <v>0</v>
      </c>
      <c r="CT22" s="91"/>
      <c r="CU22" s="133">
        <f t="shared" si="45"/>
        <v>0</v>
      </c>
      <c r="CV22" s="138">
        <v>0.55</v>
      </c>
      <c r="CW22" s="145">
        <f t="shared" si="46"/>
        <v>0</v>
      </c>
      <c r="CX22" s="91"/>
      <c r="CY22" s="133">
        <f t="shared" si="47"/>
        <v>0</v>
      </c>
      <c r="CZ22" s="138">
        <v>0.35</v>
      </c>
      <c r="DA22" s="145">
        <f t="shared" si="48"/>
        <v>0</v>
      </c>
      <c r="DB22" s="150"/>
      <c r="DC22" s="141">
        <f t="shared" si="49"/>
        <v>3000</v>
      </c>
      <c r="DD22" s="91"/>
      <c r="DE22" s="133">
        <f t="shared" si="50"/>
        <v>0</v>
      </c>
      <c r="DF22" s="91"/>
      <c r="DG22" s="133">
        <f t="shared" si="51"/>
        <v>0</v>
      </c>
      <c r="DH22" s="91"/>
      <c r="DI22" s="133">
        <f t="shared" si="52"/>
        <v>0</v>
      </c>
      <c r="DJ22" s="91"/>
      <c r="DK22" s="133">
        <f t="shared" si="53"/>
        <v>0</v>
      </c>
      <c r="DL22" s="91"/>
      <c r="DM22" s="131">
        <f t="shared" si="54"/>
        <v>0</v>
      </c>
      <c r="DN22" s="91"/>
      <c r="DO22" s="149">
        <f t="shared" si="55"/>
        <v>0</v>
      </c>
      <c r="DP22" s="91"/>
      <c r="DQ22" s="149">
        <f t="shared" si="56"/>
        <v>0</v>
      </c>
      <c r="DR22" s="91"/>
      <c r="DS22" s="149">
        <f t="shared" si="57"/>
        <v>0</v>
      </c>
      <c r="DT22" s="91"/>
      <c r="DU22" s="149">
        <f t="shared" si="58"/>
        <v>0</v>
      </c>
      <c r="DV22" s="91"/>
      <c r="DW22" s="149">
        <f t="shared" si="59"/>
        <v>0</v>
      </c>
      <c r="DX22" s="91"/>
      <c r="DY22" s="149">
        <f t="shared" si="60"/>
        <v>0</v>
      </c>
      <c r="DZ22" s="91"/>
      <c r="EA22" s="149">
        <f t="shared" si="61"/>
        <v>0</v>
      </c>
      <c r="EB22" s="91"/>
      <c r="EC22" s="149">
        <f t="shared" si="62"/>
        <v>0</v>
      </c>
      <c r="ED22" s="91"/>
      <c r="EE22" s="149">
        <f t="shared" si="63"/>
        <v>0</v>
      </c>
      <c r="EF22" s="91"/>
      <c r="EG22" s="149">
        <f t="shared" si="64"/>
        <v>0</v>
      </c>
      <c r="EH22" s="150"/>
    </row>
    <row r="23" ht="14.25" customHeight="1">
      <c r="B23" s="52" t="s">
        <v>97</v>
      </c>
      <c r="C23" s="152">
        <f t="shared" si="1"/>
        <v>0</v>
      </c>
      <c r="D23" s="153">
        <v>0.82</v>
      </c>
      <c r="E23" s="154">
        <f t="shared" si="2"/>
        <v>0</v>
      </c>
      <c r="F23" s="155"/>
      <c r="G23" s="156">
        <f t="shared" si="3"/>
        <v>12600</v>
      </c>
      <c r="H23" s="157">
        <v>0.335</v>
      </c>
      <c r="I23" s="154">
        <f t="shared" si="4"/>
        <v>4221</v>
      </c>
      <c r="J23" s="155"/>
      <c r="K23" s="156">
        <f t="shared" si="5"/>
        <v>0</v>
      </c>
      <c r="L23" s="153">
        <v>0.27</v>
      </c>
      <c r="M23" s="154">
        <f t="shared" si="6"/>
        <v>0</v>
      </c>
      <c r="N23" s="155"/>
      <c r="O23" s="156">
        <f t="shared" si="7"/>
        <v>65560</v>
      </c>
      <c r="P23" s="153">
        <v>0.39</v>
      </c>
      <c r="Q23" s="126">
        <f t="shared" si="65"/>
        <v>19668</v>
      </c>
      <c r="R23" s="155"/>
      <c r="S23" s="158">
        <f t="shared" si="8"/>
        <v>0</v>
      </c>
      <c r="T23" s="153">
        <v>0.46</v>
      </c>
      <c r="U23" s="154">
        <f t="shared" si="9"/>
        <v>0</v>
      </c>
      <c r="V23" s="155"/>
      <c r="W23" s="159">
        <f t="shared" si="10"/>
        <v>10270</v>
      </c>
      <c r="X23" s="160">
        <v>0.21</v>
      </c>
      <c r="Y23" s="158">
        <f t="shared" si="11"/>
        <v>2156.7</v>
      </c>
      <c r="Z23" s="155"/>
      <c r="AA23" s="158">
        <f t="shared" si="12"/>
        <v>12600</v>
      </c>
      <c r="AB23" s="161">
        <f t="shared" si="66"/>
        <v>0.45</v>
      </c>
      <c r="AC23" s="154">
        <f t="shared" si="13"/>
        <v>5670</v>
      </c>
      <c r="AD23" s="155"/>
      <c r="AE23" s="158">
        <f t="shared" si="14"/>
        <v>31800</v>
      </c>
      <c r="AF23" s="162">
        <v>0.24</v>
      </c>
      <c r="AG23" s="156">
        <f t="shared" si="15"/>
        <v>7632</v>
      </c>
      <c r="AH23" s="155"/>
      <c r="AI23" s="158">
        <f t="shared" si="16"/>
        <v>12600</v>
      </c>
      <c r="AJ23" s="163">
        <v>0.6</v>
      </c>
      <c r="AK23" s="154">
        <f t="shared" si="17"/>
        <v>7560</v>
      </c>
      <c r="AL23" s="155"/>
      <c r="AM23" s="158">
        <f t="shared" si="18"/>
        <v>0</v>
      </c>
      <c r="AN23" s="164">
        <v>0.0</v>
      </c>
      <c r="AO23" s="154">
        <f t="shared" si="19"/>
        <v>0</v>
      </c>
      <c r="AP23" s="165"/>
      <c r="AQ23" s="166">
        <f t="shared" si="20"/>
        <v>16800</v>
      </c>
      <c r="AR23" s="162">
        <v>0.16</v>
      </c>
      <c r="AS23" s="154">
        <f t="shared" si="21"/>
        <v>2688</v>
      </c>
      <c r="AT23" s="155"/>
      <c r="AU23" s="162">
        <v>0.07</v>
      </c>
      <c r="AV23" s="154">
        <f t="shared" si="22"/>
        <v>1176</v>
      </c>
      <c r="AW23" s="155"/>
      <c r="AX23" s="156">
        <f t="shared" si="23"/>
        <v>0</v>
      </c>
      <c r="AY23" s="167">
        <v>0.44</v>
      </c>
      <c r="AZ23" s="154">
        <f t="shared" si="24"/>
        <v>0</v>
      </c>
      <c r="BA23" s="155"/>
      <c r="BB23" s="158">
        <f t="shared" si="25"/>
        <v>0</v>
      </c>
      <c r="BC23" s="168">
        <v>0.0</v>
      </c>
      <c r="BD23" s="154">
        <f t="shared" si="26"/>
        <v>0</v>
      </c>
      <c r="BE23" s="155"/>
      <c r="BF23" s="151">
        <v>0.0</v>
      </c>
      <c r="BG23" s="169">
        <f t="shared" si="27"/>
        <v>0</v>
      </c>
      <c r="BH23" s="155"/>
      <c r="BI23" s="156">
        <f t="shared" si="28"/>
        <v>0</v>
      </c>
      <c r="BJ23" s="153">
        <v>0.54</v>
      </c>
      <c r="BK23" s="154">
        <f t="shared" si="29"/>
        <v>0</v>
      </c>
      <c r="BL23" s="155"/>
      <c r="BM23" s="156">
        <f t="shared" si="30"/>
        <v>0</v>
      </c>
      <c r="BN23" s="167">
        <v>0.46</v>
      </c>
      <c r="BO23" s="154">
        <f t="shared" si="31"/>
        <v>0</v>
      </c>
      <c r="BP23" s="165"/>
      <c r="BQ23" s="146">
        <f t="shared" si="32"/>
        <v>56360</v>
      </c>
      <c r="BR23" s="168">
        <v>0.13</v>
      </c>
      <c r="BS23" s="154">
        <f t="shared" si="33"/>
        <v>7326.8</v>
      </c>
      <c r="BT23" s="155"/>
      <c r="BU23" s="168">
        <v>0.1</v>
      </c>
      <c r="BV23" s="154">
        <f t="shared" si="34"/>
        <v>5636</v>
      </c>
      <c r="BW23" s="155"/>
      <c r="BX23" s="168">
        <v>0.05</v>
      </c>
      <c r="BY23" s="154">
        <f t="shared" si="35"/>
        <v>2818</v>
      </c>
      <c r="BZ23" s="155"/>
      <c r="CA23" s="158">
        <f t="shared" si="36"/>
        <v>0</v>
      </c>
      <c r="CB23" s="168">
        <v>0.0</v>
      </c>
      <c r="CC23" s="154">
        <f t="shared" si="37"/>
        <v>0</v>
      </c>
      <c r="CD23" s="155"/>
      <c r="CE23" s="151">
        <v>0.0</v>
      </c>
      <c r="CF23" s="154">
        <f t="shared" si="38"/>
        <v>0</v>
      </c>
      <c r="CG23" s="155"/>
      <c r="CH23" s="151">
        <v>0.0</v>
      </c>
      <c r="CI23" s="154">
        <f t="shared" si="39"/>
        <v>0</v>
      </c>
      <c r="CJ23" s="165"/>
      <c r="CK23" s="152">
        <f t="shared" si="40"/>
        <v>3417.565</v>
      </c>
      <c r="CL23" s="165"/>
      <c r="CM23" s="152">
        <f t="shared" si="41"/>
        <v>0</v>
      </c>
      <c r="CN23" s="153">
        <v>0.94</v>
      </c>
      <c r="CO23" s="154">
        <f t="shared" si="42"/>
        <v>0</v>
      </c>
      <c r="CP23" s="155"/>
      <c r="CQ23" s="158">
        <f t="shared" si="43"/>
        <v>0</v>
      </c>
      <c r="CR23" s="163">
        <v>0.55</v>
      </c>
      <c r="CS23" s="169">
        <f t="shared" si="44"/>
        <v>0</v>
      </c>
      <c r="CT23" s="155"/>
      <c r="CU23" s="158">
        <f t="shared" si="45"/>
        <v>0</v>
      </c>
      <c r="CV23" s="163">
        <v>0.55</v>
      </c>
      <c r="CW23" s="169">
        <f t="shared" si="46"/>
        <v>0</v>
      </c>
      <c r="CX23" s="155"/>
      <c r="CY23" s="158">
        <f t="shared" si="47"/>
        <v>0</v>
      </c>
      <c r="CZ23" s="163">
        <v>0.35</v>
      </c>
      <c r="DA23" s="169">
        <f t="shared" si="48"/>
        <v>0</v>
      </c>
      <c r="DB23" s="165"/>
      <c r="DC23" s="166">
        <f t="shared" si="49"/>
        <v>3000</v>
      </c>
      <c r="DD23" s="155"/>
      <c r="DE23" s="158">
        <f t="shared" si="50"/>
        <v>0</v>
      </c>
      <c r="DF23" s="155"/>
      <c r="DG23" s="158">
        <f t="shared" si="51"/>
        <v>0</v>
      </c>
      <c r="DH23" s="155"/>
      <c r="DI23" s="158">
        <f t="shared" si="52"/>
        <v>0</v>
      </c>
      <c r="DJ23" s="155"/>
      <c r="DK23" s="158">
        <f t="shared" si="53"/>
        <v>0</v>
      </c>
      <c r="DL23" s="155"/>
      <c r="DM23" s="156">
        <f t="shared" si="54"/>
        <v>0</v>
      </c>
      <c r="DN23" s="155"/>
      <c r="DO23" s="170">
        <f t="shared" si="55"/>
        <v>0</v>
      </c>
      <c r="DP23" s="155"/>
      <c r="DQ23" s="170">
        <f t="shared" si="56"/>
        <v>0</v>
      </c>
      <c r="DR23" s="155"/>
      <c r="DS23" s="170">
        <f t="shared" si="57"/>
        <v>0</v>
      </c>
      <c r="DT23" s="155"/>
      <c r="DU23" s="170">
        <f t="shared" si="58"/>
        <v>0</v>
      </c>
      <c r="DV23" s="155"/>
      <c r="DW23" s="170">
        <f t="shared" si="59"/>
        <v>0</v>
      </c>
      <c r="DX23" s="155"/>
      <c r="DY23" s="170">
        <f t="shared" si="60"/>
        <v>0</v>
      </c>
      <c r="DZ23" s="155"/>
      <c r="EA23" s="170">
        <f t="shared" si="61"/>
        <v>0</v>
      </c>
      <c r="EB23" s="155"/>
      <c r="EC23" s="170">
        <f t="shared" si="62"/>
        <v>0</v>
      </c>
      <c r="ED23" s="155"/>
      <c r="EE23" s="170">
        <f t="shared" si="63"/>
        <v>0</v>
      </c>
      <c r="EF23" s="155"/>
      <c r="EG23" s="170">
        <f t="shared" si="64"/>
        <v>0</v>
      </c>
      <c r="EH23" s="165"/>
    </row>
    <row r="24" ht="14.25" customHeight="1">
      <c r="B24" s="171" t="s">
        <v>149</v>
      </c>
      <c r="C24" s="172">
        <f>SUM(C19:C23)</f>
        <v>0</v>
      </c>
      <c r="E24" s="173">
        <f>SUM(E19:E23)</f>
        <v>0</v>
      </c>
      <c r="G24" s="172">
        <f>SUM(G19:G23)</f>
        <v>42238.35617</v>
      </c>
      <c r="I24" s="173">
        <f>SUM(I19:I23)</f>
        <v>14149.84932</v>
      </c>
      <c r="K24" s="172">
        <f>SUM(K19:K23)</f>
        <v>0</v>
      </c>
      <c r="M24" s="173">
        <f>SUM(M19:M23)</f>
        <v>0</v>
      </c>
      <c r="O24" s="172">
        <f>SUM(O19:O23)</f>
        <v>435423.3973</v>
      </c>
      <c r="Q24" s="174">
        <f>SUM(Q19:Q23)</f>
        <v>130627.0192</v>
      </c>
      <c r="S24" s="172">
        <f>SUM(S19:S23)</f>
        <v>0</v>
      </c>
      <c r="U24" s="173">
        <f>SUM(U19:U23)</f>
        <v>0</v>
      </c>
      <c r="W24" s="175">
        <f>SUM(W19:W23)</f>
        <v>137285.7534</v>
      </c>
      <c r="Y24" s="172">
        <f>SUM(Y19:Y23)</f>
        <v>30233.15726</v>
      </c>
      <c r="AA24" s="172">
        <f>SUM(AA19:AA23)</f>
        <v>25200</v>
      </c>
      <c r="AC24" s="174">
        <f>SUM(AC19:AC23)</f>
        <v>11340</v>
      </c>
      <c r="AE24" s="176">
        <f>SUM(AE19:AE23)</f>
        <v>92783.0137</v>
      </c>
      <c r="AG24" s="172">
        <f>SUM(AG19:AG23)</f>
        <v>22375.05205</v>
      </c>
      <c r="AI24" s="172">
        <f>SUM(AI19:AI23)</f>
        <v>25200</v>
      </c>
      <c r="AK24" s="173">
        <f>SUM(AK19:AK23)</f>
        <v>15120</v>
      </c>
      <c r="AM24" s="176">
        <f>SUM(AM19:AM23)</f>
        <v>9000</v>
      </c>
      <c r="AO24" s="174">
        <f>SUM(AO19:AO23)</f>
        <v>3780</v>
      </c>
      <c r="AQ24" s="172">
        <f>SUM(AQ19:AQ23)</f>
        <v>117684.274</v>
      </c>
      <c r="AS24" s="173">
        <f>SUM(AS19:AS23)</f>
        <v>21498.05923</v>
      </c>
      <c r="AV24" s="174">
        <f>SUM(AV19:AV23)</f>
        <v>13329.42416</v>
      </c>
      <c r="AZ24" s="174">
        <f>SUM(AZ19:AZ23)</f>
        <v>0</v>
      </c>
      <c r="BB24" s="176">
        <f>SUM(BB19:BB23)</f>
        <v>0</v>
      </c>
      <c r="BD24" s="174">
        <f>SUM(BD19:BD23)</f>
        <v>0</v>
      </c>
      <c r="BG24" s="174">
        <f>SUM(BG19:BG23)</f>
        <v>0</v>
      </c>
      <c r="BK24" s="174">
        <f>SUM(BK19:BK23)</f>
        <v>0</v>
      </c>
      <c r="BO24" s="174">
        <f>SUM(BO19:BO23)</f>
        <v>0</v>
      </c>
      <c r="BQ24" s="176">
        <f>SUM(BQ19:BQ23)</f>
        <v>219120.548</v>
      </c>
      <c r="BS24" s="174">
        <f>SUM(BS19:BS23)</f>
        <v>28485.67123</v>
      </c>
      <c r="BV24" s="174">
        <f>SUM(BV19:BV23)</f>
        <v>21912.0548</v>
      </c>
      <c r="BY24" s="174">
        <f>SUM(BY19:BY23)</f>
        <v>10956.0274</v>
      </c>
      <c r="CA24" s="172">
        <f>SUM(CA19:CA23)</f>
        <v>0</v>
      </c>
      <c r="CC24" s="173">
        <f>SUM(CC19:CC23)</f>
        <v>0</v>
      </c>
      <c r="CF24" s="173">
        <f>SUM(CF19:CF23)</f>
        <v>0</v>
      </c>
      <c r="CI24" s="173">
        <f>SUM(CI19:CI23)</f>
        <v>0</v>
      </c>
      <c r="CK24" s="172">
        <f>SUM(CK19:CK23)</f>
        <v>13064.88701</v>
      </c>
      <c r="CM24" s="177">
        <f>SUM(CM19:CM23)</f>
        <v>99345.20548</v>
      </c>
      <c r="CN24" s="178"/>
      <c r="CO24" s="179">
        <f>SUM(CO19:CO23)</f>
        <v>93384.49315</v>
      </c>
      <c r="CQ24" s="176">
        <f>SUM(CQ19:CQ23)</f>
        <v>0</v>
      </c>
      <c r="CR24" s="180"/>
      <c r="CS24" s="181">
        <f> SUM(CS19:CS23)</f>
        <v>0</v>
      </c>
      <c r="CT24" s="180"/>
      <c r="CU24" s="176">
        <f>SUM(CU19:CU23)</f>
        <v>0</v>
      </c>
      <c r="CV24" s="180"/>
      <c r="CW24" s="181">
        <f> SUM(CW19:CW23)</f>
        <v>0</v>
      </c>
      <c r="CX24" s="180"/>
      <c r="CY24" s="176">
        <f>SUM(CY19:CY23)</f>
        <v>0</v>
      </c>
      <c r="CZ24" s="180"/>
      <c r="DA24" s="181">
        <f> SUM(DA19:DA23)</f>
        <v>0</v>
      </c>
      <c r="DB24" s="180"/>
      <c r="DC24" s="176">
        <f>SUM(DC19:DC23)</f>
        <v>6000</v>
      </c>
      <c r="DE24" s="176">
        <f>SUM(DE19:DE23)</f>
        <v>0</v>
      </c>
      <c r="DG24" s="176">
        <f>SUM(DG19:DG23)</f>
        <v>0</v>
      </c>
      <c r="DI24" s="176">
        <f>SUM(DI19:DI23)</f>
        <v>0</v>
      </c>
      <c r="DK24" s="176">
        <f>SUM(DK19:DK23)</f>
        <v>0</v>
      </c>
      <c r="DM24" s="176">
        <f>SUM(DM19:DM23)</f>
        <v>0</v>
      </c>
      <c r="DO24" s="176">
        <f>SUM(DO19:DO23)</f>
        <v>0</v>
      </c>
      <c r="DQ24" s="176">
        <f>SUM(DQ19:DQ23)</f>
        <v>0</v>
      </c>
      <c r="DS24" s="176">
        <f>SUM(DS19:DS23)</f>
        <v>0</v>
      </c>
      <c r="DU24" s="176">
        <f>SUM(DU19:DU23)</f>
        <v>0</v>
      </c>
      <c r="DW24" s="176">
        <f>SUM(DW19:DW23)</f>
        <v>0</v>
      </c>
      <c r="DY24" s="176">
        <f>SUM(DY19:DY23)</f>
        <v>0</v>
      </c>
      <c r="EA24" s="176">
        <f>SUM(EA19:EA23)</f>
        <v>0</v>
      </c>
      <c r="EC24" s="176">
        <f>SUM(EC19:EC23)</f>
        <v>0</v>
      </c>
      <c r="EE24" s="176">
        <f>SUM(EE19:EE23)</f>
        <v>0</v>
      </c>
      <c r="EG24" s="176">
        <f>SUM(EG19:EG23)</f>
        <v>0</v>
      </c>
    </row>
    <row r="25" ht="14.25" customHeight="1">
      <c r="H25" s="182"/>
      <c r="I25" s="182"/>
      <c r="J25" s="182"/>
      <c r="K25" s="182"/>
      <c r="U25" s="182"/>
    </row>
    <row r="26" ht="14.25" customHeight="1">
      <c r="B26" s="183" t="s">
        <v>150</v>
      </c>
      <c r="C26" s="184"/>
      <c r="D26" s="184"/>
      <c r="E26" s="184"/>
      <c r="F26" s="184"/>
      <c r="G26" s="184"/>
      <c r="H26" s="184"/>
      <c r="I26" s="184"/>
      <c r="J26" s="184"/>
      <c r="K26" s="184"/>
      <c r="L26" s="184"/>
      <c r="M26" s="184"/>
      <c r="N26" s="184"/>
      <c r="O26" s="184"/>
      <c r="P26" s="184"/>
      <c r="Q26" s="184"/>
      <c r="R26" s="184"/>
      <c r="S26" s="184"/>
      <c r="T26" s="184"/>
      <c r="U26" s="184"/>
      <c r="V26" s="184"/>
      <c r="W26" s="184"/>
      <c r="X26" s="184"/>
      <c r="Y26" s="184"/>
      <c r="Z26" s="184"/>
      <c r="AA26" s="184"/>
      <c r="AB26" s="184"/>
      <c r="AC26" s="184"/>
      <c r="AD26" s="184"/>
      <c r="AE26" s="184"/>
      <c r="AF26" s="184"/>
      <c r="AG26" s="184"/>
      <c r="AH26" s="184"/>
      <c r="AI26" s="184"/>
      <c r="AJ26" s="184"/>
      <c r="AK26" s="184"/>
      <c r="AL26" s="184"/>
      <c r="AM26" s="184"/>
      <c r="AN26" s="184"/>
      <c r="AO26" s="184"/>
      <c r="AP26" s="79"/>
      <c r="AQ26" s="185"/>
      <c r="AR26" s="185"/>
      <c r="AS26" s="185"/>
    </row>
    <row r="27" ht="30.0" customHeight="1">
      <c r="B27" s="81"/>
      <c r="C27" s="186" t="s">
        <v>99</v>
      </c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8"/>
      <c r="T27" s="189" t="s">
        <v>151</v>
      </c>
      <c r="U27" s="56" t="s">
        <v>51</v>
      </c>
      <c r="V27" s="50"/>
      <c r="W27" s="50"/>
      <c r="X27" s="51"/>
      <c r="Y27" s="190" t="s">
        <v>52</v>
      </c>
      <c r="Z27" s="50"/>
      <c r="AA27" s="50"/>
      <c r="AB27" s="50"/>
      <c r="AC27" s="50"/>
      <c r="AD27" s="51"/>
      <c r="AE27" s="190" t="s">
        <v>152</v>
      </c>
      <c r="AF27" s="50"/>
      <c r="AG27" s="50"/>
      <c r="AH27" s="50"/>
      <c r="AI27" s="50"/>
      <c r="AJ27" s="50"/>
      <c r="AK27" s="50"/>
      <c r="AL27" s="50"/>
      <c r="AM27" s="50"/>
      <c r="AN27" s="51"/>
      <c r="AO27" s="191" t="s">
        <v>153</v>
      </c>
      <c r="AP27" s="191" t="s">
        <v>154</v>
      </c>
      <c r="AR27" s="192"/>
    </row>
    <row r="28" ht="15.0" customHeight="1">
      <c r="B28" s="91"/>
      <c r="C28" s="52" t="s">
        <v>47</v>
      </c>
      <c r="D28" s="50"/>
      <c r="E28" s="50"/>
      <c r="F28" s="50"/>
      <c r="G28" s="50"/>
      <c r="H28" s="50"/>
      <c r="I28" s="50"/>
      <c r="J28" s="50"/>
      <c r="K28" s="50"/>
      <c r="L28" s="51"/>
      <c r="M28" s="52" t="s">
        <v>48</v>
      </c>
      <c r="N28" s="50"/>
      <c r="O28" s="50"/>
      <c r="P28" s="50"/>
      <c r="Q28" s="51"/>
      <c r="R28" s="52" t="s">
        <v>49</v>
      </c>
      <c r="S28" s="51"/>
      <c r="T28" s="113" t="s">
        <v>155</v>
      </c>
      <c r="U28" s="113" t="s">
        <v>71</v>
      </c>
      <c r="V28" s="113" t="s">
        <v>72</v>
      </c>
      <c r="W28" s="81" t="s">
        <v>73</v>
      </c>
      <c r="X28" s="113" t="s">
        <v>156</v>
      </c>
      <c r="Y28" s="113" t="str">
        <f>DC15</f>
        <v>Bactériosol concentré</v>
      </c>
      <c r="Z28" s="113" t="str">
        <f>DE15</f>
        <v>Bactériolit concentré</v>
      </c>
      <c r="AA28" s="113" t="str">
        <f>DG15</f>
        <v/>
      </c>
      <c r="AB28" s="113" t="s">
        <v>157</v>
      </c>
      <c r="AC28" s="113" t="str">
        <f>DK15</f>
        <v/>
      </c>
      <c r="AD28" s="113" t="str">
        <f>DM15</f>
        <v/>
      </c>
      <c r="AE28" s="193" t="s">
        <v>77</v>
      </c>
      <c r="AF28" s="193" t="s">
        <v>78</v>
      </c>
      <c r="AG28" s="193" t="s">
        <v>79</v>
      </c>
      <c r="AH28" s="194" t="s">
        <v>80</v>
      </c>
      <c r="AI28" s="194" t="s">
        <v>81</v>
      </c>
      <c r="AJ28" s="194" t="s">
        <v>82</v>
      </c>
      <c r="AK28" s="194" t="s">
        <v>83</v>
      </c>
      <c r="AL28" s="194" t="s">
        <v>84</v>
      </c>
      <c r="AM28" s="194" t="s">
        <v>85</v>
      </c>
      <c r="AN28" s="194" t="s">
        <v>86</v>
      </c>
      <c r="AO28" s="91"/>
      <c r="AP28" s="91"/>
    </row>
    <row r="29" ht="15.0" customHeight="1">
      <c r="B29" s="91"/>
      <c r="C29" s="106" t="s">
        <v>106</v>
      </c>
      <c r="D29" s="50"/>
      <c r="E29" s="50"/>
      <c r="F29" s="50"/>
      <c r="G29" s="50"/>
      <c r="H29" s="51"/>
      <c r="I29" s="106" t="s">
        <v>107</v>
      </c>
      <c r="J29" s="51"/>
      <c r="K29" s="106" t="s">
        <v>108</v>
      </c>
      <c r="L29" s="51"/>
      <c r="M29" s="113" t="s">
        <v>109</v>
      </c>
      <c r="N29" s="113" t="s">
        <v>64</v>
      </c>
      <c r="O29" s="113" t="s">
        <v>111</v>
      </c>
      <c r="P29" s="113" t="s">
        <v>112</v>
      </c>
      <c r="Q29" s="113" t="s">
        <v>113</v>
      </c>
      <c r="R29" s="113" t="s">
        <v>114</v>
      </c>
      <c r="S29" s="113" t="s">
        <v>115</v>
      </c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111"/>
      <c r="AF29" s="111"/>
      <c r="AG29" s="111"/>
      <c r="AH29" s="91"/>
      <c r="AI29" s="91"/>
      <c r="AJ29" s="91"/>
      <c r="AK29" s="91"/>
      <c r="AL29" s="91"/>
      <c r="AM29" s="91"/>
      <c r="AN29" s="91"/>
      <c r="AO29" s="91"/>
      <c r="AP29" s="91"/>
    </row>
    <row r="30" ht="14.25" customHeight="1">
      <c r="B30" s="119"/>
      <c r="C30" s="121" t="s">
        <v>53</v>
      </c>
      <c r="D30" s="121" t="s">
        <v>54</v>
      </c>
      <c r="E30" s="121" t="s">
        <v>55</v>
      </c>
      <c r="F30" s="121" t="s">
        <v>56</v>
      </c>
      <c r="G30" s="121" t="s">
        <v>57</v>
      </c>
      <c r="H30" s="121" t="s">
        <v>158</v>
      </c>
      <c r="I30" s="121" t="s">
        <v>59</v>
      </c>
      <c r="J30" s="121" t="s">
        <v>158</v>
      </c>
      <c r="K30" s="121" t="s">
        <v>61</v>
      </c>
      <c r="L30" s="121" t="s">
        <v>158</v>
      </c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8"/>
      <c r="AF30" s="118"/>
      <c r="AG30" s="118"/>
      <c r="AH30" s="119"/>
      <c r="AI30" s="119"/>
      <c r="AJ30" s="119"/>
      <c r="AK30" s="119"/>
      <c r="AL30" s="119"/>
      <c r="AM30" s="119"/>
      <c r="AN30" s="119"/>
      <c r="AO30" s="119"/>
      <c r="AP30" s="119"/>
    </row>
    <row r="31" ht="14.25" customHeight="1">
      <c r="B31" s="126" t="s">
        <v>93</v>
      </c>
      <c r="C31" s="126">
        <f t="shared" ref="C31:C35" si="67">E19*$F$19</f>
        <v>0</v>
      </c>
      <c r="D31" s="126">
        <f t="shared" ref="D31:D35" si="68">I19*$J$19</f>
        <v>3508.881787</v>
      </c>
      <c r="E31" s="126">
        <f t="shared" ref="E31:E35" si="69">M19*$N$19</f>
        <v>0</v>
      </c>
      <c r="F31" s="126">
        <f t="shared" ref="F31:F35" si="70">Q19*$R$19</f>
        <v>191740.8457</v>
      </c>
      <c r="G31" s="126">
        <f t="shared" ref="G31:G35" si="71">U19*$V$19</f>
        <v>0</v>
      </c>
      <c r="H31" s="126">
        <f t="shared" ref="H31:H35" si="72">Y19*$Z$19</f>
        <v>53778.01472</v>
      </c>
      <c r="I31" s="126">
        <f t="shared" ref="I31:I35" si="73">AC19*$AD$19</f>
        <v>0</v>
      </c>
      <c r="J31" s="126">
        <f t="shared" ref="J31:J35" si="74">AG19*$AH$19</f>
        <v>344.3054795</v>
      </c>
      <c r="K31" s="126">
        <f t="shared" ref="K31:K35" si="75">AK19*$AL$19</f>
        <v>0</v>
      </c>
      <c r="L31" s="126">
        <f t="shared" ref="L31:L35" si="76">AO19*$AP$19</f>
        <v>0</v>
      </c>
      <c r="M31" s="126">
        <f t="shared" ref="M31:M35" si="77">AS19*$AT$19+AV19*$AW$19</f>
        <v>16705.30804</v>
      </c>
      <c r="N31" s="126">
        <f t="shared" ref="N31:N35" si="78">AZ19*$BA$19</f>
        <v>0</v>
      </c>
      <c r="O31" s="126">
        <f t="shared" ref="O31:O35" si="79">BD19*$BE$19+BG19*$BH$19</f>
        <v>0</v>
      </c>
      <c r="P31" s="126">
        <f t="shared" ref="P31:P35" si="80">BK19*$BL$19</f>
        <v>0</v>
      </c>
      <c r="Q31" s="126">
        <f t="shared" ref="Q31:Q35" si="81">BO19*$BP$19</f>
        <v>0</v>
      </c>
      <c r="R31" s="126">
        <f t="shared" ref="R31:R35" si="82">BS19*$BT$19+BV19*$BW$19+BY19*$BZ$19</f>
        <v>18218.48252</v>
      </c>
      <c r="S31" s="126">
        <f t="shared" ref="S31:S35" si="83">CC19*$CD$19+CF19*$CG$19+CI19*$CJ$19</f>
        <v>0</v>
      </c>
      <c r="T31" s="126">
        <f t="shared" ref="T31:T35" si="84">CK19*$CL$19</f>
        <v>25857.78059</v>
      </c>
      <c r="U31" s="126">
        <f t="shared" ref="U31:U35" si="85">CO19*$CP$19</f>
        <v>6941.67337</v>
      </c>
      <c r="V31" s="126">
        <f t="shared" ref="V31:V35" si="86">CS19*$CT$19</f>
        <v>0</v>
      </c>
      <c r="W31" s="126">
        <f t="shared" ref="W31:W35" si="87">CW19*$CX$19</f>
        <v>0</v>
      </c>
      <c r="X31" s="52">
        <f t="shared" ref="X31:X35" si="88">DA19*$DB$19</f>
        <v>0</v>
      </c>
      <c r="Y31" s="126">
        <f t="shared" ref="Y31:Y35" si="89">DC19*$DD$19</f>
        <v>0</v>
      </c>
      <c r="Z31" s="52">
        <f t="shared" ref="Z31:Z35" si="90">DE19*$DF$19</f>
        <v>0</v>
      </c>
      <c r="AA31" s="52">
        <f t="shared" ref="AA31:AA35" si="91">DG19*$DH$19</f>
        <v>0</v>
      </c>
      <c r="AB31" s="52">
        <f t="shared" ref="AB31:AB35" si="92">DI19*$DJ$19</f>
        <v>0</v>
      </c>
      <c r="AC31" s="52">
        <f t="shared" ref="AC31:AC35" si="93">DK19*$DL$19</f>
        <v>0</v>
      </c>
      <c r="AD31" s="52">
        <f t="shared" ref="AD31:AD35" si="94">DM19*$DN$19</f>
        <v>0</v>
      </c>
      <c r="AE31" s="52">
        <f t="shared" ref="AE31:AE35" si="95">DO19*$DP$19</f>
        <v>0</v>
      </c>
      <c r="AF31" s="52">
        <f t="shared" ref="AF31:AF35" si="96">DQ19*$DR$19</f>
        <v>0</v>
      </c>
      <c r="AG31" s="52">
        <f t="shared" ref="AG31:AG35" si="97">DS19*$DT$19</f>
        <v>0</v>
      </c>
      <c r="AH31" s="52">
        <f t="shared" ref="AH31:AH35" si="98">DU19*$DV$19</f>
        <v>0</v>
      </c>
      <c r="AI31" s="52">
        <f t="shared" ref="AI31:AI35" si="99">DW19*$DX$19</f>
        <v>0</v>
      </c>
      <c r="AJ31" s="52">
        <f t="shared" ref="AJ31:AJ35" si="100">DY19*$DZ$19</f>
        <v>0</v>
      </c>
      <c r="AK31" s="52">
        <f t="shared" ref="AK31:AK35" si="101">EA19*$EB$19</f>
        <v>0</v>
      </c>
      <c r="AL31" s="52">
        <f t="shared" ref="AL31:AL35" si="102">EC19*$ED$19</f>
        <v>0</v>
      </c>
      <c r="AM31" s="52">
        <f t="shared" ref="AM31:AM35" si="103">EE19*$EF$19</f>
        <v>0</v>
      </c>
      <c r="AN31" s="52">
        <f t="shared" ref="AN31:AN35" si="104">EG19*$EH$19</f>
        <v>0</v>
      </c>
      <c r="AO31" s="195">
        <f t="shared" ref="AO31:AO35" si="105">SUM(C31:AN31)</f>
        <v>317095.2922</v>
      </c>
      <c r="AP31" s="196">
        <f>AO31/'SUIVI RABAIS PRODUCTION ET C '!D9</f>
        <v>946.8922964</v>
      </c>
    </row>
    <row r="32" ht="14.25" customHeight="1">
      <c r="B32" s="126" t="s">
        <v>94</v>
      </c>
      <c r="C32" s="126">
        <f t="shared" si="67"/>
        <v>0</v>
      </c>
      <c r="D32" s="126">
        <f t="shared" si="68"/>
        <v>0</v>
      </c>
      <c r="E32" s="126">
        <f t="shared" si="69"/>
        <v>0</v>
      </c>
      <c r="F32" s="126">
        <f t="shared" si="70"/>
        <v>187110.03</v>
      </c>
      <c r="G32" s="126">
        <f t="shared" si="71"/>
        <v>0</v>
      </c>
      <c r="H32" s="126">
        <f t="shared" si="72"/>
        <v>69173.376</v>
      </c>
      <c r="I32" s="126">
        <f t="shared" si="73"/>
        <v>0</v>
      </c>
      <c r="J32" s="126">
        <f t="shared" si="74"/>
        <v>5790.72</v>
      </c>
      <c r="K32" s="126">
        <f t="shared" si="75"/>
        <v>0</v>
      </c>
      <c r="L32" s="126">
        <f t="shared" si="76"/>
        <v>2683.8</v>
      </c>
      <c r="M32" s="126">
        <f t="shared" si="77"/>
        <v>10830</v>
      </c>
      <c r="N32" s="126">
        <f t="shared" si="78"/>
        <v>0</v>
      </c>
      <c r="O32" s="126">
        <f t="shared" si="79"/>
        <v>0</v>
      </c>
      <c r="P32" s="126">
        <f t="shared" si="80"/>
        <v>0</v>
      </c>
      <c r="Q32" s="126">
        <f t="shared" si="81"/>
        <v>0</v>
      </c>
      <c r="R32" s="126">
        <f t="shared" si="82"/>
        <v>50687.4</v>
      </c>
      <c r="S32" s="126">
        <f t="shared" si="83"/>
        <v>0</v>
      </c>
      <c r="T32" s="126">
        <f t="shared" si="84"/>
        <v>14610.55065</v>
      </c>
      <c r="U32" s="126">
        <f t="shared" si="85"/>
        <v>13681.512</v>
      </c>
      <c r="V32" s="126">
        <f t="shared" si="86"/>
        <v>0</v>
      </c>
      <c r="W32" s="126">
        <f t="shared" si="87"/>
        <v>0</v>
      </c>
      <c r="X32" s="52">
        <f t="shared" si="88"/>
        <v>0</v>
      </c>
      <c r="Y32" s="126">
        <f t="shared" si="89"/>
        <v>0</v>
      </c>
      <c r="Z32" s="52">
        <f t="shared" si="90"/>
        <v>0</v>
      </c>
      <c r="AA32" s="52">
        <f t="shared" si="91"/>
        <v>0</v>
      </c>
      <c r="AB32" s="52">
        <f t="shared" si="92"/>
        <v>0</v>
      </c>
      <c r="AC32" s="52">
        <f t="shared" si="93"/>
        <v>0</v>
      </c>
      <c r="AD32" s="52">
        <f t="shared" si="94"/>
        <v>0</v>
      </c>
      <c r="AE32" s="52">
        <f t="shared" si="95"/>
        <v>0</v>
      </c>
      <c r="AF32" s="52">
        <f t="shared" si="96"/>
        <v>0</v>
      </c>
      <c r="AG32" s="52">
        <f t="shared" si="97"/>
        <v>0</v>
      </c>
      <c r="AH32" s="52">
        <f t="shared" si="98"/>
        <v>0</v>
      </c>
      <c r="AI32" s="52">
        <f t="shared" si="99"/>
        <v>0</v>
      </c>
      <c r="AJ32" s="52">
        <f t="shared" si="100"/>
        <v>0</v>
      </c>
      <c r="AK32" s="52">
        <f t="shared" si="101"/>
        <v>0</v>
      </c>
      <c r="AL32" s="52">
        <f t="shared" si="102"/>
        <v>0</v>
      </c>
      <c r="AM32" s="52">
        <f t="shared" si="103"/>
        <v>0</v>
      </c>
      <c r="AN32" s="52">
        <f t="shared" si="104"/>
        <v>0</v>
      </c>
      <c r="AO32" s="195">
        <f t="shared" si="105"/>
        <v>354567.3887</v>
      </c>
      <c r="AP32" s="196">
        <f>AO32/'SUIVI RABAIS PRODUCTION ET C '!E9</f>
        <v>923.6893363</v>
      </c>
    </row>
    <row r="33" ht="14.25" customHeight="1">
      <c r="B33" s="126" t="s">
        <v>95</v>
      </c>
      <c r="C33" s="126">
        <f t="shared" si="67"/>
        <v>0</v>
      </c>
      <c r="D33" s="126">
        <f t="shared" si="68"/>
        <v>19151.28</v>
      </c>
      <c r="E33" s="126">
        <f t="shared" si="69"/>
        <v>0</v>
      </c>
      <c r="F33" s="126">
        <f t="shared" si="70"/>
        <v>76691.31</v>
      </c>
      <c r="G33" s="126">
        <f t="shared" si="71"/>
        <v>0</v>
      </c>
      <c r="H33" s="126">
        <f t="shared" si="72"/>
        <v>6388.198</v>
      </c>
      <c r="I33" s="126">
        <f t="shared" si="73"/>
        <v>0</v>
      </c>
      <c r="J33" s="126">
        <f t="shared" si="74"/>
        <v>4176</v>
      </c>
      <c r="K33" s="126">
        <f t="shared" si="75"/>
        <v>0</v>
      </c>
      <c r="L33" s="126">
        <f t="shared" si="76"/>
        <v>0</v>
      </c>
      <c r="M33" s="126">
        <f t="shared" si="77"/>
        <v>3635.649</v>
      </c>
      <c r="N33" s="126">
        <f t="shared" si="78"/>
        <v>0</v>
      </c>
      <c r="O33" s="126">
        <f t="shared" si="79"/>
        <v>0</v>
      </c>
      <c r="P33" s="126">
        <f t="shared" si="80"/>
        <v>0</v>
      </c>
      <c r="Q33" s="126">
        <f t="shared" si="81"/>
        <v>0</v>
      </c>
      <c r="R33" s="126">
        <f t="shared" si="82"/>
        <v>9255.96</v>
      </c>
      <c r="S33" s="126">
        <f t="shared" si="83"/>
        <v>0</v>
      </c>
      <c r="T33" s="126">
        <f t="shared" si="84"/>
        <v>20963.30268</v>
      </c>
      <c r="U33" s="126">
        <f t="shared" si="85"/>
        <v>8419.392</v>
      </c>
      <c r="V33" s="126">
        <f t="shared" si="86"/>
        <v>0</v>
      </c>
      <c r="W33" s="126">
        <f t="shared" si="87"/>
        <v>0</v>
      </c>
      <c r="X33" s="52">
        <f t="shared" si="88"/>
        <v>0</v>
      </c>
      <c r="Y33" s="126">
        <f t="shared" si="89"/>
        <v>0</v>
      </c>
      <c r="Z33" s="52">
        <f t="shared" si="90"/>
        <v>0</v>
      </c>
      <c r="AA33" s="52">
        <f t="shared" si="91"/>
        <v>0</v>
      </c>
      <c r="AB33" s="52">
        <f t="shared" si="92"/>
        <v>0</v>
      </c>
      <c r="AC33" s="52">
        <f t="shared" si="93"/>
        <v>0</v>
      </c>
      <c r="AD33" s="52">
        <f t="shared" si="94"/>
        <v>0</v>
      </c>
      <c r="AE33" s="52">
        <f t="shared" si="95"/>
        <v>0</v>
      </c>
      <c r="AF33" s="52">
        <f t="shared" si="96"/>
        <v>0</v>
      </c>
      <c r="AG33" s="52">
        <f t="shared" si="97"/>
        <v>0</v>
      </c>
      <c r="AH33" s="52">
        <f t="shared" si="98"/>
        <v>0</v>
      </c>
      <c r="AI33" s="52">
        <f t="shared" si="99"/>
        <v>0</v>
      </c>
      <c r="AJ33" s="52">
        <f t="shared" si="100"/>
        <v>0</v>
      </c>
      <c r="AK33" s="52">
        <f t="shared" si="101"/>
        <v>0</v>
      </c>
      <c r="AL33" s="52">
        <f t="shared" si="102"/>
        <v>0</v>
      </c>
      <c r="AM33" s="52">
        <f t="shared" si="103"/>
        <v>0</v>
      </c>
      <c r="AN33" s="52">
        <f t="shared" si="104"/>
        <v>0</v>
      </c>
      <c r="AO33" s="195">
        <f t="shared" si="105"/>
        <v>148681.0917</v>
      </c>
      <c r="AP33" s="196">
        <f>AO33/'SUIVI RABAIS PRODUCTION ET C '!F9</f>
        <v>387.3315575</v>
      </c>
    </row>
    <row r="34" ht="14.25" customHeight="1">
      <c r="B34" s="126" t="s">
        <v>96</v>
      </c>
      <c r="C34" s="126">
        <f t="shared" si="67"/>
        <v>0</v>
      </c>
      <c r="D34" s="126">
        <f t="shared" si="68"/>
        <v>16757.37</v>
      </c>
      <c r="E34" s="126">
        <f t="shared" si="69"/>
        <v>0</v>
      </c>
      <c r="F34" s="126">
        <f t="shared" si="70"/>
        <v>98143.32</v>
      </c>
      <c r="G34" s="126">
        <f t="shared" si="71"/>
        <v>0</v>
      </c>
      <c r="H34" s="126">
        <f t="shared" si="72"/>
        <v>10761.933</v>
      </c>
      <c r="I34" s="126">
        <f t="shared" si="73"/>
        <v>8221.5</v>
      </c>
      <c r="J34" s="126">
        <f t="shared" si="74"/>
        <v>11066.4</v>
      </c>
      <c r="K34" s="126">
        <f t="shared" si="75"/>
        <v>5367.6</v>
      </c>
      <c r="L34" s="126">
        <f t="shared" si="76"/>
        <v>0</v>
      </c>
      <c r="M34" s="126">
        <f t="shared" si="77"/>
        <v>4732.56</v>
      </c>
      <c r="N34" s="126">
        <f t="shared" si="78"/>
        <v>0</v>
      </c>
      <c r="O34" s="126">
        <f t="shared" si="79"/>
        <v>0</v>
      </c>
      <c r="P34" s="126">
        <f t="shared" si="80"/>
        <v>0</v>
      </c>
      <c r="Q34" s="126">
        <f t="shared" si="81"/>
        <v>0</v>
      </c>
      <c r="R34" s="126">
        <f t="shared" si="82"/>
        <v>41402.056</v>
      </c>
      <c r="S34" s="126">
        <f t="shared" si="83"/>
        <v>0</v>
      </c>
      <c r="T34" s="126">
        <f t="shared" si="84"/>
        <v>33700.60847</v>
      </c>
      <c r="U34" s="126">
        <f t="shared" si="85"/>
        <v>0</v>
      </c>
      <c r="V34" s="126">
        <f t="shared" si="86"/>
        <v>0</v>
      </c>
      <c r="W34" s="126">
        <f t="shared" si="87"/>
        <v>0</v>
      </c>
      <c r="X34" s="52">
        <f t="shared" si="88"/>
        <v>0</v>
      </c>
      <c r="Y34" s="126">
        <f t="shared" si="89"/>
        <v>1653</v>
      </c>
      <c r="Z34" s="52">
        <f t="shared" si="90"/>
        <v>0</v>
      </c>
      <c r="AA34" s="52">
        <f t="shared" si="91"/>
        <v>0</v>
      </c>
      <c r="AB34" s="52">
        <f t="shared" si="92"/>
        <v>0</v>
      </c>
      <c r="AC34" s="52">
        <f t="shared" si="93"/>
        <v>0</v>
      </c>
      <c r="AD34" s="52">
        <f t="shared" si="94"/>
        <v>0</v>
      </c>
      <c r="AE34" s="52">
        <f t="shared" si="95"/>
        <v>0</v>
      </c>
      <c r="AF34" s="52">
        <f t="shared" si="96"/>
        <v>0</v>
      </c>
      <c r="AG34" s="52">
        <f t="shared" si="97"/>
        <v>0</v>
      </c>
      <c r="AH34" s="52">
        <f t="shared" si="98"/>
        <v>0</v>
      </c>
      <c r="AI34" s="52">
        <f t="shared" si="99"/>
        <v>0</v>
      </c>
      <c r="AJ34" s="52">
        <f t="shared" si="100"/>
        <v>0</v>
      </c>
      <c r="AK34" s="52">
        <f t="shared" si="101"/>
        <v>0</v>
      </c>
      <c r="AL34" s="52">
        <f t="shared" si="102"/>
        <v>0</v>
      </c>
      <c r="AM34" s="52">
        <f t="shared" si="103"/>
        <v>0</v>
      </c>
      <c r="AN34" s="52">
        <f t="shared" si="104"/>
        <v>0</v>
      </c>
      <c r="AO34" s="195">
        <f t="shared" si="105"/>
        <v>231806.3475</v>
      </c>
      <c r="AP34" s="196">
        <f>AO34/'SUIVI RABAIS PRODUCTION ET C '!G9</f>
        <v>603.8825287</v>
      </c>
    </row>
    <row r="35" ht="14.25" customHeight="1">
      <c r="B35" s="126" t="s">
        <v>97</v>
      </c>
      <c r="C35" s="126">
        <f t="shared" si="67"/>
        <v>0</v>
      </c>
      <c r="D35" s="126">
        <f t="shared" si="68"/>
        <v>16757.37</v>
      </c>
      <c r="E35" s="126">
        <f t="shared" si="69"/>
        <v>0</v>
      </c>
      <c r="F35" s="126">
        <f t="shared" si="70"/>
        <v>98143.32</v>
      </c>
      <c r="G35" s="126">
        <f t="shared" si="71"/>
        <v>0</v>
      </c>
      <c r="H35" s="126">
        <f t="shared" si="72"/>
        <v>10761.933</v>
      </c>
      <c r="I35" s="126">
        <f t="shared" si="73"/>
        <v>8221.5</v>
      </c>
      <c r="J35" s="126">
        <f t="shared" si="74"/>
        <v>11066.4</v>
      </c>
      <c r="K35" s="126">
        <f t="shared" si="75"/>
        <v>5367.6</v>
      </c>
      <c r="L35" s="126">
        <f t="shared" si="76"/>
        <v>0</v>
      </c>
      <c r="M35" s="126">
        <f t="shared" si="77"/>
        <v>4732.56</v>
      </c>
      <c r="N35" s="126">
        <f t="shared" si="78"/>
        <v>0</v>
      </c>
      <c r="O35" s="126">
        <f t="shared" si="79"/>
        <v>0</v>
      </c>
      <c r="P35" s="126">
        <f t="shared" si="80"/>
        <v>0</v>
      </c>
      <c r="Q35" s="126">
        <f t="shared" si="81"/>
        <v>0</v>
      </c>
      <c r="R35" s="126">
        <f t="shared" si="82"/>
        <v>41402.056</v>
      </c>
      <c r="S35" s="126">
        <f t="shared" si="83"/>
        <v>0</v>
      </c>
      <c r="T35" s="126">
        <f t="shared" si="84"/>
        <v>33700.60847</v>
      </c>
      <c r="U35" s="126">
        <f t="shared" si="85"/>
        <v>0</v>
      </c>
      <c r="V35" s="126">
        <f t="shared" si="86"/>
        <v>0</v>
      </c>
      <c r="W35" s="126">
        <f t="shared" si="87"/>
        <v>0</v>
      </c>
      <c r="X35" s="52">
        <f t="shared" si="88"/>
        <v>0</v>
      </c>
      <c r="Y35" s="126">
        <f t="shared" si="89"/>
        <v>1653</v>
      </c>
      <c r="Z35" s="52">
        <f t="shared" si="90"/>
        <v>0</v>
      </c>
      <c r="AA35" s="52">
        <f t="shared" si="91"/>
        <v>0</v>
      </c>
      <c r="AB35" s="52">
        <f t="shared" si="92"/>
        <v>0</v>
      </c>
      <c r="AC35" s="52">
        <f t="shared" si="93"/>
        <v>0</v>
      </c>
      <c r="AD35" s="52">
        <f t="shared" si="94"/>
        <v>0</v>
      </c>
      <c r="AE35" s="52">
        <f t="shared" si="95"/>
        <v>0</v>
      </c>
      <c r="AF35" s="52">
        <f t="shared" si="96"/>
        <v>0</v>
      </c>
      <c r="AG35" s="52">
        <f t="shared" si="97"/>
        <v>0</v>
      </c>
      <c r="AH35" s="52">
        <f t="shared" si="98"/>
        <v>0</v>
      </c>
      <c r="AI35" s="52">
        <f t="shared" si="99"/>
        <v>0</v>
      </c>
      <c r="AJ35" s="52">
        <f t="shared" si="100"/>
        <v>0</v>
      </c>
      <c r="AK35" s="52">
        <f t="shared" si="101"/>
        <v>0</v>
      </c>
      <c r="AL35" s="52">
        <f t="shared" si="102"/>
        <v>0</v>
      </c>
      <c r="AM35" s="52">
        <f t="shared" si="103"/>
        <v>0</v>
      </c>
      <c r="AN35" s="52">
        <f t="shared" si="104"/>
        <v>0</v>
      </c>
      <c r="AO35" s="195">
        <f t="shared" si="105"/>
        <v>231806.3475</v>
      </c>
      <c r="AP35" s="196">
        <f>AO35/'SUIVI RABAIS PRODUCTION ET C '!H9</f>
        <v>603.8825287</v>
      </c>
      <c r="DE35" s="197"/>
    </row>
    <row r="36" ht="14.25" customHeight="1">
      <c r="B36" s="171" t="s">
        <v>149</v>
      </c>
      <c r="C36" s="171">
        <f t="shared" ref="C36:AO36" si="106">SUM(C31:C35)</f>
        <v>0</v>
      </c>
      <c r="D36" s="171">
        <f t="shared" si="106"/>
        <v>56174.90179</v>
      </c>
      <c r="E36" s="171">
        <f t="shared" si="106"/>
        <v>0</v>
      </c>
      <c r="F36" s="171">
        <f t="shared" si="106"/>
        <v>651828.8257</v>
      </c>
      <c r="G36" s="171">
        <f t="shared" si="106"/>
        <v>0</v>
      </c>
      <c r="H36" s="171">
        <f t="shared" si="106"/>
        <v>150863.4547</v>
      </c>
      <c r="I36" s="171">
        <f t="shared" si="106"/>
        <v>16443</v>
      </c>
      <c r="J36" s="171">
        <f t="shared" si="106"/>
        <v>32443.82548</v>
      </c>
      <c r="K36" s="171">
        <f t="shared" si="106"/>
        <v>10735.2</v>
      </c>
      <c r="L36" s="171">
        <f t="shared" si="106"/>
        <v>2683.8</v>
      </c>
      <c r="M36" s="171">
        <f t="shared" si="106"/>
        <v>40636.07704</v>
      </c>
      <c r="N36" s="171">
        <f t="shared" si="106"/>
        <v>0</v>
      </c>
      <c r="O36" s="171">
        <f t="shared" si="106"/>
        <v>0</v>
      </c>
      <c r="P36" s="171">
        <f t="shared" si="106"/>
        <v>0</v>
      </c>
      <c r="Q36" s="171">
        <f t="shared" si="106"/>
        <v>0</v>
      </c>
      <c r="R36" s="171">
        <f t="shared" si="106"/>
        <v>160965.9545</v>
      </c>
      <c r="S36" s="171">
        <f t="shared" si="106"/>
        <v>0</v>
      </c>
      <c r="T36" s="171">
        <f t="shared" si="106"/>
        <v>128832.8508</v>
      </c>
      <c r="U36" s="171">
        <f t="shared" si="106"/>
        <v>29042.57737</v>
      </c>
      <c r="V36" s="171">
        <f t="shared" si="106"/>
        <v>0</v>
      </c>
      <c r="W36" s="171">
        <f t="shared" si="106"/>
        <v>0</v>
      </c>
      <c r="X36" s="171">
        <f t="shared" si="106"/>
        <v>0</v>
      </c>
      <c r="Y36" s="171">
        <f t="shared" si="106"/>
        <v>3306</v>
      </c>
      <c r="Z36" s="171">
        <f t="shared" si="106"/>
        <v>0</v>
      </c>
      <c r="AA36" s="171">
        <f t="shared" si="106"/>
        <v>0</v>
      </c>
      <c r="AB36" s="171">
        <f t="shared" si="106"/>
        <v>0</v>
      </c>
      <c r="AC36" s="171">
        <f t="shared" si="106"/>
        <v>0</v>
      </c>
      <c r="AD36" s="171">
        <f t="shared" si="106"/>
        <v>0</v>
      </c>
      <c r="AE36" s="171">
        <f t="shared" si="106"/>
        <v>0</v>
      </c>
      <c r="AF36" s="171">
        <f t="shared" si="106"/>
        <v>0</v>
      </c>
      <c r="AG36" s="171">
        <f t="shared" si="106"/>
        <v>0</v>
      </c>
      <c r="AH36" s="171">
        <f t="shared" si="106"/>
        <v>0</v>
      </c>
      <c r="AI36" s="171">
        <f t="shared" si="106"/>
        <v>0</v>
      </c>
      <c r="AJ36" s="171">
        <f t="shared" si="106"/>
        <v>0</v>
      </c>
      <c r="AK36" s="171">
        <f t="shared" si="106"/>
        <v>0</v>
      </c>
      <c r="AL36" s="171">
        <f t="shared" si="106"/>
        <v>0</v>
      </c>
      <c r="AM36" s="171">
        <f t="shared" si="106"/>
        <v>0</v>
      </c>
      <c r="AN36" s="171">
        <f t="shared" si="106"/>
        <v>0</v>
      </c>
      <c r="AO36" s="198">
        <f t="shared" si="106"/>
        <v>1283956.467</v>
      </c>
    </row>
    <row r="37" ht="14.25" customHeight="1"/>
    <row r="38" ht="14.25" customHeight="1">
      <c r="B38" s="199" t="s">
        <v>159</v>
      </c>
      <c r="C38" s="200"/>
      <c r="D38" s="200"/>
      <c r="E38" s="200"/>
      <c r="F38" s="200"/>
      <c r="G38" s="200"/>
      <c r="H38" s="200"/>
      <c r="I38" s="200"/>
      <c r="J38" s="200"/>
      <c r="K38" s="200"/>
      <c r="L38" s="200"/>
      <c r="M38" s="200"/>
      <c r="N38" s="200"/>
      <c r="O38" s="200"/>
      <c r="P38" s="200"/>
      <c r="Q38" s="200"/>
      <c r="R38" s="200"/>
      <c r="S38" s="200"/>
      <c r="T38" s="200"/>
      <c r="U38" s="200"/>
      <c r="V38" s="200"/>
      <c r="W38" s="200"/>
      <c r="X38" s="200"/>
      <c r="Y38" s="200"/>
      <c r="Z38" s="200"/>
      <c r="AA38" s="200"/>
      <c r="AB38" s="200"/>
      <c r="AC38" s="200"/>
      <c r="AD38" s="200"/>
      <c r="AE38" s="200"/>
      <c r="AF38" s="200"/>
      <c r="AG38" s="200"/>
      <c r="AH38" s="200"/>
      <c r="AI38" s="200"/>
      <c r="AJ38" s="200"/>
      <c r="AK38" s="200"/>
      <c r="AL38" s="200"/>
      <c r="AM38" s="200"/>
      <c r="AN38" s="200"/>
      <c r="AO38" s="200"/>
      <c r="AP38" s="200"/>
      <c r="AQ38" s="200"/>
      <c r="AR38" s="200"/>
      <c r="AS38" s="200"/>
      <c r="AT38" s="200"/>
      <c r="AU38" s="200"/>
      <c r="AV38" s="200"/>
      <c r="AW38" s="200"/>
      <c r="AX38" s="200"/>
    </row>
    <row r="39" ht="15.0" customHeight="1">
      <c r="B39" s="81"/>
      <c r="C39" s="201" t="s">
        <v>160</v>
      </c>
      <c r="D39" s="50"/>
      <c r="E39" s="50"/>
      <c r="F39" s="51"/>
      <c r="G39" s="201" t="s">
        <v>161</v>
      </c>
      <c r="H39" s="50"/>
      <c r="I39" s="50"/>
      <c r="J39" s="51"/>
      <c r="K39" s="202" t="s">
        <v>162</v>
      </c>
      <c r="L39" s="50"/>
      <c r="M39" s="50"/>
      <c r="N39" s="51"/>
      <c r="O39" s="203" t="s">
        <v>52</v>
      </c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1"/>
      <c r="AA39" s="203" t="s">
        <v>152</v>
      </c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1"/>
      <c r="AU39" s="204" t="s">
        <v>153</v>
      </c>
      <c r="AV39" s="191" t="s">
        <v>163</v>
      </c>
    </row>
    <row r="40" ht="45.0" customHeight="1">
      <c r="B40" s="91"/>
      <c r="C40" s="205" t="s">
        <v>164</v>
      </c>
      <c r="D40" s="205" t="s">
        <v>165</v>
      </c>
      <c r="E40" s="205" t="s">
        <v>166</v>
      </c>
      <c r="F40" s="205" t="s">
        <v>167</v>
      </c>
      <c r="G40" s="205" t="s">
        <v>168</v>
      </c>
      <c r="H40" s="205" t="s">
        <v>165</v>
      </c>
      <c r="I40" s="205" t="s">
        <v>166</v>
      </c>
      <c r="J40" s="205" t="s">
        <v>167</v>
      </c>
      <c r="K40" s="205" t="s">
        <v>169</v>
      </c>
      <c r="L40" s="205" t="s">
        <v>170</v>
      </c>
      <c r="M40" s="205" t="s">
        <v>171</v>
      </c>
      <c r="N40" s="205" t="s">
        <v>170</v>
      </c>
      <c r="O40" s="206" t="s">
        <v>172</v>
      </c>
      <c r="P40" s="206" t="s">
        <v>173</v>
      </c>
      <c r="Q40" s="206" t="s">
        <v>174</v>
      </c>
      <c r="R40" s="206" t="s">
        <v>173</v>
      </c>
      <c r="S40" s="206" t="s">
        <v>175</v>
      </c>
      <c r="T40" s="206" t="s">
        <v>173</v>
      </c>
      <c r="U40" s="206" t="s">
        <v>176</v>
      </c>
      <c r="V40" s="206" t="s">
        <v>173</v>
      </c>
      <c r="W40" s="206" t="s">
        <v>177</v>
      </c>
      <c r="X40" s="206" t="s">
        <v>173</v>
      </c>
      <c r="Y40" s="206" t="s">
        <v>178</v>
      </c>
      <c r="Z40" s="206" t="s">
        <v>173</v>
      </c>
      <c r="AA40" s="205" t="s">
        <v>179</v>
      </c>
      <c r="AB40" s="205" t="s">
        <v>173</v>
      </c>
      <c r="AC40" s="205" t="s">
        <v>180</v>
      </c>
      <c r="AD40" s="205" t="s">
        <v>173</v>
      </c>
      <c r="AE40" s="205" t="s">
        <v>181</v>
      </c>
      <c r="AF40" s="205" t="s">
        <v>173</v>
      </c>
      <c r="AG40" s="205" t="s">
        <v>182</v>
      </c>
      <c r="AH40" s="205" t="s">
        <v>173</v>
      </c>
      <c r="AI40" s="205" t="s">
        <v>183</v>
      </c>
      <c r="AJ40" s="205" t="s">
        <v>173</v>
      </c>
      <c r="AK40" s="205" t="s">
        <v>184</v>
      </c>
      <c r="AL40" s="205" t="s">
        <v>173</v>
      </c>
      <c r="AM40" s="205" t="s">
        <v>185</v>
      </c>
      <c r="AN40" s="205" t="s">
        <v>173</v>
      </c>
      <c r="AO40" s="205" t="s">
        <v>186</v>
      </c>
      <c r="AP40" s="205" t="s">
        <v>173</v>
      </c>
      <c r="AQ40" s="205" t="s">
        <v>187</v>
      </c>
      <c r="AR40" s="205" t="s">
        <v>173</v>
      </c>
      <c r="AS40" s="205" t="s">
        <v>188</v>
      </c>
      <c r="AT40" s="205" t="s">
        <v>173</v>
      </c>
      <c r="AU40" s="119"/>
      <c r="AV40" s="119"/>
    </row>
    <row r="41" ht="15.0" customHeight="1">
      <c r="B41" s="52" t="s">
        <v>93</v>
      </c>
      <c r="C41" s="131">
        <f t="shared" ref="C41:C45" si="107">E19+I19+M19+Q19+U19+Y19+BD19+BS19+CC19</f>
        <v>53310.09699</v>
      </c>
      <c r="D41" s="207">
        <f t="shared" ref="D41:D45" si="108">C41*$I$49*$I$58</f>
        <v>355197.5605</v>
      </c>
      <c r="E41" s="126">
        <f t="shared" ref="E41:E45" si="109">(C41*$I$51+C41*$I$53)*$I$58</f>
        <v>83027.42977</v>
      </c>
      <c r="F41" s="208">
        <f t="shared" ref="F41:F45" si="110">SUM(D41:E41)</f>
        <v>438224.9903</v>
      </c>
      <c r="G41" s="209"/>
      <c r="H41" s="208">
        <f t="shared" ref="H41:H45" si="111">G41*$I$50*$I$58</f>
        <v>0</v>
      </c>
      <c r="I41" s="208">
        <f t="shared" ref="I41:I45" si="112">(G41*I52*+G41*I53)*$I$58</f>
        <v>0</v>
      </c>
      <c r="J41" s="208">
        <f t="shared" ref="J41:J45" si="113">SUM(H41:I41)</f>
        <v>0</v>
      </c>
      <c r="K41" s="131">
        <f t="shared" ref="K41:K45" si="114">CM19+CQ19</f>
        <v>23745.20548</v>
      </c>
      <c r="L41" s="210">
        <f t="shared" ref="L41:L45" si="115">K41*$I$54</f>
        <v>10447.89041</v>
      </c>
      <c r="M41" s="211">
        <f t="shared" ref="M41:M45" si="116">CU19</f>
        <v>0</v>
      </c>
      <c r="N41" s="210">
        <f t="shared" ref="N41:N45" si="117">M41*$I$55</f>
        <v>0</v>
      </c>
      <c r="O41" s="126">
        <f t="shared" ref="O41:O45" si="118">$C$65/1000*DC19</f>
        <v>0</v>
      </c>
      <c r="P41" s="210">
        <f t="shared" ref="P41:P45" si="119">O41*$I$50+O41*$I$52+O41*$I$53</f>
        <v>0</v>
      </c>
      <c r="Q41" s="210">
        <f t="shared" ref="Q41:Q45" si="120">DE19*$D$65/1000</f>
        <v>0</v>
      </c>
      <c r="R41" s="210">
        <f t="shared" ref="R41:R45" si="121">Q41*$I$50+Q41*$I$52+Q41*$I$53</f>
        <v>0</v>
      </c>
      <c r="S41" s="210">
        <f t="shared" ref="S41:S45" si="122">DG19*$E$65/1000</f>
        <v>0</v>
      </c>
      <c r="T41" s="210">
        <f t="shared" ref="T41:T45" si="123">S41*$I$50+S41*$I$52+S41*$I$53</f>
        <v>0</v>
      </c>
      <c r="U41" s="210">
        <f t="shared" ref="U41:U45" si="124">DI19*$F$65/1000</f>
        <v>0</v>
      </c>
      <c r="V41" s="210">
        <f t="shared" ref="V41:V45" si="125">U41*$I$50+U41*$I$52+U41*$I$53</f>
        <v>0</v>
      </c>
      <c r="W41" s="210">
        <f t="shared" ref="W41:W45" si="126">DK19*$G$65/1000</f>
        <v>0</v>
      </c>
      <c r="X41" s="210">
        <f t="shared" ref="X41:X45" si="127">W41*$I$50+W41*$I$52+W41*$I$53</f>
        <v>0</v>
      </c>
      <c r="Y41" s="52">
        <f t="shared" ref="Y41:Y45" si="128">DM19*$H$65/1000</f>
        <v>0</v>
      </c>
      <c r="Z41" s="212">
        <f t="shared" ref="Z41:Z45" si="129">Y41*$I$50+Y41*$I$52+Y41*$I$53</f>
        <v>0</v>
      </c>
      <c r="AA41" s="52">
        <f t="shared" ref="AA41:AA45" si="130">DO19*1000*$I$65/1000</f>
        <v>0</v>
      </c>
      <c r="AB41" s="52">
        <f t="shared" ref="AB41:AB45" si="131">AA41*$I$50+AA41*$I$52+AA41*$I$53</f>
        <v>0</v>
      </c>
      <c r="AC41" s="52">
        <f t="shared" ref="AC41:AC45" si="132">DQ19*$J$65</f>
        <v>0</v>
      </c>
      <c r="AD41" s="52">
        <f t="shared" ref="AD41:AD45" si="133">AC41*$I$50+AC41*$I$52+AC41*$I$53</f>
        <v>0</v>
      </c>
      <c r="AE41" s="52">
        <f t="shared" ref="AE41:AE45" si="134">DS19*$K$65</f>
        <v>0</v>
      </c>
      <c r="AF41" s="52">
        <f t="shared" ref="AF41:AF45" si="135">AE41*$I$50+AE41*$I$52+AE41*$I$53</f>
        <v>0</v>
      </c>
      <c r="AG41" s="52">
        <f t="shared" ref="AG41:AG45" si="136">DU19*$L$65</f>
        <v>0</v>
      </c>
      <c r="AH41" s="52">
        <f t="shared" ref="AH41:AH45" si="137">AG41*$I$50+AG41*$I$52+AG41*$I$53</f>
        <v>0</v>
      </c>
      <c r="AI41" s="52">
        <f t="shared" ref="AI41:AI45" si="138">DW19*$M$65</f>
        <v>0</v>
      </c>
      <c r="AJ41" s="52">
        <f t="shared" ref="AJ41:AJ45" si="139">AI41*$I$50+AI41*$I$52+AI41*$I$53</f>
        <v>0</v>
      </c>
      <c r="AK41" s="52">
        <f t="shared" ref="AK41:AK45" si="140">DY19*$N$65</f>
        <v>0</v>
      </c>
      <c r="AL41" s="52">
        <f t="shared" ref="AL41:AL45" si="141">AK41*$I$50+AK41*$I$52+AK41*$I$53</f>
        <v>0</v>
      </c>
      <c r="AM41" s="52">
        <f t="shared" ref="AM41:AM45" si="142">EA19*$O$65</f>
        <v>0</v>
      </c>
      <c r="AN41" s="52">
        <f t="shared" ref="AN41:AN45" si="143">AM41*$I$50+AM41*$I$52+AM41*$I$53</f>
        <v>0</v>
      </c>
      <c r="AO41" s="52">
        <f t="shared" ref="AO41:AO45" si="144">EC19*$P$65</f>
        <v>0</v>
      </c>
      <c r="AP41" s="52">
        <f t="shared" ref="AP41:AP45" si="145">AO41*$I$50+AO41*$I$52+AO41*$I$53</f>
        <v>0</v>
      </c>
      <c r="AQ41" s="52">
        <f t="shared" ref="AQ41:AQ45" si="146">EE19*$Q$65</f>
        <v>0</v>
      </c>
      <c r="AR41" s="52">
        <f t="shared" ref="AR41:AR45" si="147">AQ41*$I$50+AQ41*$I$52+AQ41*$I$53</f>
        <v>0</v>
      </c>
      <c r="AS41" s="52">
        <f t="shared" ref="AS41:AS45" si="148">EG19*$R$65</f>
        <v>0</v>
      </c>
      <c r="AT41" s="52">
        <f t="shared" ref="AT41:AT45" si="149">AS41*$I$50+AS41*$I$52+AS41*$I$53</f>
        <v>0</v>
      </c>
      <c r="AU41" s="213">
        <f t="shared" ref="AU41:AU45" si="150">F41+J41+L41+N41+P41+R41+T41+V41+X41+Z41+AB41+AD41+AF41+AH41+AJ41+AL41+AN41+AP41+AR41+AT41</f>
        <v>448672.8807</v>
      </c>
      <c r="AV41" s="214">
        <f>AU41/'SUIVI RABAIS PRODUCTION ET C '!D9</f>
        <v>1339.801961</v>
      </c>
      <c r="AX41" s="215" t="s">
        <v>189</v>
      </c>
      <c r="AY41" s="96"/>
      <c r="AZ41" s="94"/>
    </row>
    <row r="42" ht="15.0" customHeight="1">
      <c r="B42" s="52" t="s">
        <v>94</v>
      </c>
      <c r="C42" s="131">
        <f t="shared" si="107"/>
        <v>60329.4</v>
      </c>
      <c r="D42" s="207">
        <f t="shared" si="108"/>
        <v>401966.1737</v>
      </c>
      <c r="E42" s="126">
        <f t="shared" si="109"/>
        <v>93959.59311</v>
      </c>
      <c r="F42" s="208">
        <f t="shared" si="110"/>
        <v>495925.7668</v>
      </c>
      <c r="G42" s="209"/>
      <c r="H42" s="208">
        <f t="shared" si="111"/>
        <v>0</v>
      </c>
      <c r="I42" s="208">
        <f t="shared" si="112"/>
        <v>0</v>
      </c>
      <c r="J42" s="208">
        <f t="shared" si="113"/>
        <v>0</v>
      </c>
      <c r="K42" s="131">
        <f t="shared" si="114"/>
        <v>46800</v>
      </c>
      <c r="L42" s="210">
        <f t="shared" si="115"/>
        <v>20592</v>
      </c>
      <c r="M42" s="211">
        <f t="shared" si="116"/>
        <v>0</v>
      </c>
      <c r="N42" s="210">
        <f t="shared" si="117"/>
        <v>0</v>
      </c>
      <c r="O42" s="126">
        <f t="shared" si="118"/>
        <v>0</v>
      </c>
      <c r="P42" s="210">
        <f t="shared" si="119"/>
        <v>0</v>
      </c>
      <c r="Q42" s="210">
        <f t="shared" si="120"/>
        <v>0</v>
      </c>
      <c r="R42" s="210">
        <f t="shared" si="121"/>
        <v>0</v>
      </c>
      <c r="S42" s="210">
        <f t="shared" si="122"/>
        <v>0</v>
      </c>
      <c r="T42" s="210">
        <f t="shared" si="123"/>
        <v>0</v>
      </c>
      <c r="U42" s="210">
        <f t="shared" si="124"/>
        <v>0</v>
      </c>
      <c r="V42" s="210">
        <f t="shared" si="125"/>
        <v>0</v>
      </c>
      <c r="W42" s="210">
        <f t="shared" si="126"/>
        <v>0</v>
      </c>
      <c r="X42" s="210">
        <f t="shared" si="127"/>
        <v>0</v>
      </c>
      <c r="Y42" s="52">
        <f t="shared" si="128"/>
        <v>0</v>
      </c>
      <c r="Z42" s="212">
        <f t="shared" si="129"/>
        <v>0</v>
      </c>
      <c r="AA42" s="52">
        <f t="shared" si="130"/>
        <v>0</v>
      </c>
      <c r="AB42" s="52">
        <f t="shared" si="131"/>
        <v>0</v>
      </c>
      <c r="AC42" s="52">
        <f t="shared" si="132"/>
        <v>0</v>
      </c>
      <c r="AD42" s="52">
        <f t="shared" si="133"/>
        <v>0</v>
      </c>
      <c r="AE42" s="52">
        <f t="shared" si="134"/>
        <v>0</v>
      </c>
      <c r="AF42" s="52">
        <f t="shared" si="135"/>
        <v>0</v>
      </c>
      <c r="AG42" s="52">
        <f t="shared" si="136"/>
        <v>0</v>
      </c>
      <c r="AH42" s="52">
        <f t="shared" si="137"/>
        <v>0</v>
      </c>
      <c r="AI42" s="52">
        <f t="shared" si="138"/>
        <v>0</v>
      </c>
      <c r="AJ42" s="52">
        <f t="shared" si="139"/>
        <v>0</v>
      </c>
      <c r="AK42" s="52">
        <f t="shared" si="140"/>
        <v>0</v>
      </c>
      <c r="AL42" s="52">
        <f t="shared" si="141"/>
        <v>0</v>
      </c>
      <c r="AM42" s="52">
        <f t="shared" si="142"/>
        <v>0</v>
      </c>
      <c r="AN42" s="52">
        <f t="shared" si="143"/>
        <v>0</v>
      </c>
      <c r="AO42" s="52">
        <f t="shared" si="144"/>
        <v>0</v>
      </c>
      <c r="AP42" s="52">
        <f t="shared" si="145"/>
        <v>0</v>
      </c>
      <c r="AQ42" s="52">
        <f t="shared" si="146"/>
        <v>0</v>
      </c>
      <c r="AR42" s="52">
        <f t="shared" si="147"/>
        <v>0</v>
      </c>
      <c r="AS42" s="52">
        <f t="shared" si="148"/>
        <v>0</v>
      </c>
      <c r="AT42" s="52">
        <f t="shared" si="149"/>
        <v>0</v>
      </c>
      <c r="AU42" s="213">
        <f t="shared" si="150"/>
        <v>516517.7668</v>
      </c>
      <c r="AV42" s="214">
        <f>AU42/'SUIVI RABAIS PRODUCTION ET C '!E9</f>
        <v>1345.58893</v>
      </c>
      <c r="AX42" s="108"/>
      <c r="AZ42" s="109"/>
    </row>
    <row r="43" ht="14.25" customHeight="1">
      <c r="B43" s="52" t="s">
        <v>95</v>
      </c>
      <c r="C43" s="131">
        <f t="shared" si="107"/>
        <v>23111.2</v>
      </c>
      <c r="D43" s="207">
        <f t="shared" si="108"/>
        <v>153986.624</v>
      </c>
      <c r="E43" s="126">
        <f t="shared" si="109"/>
        <v>35994.37336</v>
      </c>
      <c r="F43" s="208">
        <f t="shared" si="110"/>
        <v>189980.9974</v>
      </c>
      <c r="G43" s="209"/>
      <c r="H43" s="208">
        <f t="shared" si="111"/>
        <v>0</v>
      </c>
      <c r="I43" s="208">
        <f t="shared" si="112"/>
        <v>0</v>
      </c>
      <c r="J43" s="208">
        <f t="shared" si="113"/>
        <v>0</v>
      </c>
      <c r="K43" s="131">
        <f t="shared" si="114"/>
        <v>28800</v>
      </c>
      <c r="L43" s="210">
        <f t="shared" si="115"/>
        <v>12672</v>
      </c>
      <c r="M43" s="211">
        <f t="shared" si="116"/>
        <v>0</v>
      </c>
      <c r="N43" s="210">
        <f t="shared" si="117"/>
        <v>0</v>
      </c>
      <c r="O43" s="126">
        <f t="shared" si="118"/>
        <v>0</v>
      </c>
      <c r="P43" s="210">
        <f t="shared" si="119"/>
        <v>0</v>
      </c>
      <c r="Q43" s="210">
        <f t="shared" si="120"/>
        <v>0</v>
      </c>
      <c r="R43" s="210">
        <f t="shared" si="121"/>
        <v>0</v>
      </c>
      <c r="S43" s="210">
        <f t="shared" si="122"/>
        <v>0</v>
      </c>
      <c r="T43" s="210">
        <f t="shared" si="123"/>
        <v>0</v>
      </c>
      <c r="U43" s="210">
        <f t="shared" si="124"/>
        <v>0</v>
      </c>
      <c r="V43" s="210">
        <f t="shared" si="125"/>
        <v>0</v>
      </c>
      <c r="W43" s="210">
        <f t="shared" si="126"/>
        <v>0</v>
      </c>
      <c r="X43" s="210">
        <f t="shared" si="127"/>
        <v>0</v>
      </c>
      <c r="Y43" s="52">
        <f t="shared" si="128"/>
        <v>0</v>
      </c>
      <c r="Z43" s="212">
        <f t="shared" si="129"/>
        <v>0</v>
      </c>
      <c r="AA43" s="52">
        <f t="shared" si="130"/>
        <v>0</v>
      </c>
      <c r="AB43" s="52">
        <f t="shared" si="131"/>
        <v>0</v>
      </c>
      <c r="AC43" s="52">
        <f t="shared" si="132"/>
        <v>0</v>
      </c>
      <c r="AD43" s="52">
        <f t="shared" si="133"/>
        <v>0</v>
      </c>
      <c r="AE43" s="52">
        <f t="shared" si="134"/>
        <v>0</v>
      </c>
      <c r="AF43" s="52">
        <f t="shared" si="135"/>
        <v>0</v>
      </c>
      <c r="AG43" s="52">
        <f t="shared" si="136"/>
        <v>0</v>
      </c>
      <c r="AH43" s="52">
        <f t="shared" si="137"/>
        <v>0</v>
      </c>
      <c r="AI43" s="52">
        <f t="shared" si="138"/>
        <v>0</v>
      </c>
      <c r="AJ43" s="52">
        <f t="shared" si="139"/>
        <v>0</v>
      </c>
      <c r="AK43" s="52">
        <f t="shared" si="140"/>
        <v>0</v>
      </c>
      <c r="AL43" s="52">
        <f t="shared" si="141"/>
        <v>0</v>
      </c>
      <c r="AM43" s="52">
        <f t="shared" si="142"/>
        <v>0</v>
      </c>
      <c r="AN43" s="52">
        <f t="shared" si="143"/>
        <v>0</v>
      </c>
      <c r="AO43" s="52">
        <f t="shared" si="144"/>
        <v>0</v>
      </c>
      <c r="AP43" s="52">
        <f t="shared" si="145"/>
        <v>0</v>
      </c>
      <c r="AQ43" s="52">
        <f t="shared" si="146"/>
        <v>0</v>
      </c>
      <c r="AR43" s="52">
        <f t="shared" si="147"/>
        <v>0</v>
      </c>
      <c r="AS43" s="52">
        <f t="shared" si="148"/>
        <v>0</v>
      </c>
      <c r="AT43" s="52">
        <f t="shared" si="149"/>
        <v>0</v>
      </c>
      <c r="AU43" s="213">
        <f t="shared" si="150"/>
        <v>202652.9974</v>
      </c>
      <c r="AV43" s="214">
        <f>AU43/'SUIVI RABAIS PRODUCTION ET C '!F9</f>
        <v>527.9346568</v>
      </c>
      <c r="AX43" s="108"/>
      <c r="AZ43" s="109"/>
    </row>
    <row r="44" ht="14.25" customHeight="1">
      <c r="B44" s="52" t="s">
        <v>96</v>
      </c>
      <c r="C44" s="131">
        <f t="shared" si="107"/>
        <v>33372.5</v>
      </c>
      <c r="D44" s="207">
        <f t="shared" si="108"/>
        <v>222356.2</v>
      </c>
      <c r="E44" s="126">
        <f t="shared" si="109"/>
        <v>51975.76175</v>
      </c>
      <c r="F44" s="208">
        <f t="shared" si="110"/>
        <v>274331.9618</v>
      </c>
      <c r="G44" s="209"/>
      <c r="H44" s="208">
        <f t="shared" si="111"/>
        <v>0</v>
      </c>
      <c r="I44" s="208">
        <f t="shared" si="112"/>
        <v>0</v>
      </c>
      <c r="J44" s="208">
        <f t="shared" si="113"/>
        <v>0</v>
      </c>
      <c r="K44" s="131">
        <f t="shared" si="114"/>
        <v>0</v>
      </c>
      <c r="L44" s="210">
        <f t="shared" si="115"/>
        <v>0</v>
      </c>
      <c r="M44" s="211">
        <f t="shared" si="116"/>
        <v>0</v>
      </c>
      <c r="N44" s="210">
        <f t="shared" si="117"/>
        <v>0</v>
      </c>
      <c r="O44" s="126">
        <f t="shared" si="118"/>
        <v>0</v>
      </c>
      <c r="P44" s="210">
        <f t="shared" si="119"/>
        <v>0</v>
      </c>
      <c r="Q44" s="210">
        <f t="shared" si="120"/>
        <v>0</v>
      </c>
      <c r="R44" s="210">
        <f t="shared" si="121"/>
        <v>0</v>
      </c>
      <c r="S44" s="210">
        <f t="shared" si="122"/>
        <v>0</v>
      </c>
      <c r="T44" s="210">
        <f t="shared" si="123"/>
        <v>0</v>
      </c>
      <c r="U44" s="210">
        <f t="shared" si="124"/>
        <v>0</v>
      </c>
      <c r="V44" s="210">
        <f t="shared" si="125"/>
        <v>0</v>
      </c>
      <c r="W44" s="210">
        <f t="shared" si="126"/>
        <v>0</v>
      </c>
      <c r="X44" s="210">
        <f t="shared" si="127"/>
        <v>0</v>
      </c>
      <c r="Y44" s="52">
        <f t="shared" si="128"/>
        <v>0</v>
      </c>
      <c r="Z44" s="212">
        <f t="shared" si="129"/>
        <v>0</v>
      </c>
      <c r="AA44" s="52">
        <f t="shared" si="130"/>
        <v>0</v>
      </c>
      <c r="AB44" s="52">
        <f t="shared" si="131"/>
        <v>0</v>
      </c>
      <c r="AC44" s="52">
        <f t="shared" si="132"/>
        <v>0</v>
      </c>
      <c r="AD44" s="52">
        <f t="shared" si="133"/>
        <v>0</v>
      </c>
      <c r="AE44" s="52">
        <f t="shared" si="134"/>
        <v>0</v>
      </c>
      <c r="AF44" s="52">
        <f t="shared" si="135"/>
        <v>0</v>
      </c>
      <c r="AG44" s="52">
        <f t="shared" si="136"/>
        <v>0</v>
      </c>
      <c r="AH44" s="52">
        <f t="shared" si="137"/>
        <v>0</v>
      </c>
      <c r="AI44" s="52">
        <f t="shared" si="138"/>
        <v>0</v>
      </c>
      <c r="AJ44" s="52">
        <f t="shared" si="139"/>
        <v>0</v>
      </c>
      <c r="AK44" s="52">
        <f t="shared" si="140"/>
        <v>0</v>
      </c>
      <c r="AL44" s="52">
        <f t="shared" si="141"/>
        <v>0</v>
      </c>
      <c r="AM44" s="52">
        <f t="shared" si="142"/>
        <v>0</v>
      </c>
      <c r="AN44" s="52">
        <f t="shared" si="143"/>
        <v>0</v>
      </c>
      <c r="AO44" s="52">
        <f t="shared" si="144"/>
        <v>0</v>
      </c>
      <c r="AP44" s="52">
        <f t="shared" si="145"/>
        <v>0</v>
      </c>
      <c r="AQ44" s="52">
        <f t="shared" si="146"/>
        <v>0</v>
      </c>
      <c r="AR44" s="52">
        <f t="shared" si="147"/>
        <v>0</v>
      </c>
      <c r="AS44" s="52">
        <f t="shared" si="148"/>
        <v>0</v>
      </c>
      <c r="AT44" s="52">
        <f t="shared" si="149"/>
        <v>0</v>
      </c>
      <c r="AU44" s="213">
        <f t="shared" si="150"/>
        <v>274331.9618</v>
      </c>
      <c r="AV44" s="214">
        <f>AU44/'SUIVI RABAIS PRODUCTION ET C '!G9</f>
        <v>714.666706</v>
      </c>
      <c r="AX44" s="216">
        <f>AU46+AO36</f>
        <v>3000464.036</v>
      </c>
      <c r="AY44" s="30" t="s">
        <v>190</v>
      </c>
      <c r="AZ44" s="217"/>
    </row>
    <row r="45" ht="14.25" customHeight="1">
      <c r="B45" s="52" t="s">
        <v>97</v>
      </c>
      <c r="C45" s="218">
        <f t="shared" si="107"/>
        <v>33372.5</v>
      </c>
      <c r="D45" s="207">
        <f t="shared" si="108"/>
        <v>222356.2</v>
      </c>
      <c r="E45" s="126">
        <f t="shared" si="109"/>
        <v>51975.76175</v>
      </c>
      <c r="F45" s="208">
        <f t="shared" si="110"/>
        <v>274331.9618</v>
      </c>
      <c r="G45" s="209"/>
      <c r="H45" s="208">
        <f t="shared" si="111"/>
        <v>0</v>
      </c>
      <c r="I45" s="208">
        <f t="shared" si="112"/>
        <v>0</v>
      </c>
      <c r="J45" s="208">
        <f t="shared" si="113"/>
        <v>0</v>
      </c>
      <c r="K45" s="131">
        <f t="shared" si="114"/>
        <v>0</v>
      </c>
      <c r="L45" s="210">
        <f t="shared" si="115"/>
        <v>0</v>
      </c>
      <c r="M45" s="211">
        <f t="shared" si="116"/>
        <v>0</v>
      </c>
      <c r="N45" s="210">
        <f t="shared" si="117"/>
        <v>0</v>
      </c>
      <c r="O45" s="126">
        <f t="shared" si="118"/>
        <v>0</v>
      </c>
      <c r="P45" s="210">
        <f t="shared" si="119"/>
        <v>0</v>
      </c>
      <c r="Q45" s="210">
        <f t="shared" si="120"/>
        <v>0</v>
      </c>
      <c r="R45" s="210">
        <f t="shared" si="121"/>
        <v>0</v>
      </c>
      <c r="S45" s="210">
        <f t="shared" si="122"/>
        <v>0</v>
      </c>
      <c r="T45" s="210">
        <f t="shared" si="123"/>
        <v>0</v>
      </c>
      <c r="U45" s="210">
        <f t="shared" si="124"/>
        <v>0</v>
      </c>
      <c r="V45" s="210">
        <f t="shared" si="125"/>
        <v>0</v>
      </c>
      <c r="W45" s="210">
        <f t="shared" si="126"/>
        <v>0</v>
      </c>
      <c r="X45" s="210">
        <f t="shared" si="127"/>
        <v>0</v>
      </c>
      <c r="Y45" s="52">
        <f t="shared" si="128"/>
        <v>0</v>
      </c>
      <c r="Z45" s="212">
        <f t="shared" si="129"/>
        <v>0</v>
      </c>
      <c r="AA45" s="52">
        <f t="shared" si="130"/>
        <v>0</v>
      </c>
      <c r="AB45" s="52">
        <f t="shared" si="131"/>
        <v>0</v>
      </c>
      <c r="AC45" s="52">
        <f t="shared" si="132"/>
        <v>0</v>
      </c>
      <c r="AD45" s="52">
        <f t="shared" si="133"/>
        <v>0</v>
      </c>
      <c r="AE45" s="52">
        <f t="shared" si="134"/>
        <v>0</v>
      </c>
      <c r="AF45" s="52">
        <f t="shared" si="135"/>
        <v>0</v>
      </c>
      <c r="AG45" s="52">
        <f t="shared" si="136"/>
        <v>0</v>
      </c>
      <c r="AH45" s="52">
        <f t="shared" si="137"/>
        <v>0</v>
      </c>
      <c r="AI45" s="52">
        <f t="shared" si="138"/>
        <v>0</v>
      </c>
      <c r="AJ45" s="52">
        <f t="shared" si="139"/>
        <v>0</v>
      </c>
      <c r="AK45" s="52">
        <f t="shared" si="140"/>
        <v>0</v>
      </c>
      <c r="AL45" s="52">
        <f t="shared" si="141"/>
        <v>0</v>
      </c>
      <c r="AM45" s="52">
        <f t="shared" si="142"/>
        <v>0</v>
      </c>
      <c r="AN45" s="52">
        <f t="shared" si="143"/>
        <v>0</v>
      </c>
      <c r="AO45" s="52">
        <f t="shared" si="144"/>
        <v>0</v>
      </c>
      <c r="AP45" s="52">
        <f t="shared" si="145"/>
        <v>0</v>
      </c>
      <c r="AQ45" s="52">
        <f t="shared" si="146"/>
        <v>0</v>
      </c>
      <c r="AR45" s="52">
        <f t="shared" si="147"/>
        <v>0</v>
      </c>
      <c r="AS45" s="52">
        <f t="shared" si="148"/>
        <v>0</v>
      </c>
      <c r="AT45" s="52">
        <f t="shared" si="149"/>
        <v>0</v>
      </c>
      <c r="AU45" s="213">
        <f t="shared" si="150"/>
        <v>274331.9618</v>
      </c>
      <c r="AV45" s="214">
        <f>AU45/'SUIVI RABAIS PRODUCTION ET C '!H9</f>
        <v>714.666706</v>
      </c>
      <c r="AX45" s="219">
        <f>AX44/1000</f>
        <v>3000.464036</v>
      </c>
      <c r="AY45" s="220" t="s">
        <v>191</v>
      </c>
    </row>
    <row r="46" ht="14.25" customHeight="1">
      <c r="B46" s="171" t="s">
        <v>149</v>
      </c>
      <c r="C46" s="172">
        <f t="shared" ref="C46:AU46" si="151">SUM(C41:C45)</f>
        <v>203495.697</v>
      </c>
      <c r="D46" s="171">
        <f t="shared" si="151"/>
        <v>1355862.758</v>
      </c>
      <c r="E46" s="171">
        <f t="shared" si="151"/>
        <v>316932.9197</v>
      </c>
      <c r="F46" s="221">
        <f t="shared" si="151"/>
        <v>1672795.678</v>
      </c>
      <c r="G46" s="221">
        <f t="shared" si="151"/>
        <v>0</v>
      </c>
      <c r="H46" s="221">
        <f t="shared" si="151"/>
        <v>0</v>
      </c>
      <c r="I46" s="221">
        <f t="shared" si="151"/>
        <v>0</v>
      </c>
      <c r="J46" s="171">
        <f t="shared" si="151"/>
        <v>0</v>
      </c>
      <c r="K46" s="222">
        <f t="shared" si="151"/>
        <v>99345.20548</v>
      </c>
      <c r="L46" s="221">
        <f t="shared" si="151"/>
        <v>43711.89041</v>
      </c>
      <c r="M46" s="222">
        <f t="shared" si="151"/>
        <v>0</v>
      </c>
      <c r="N46" s="221">
        <f t="shared" si="151"/>
        <v>0</v>
      </c>
      <c r="O46" s="171">
        <f t="shared" si="151"/>
        <v>0</v>
      </c>
      <c r="P46" s="221">
        <f t="shared" si="151"/>
        <v>0</v>
      </c>
      <c r="Q46" s="171">
        <f t="shared" si="151"/>
        <v>0</v>
      </c>
      <c r="R46" s="171">
        <f t="shared" si="151"/>
        <v>0</v>
      </c>
      <c r="S46" s="171">
        <f t="shared" si="151"/>
        <v>0</v>
      </c>
      <c r="T46" s="171">
        <f t="shared" si="151"/>
        <v>0</v>
      </c>
      <c r="U46" s="171">
        <f t="shared" si="151"/>
        <v>0</v>
      </c>
      <c r="V46" s="171">
        <f t="shared" si="151"/>
        <v>0</v>
      </c>
      <c r="W46" s="171">
        <f t="shared" si="151"/>
        <v>0</v>
      </c>
      <c r="X46" s="171">
        <f t="shared" si="151"/>
        <v>0</v>
      </c>
      <c r="Y46" s="171">
        <f t="shared" si="151"/>
        <v>0</v>
      </c>
      <c r="Z46" s="171">
        <f t="shared" si="151"/>
        <v>0</v>
      </c>
      <c r="AA46" s="171">
        <f t="shared" si="151"/>
        <v>0</v>
      </c>
      <c r="AB46" s="171">
        <f t="shared" si="151"/>
        <v>0</v>
      </c>
      <c r="AC46" s="171">
        <f t="shared" si="151"/>
        <v>0</v>
      </c>
      <c r="AD46" s="171">
        <f t="shared" si="151"/>
        <v>0</v>
      </c>
      <c r="AE46" s="171">
        <f t="shared" si="151"/>
        <v>0</v>
      </c>
      <c r="AF46" s="171">
        <f t="shared" si="151"/>
        <v>0</v>
      </c>
      <c r="AG46" s="171">
        <f t="shared" si="151"/>
        <v>0</v>
      </c>
      <c r="AH46" s="171">
        <f t="shared" si="151"/>
        <v>0</v>
      </c>
      <c r="AI46" s="171">
        <f t="shared" si="151"/>
        <v>0</v>
      </c>
      <c r="AJ46" s="171">
        <f t="shared" si="151"/>
        <v>0</v>
      </c>
      <c r="AK46" s="171">
        <f t="shared" si="151"/>
        <v>0</v>
      </c>
      <c r="AL46" s="171">
        <f t="shared" si="151"/>
        <v>0</v>
      </c>
      <c r="AM46" s="171">
        <f t="shared" si="151"/>
        <v>0</v>
      </c>
      <c r="AN46" s="171">
        <f t="shared" si="151"/>
        <v>0</v>
      </c>
      <c r="AO46" s="171">
        <f t="shared" si="151"/>
        <v>0</v>
      </c>
      <c r="AP46" s="171">
        <f t="shared" si="151"/>
        <v>0</v>
      </c>
      <c r="AQ46" s="171">
        <f t="shared" si="151"/>
        <v>0</v>
      </c>
      <c r="AR46" s="171">
        <f t="shared" si="151"/>
        <v>0</v>
      </c>
      <c r="AS46" s="171">
        <f t="shared" si="151"/>
        <v>0</v>
      </c>
      <c r="AT46" s="171">
        <f t="shared" si="151"/>
        <v>0</v>
      </c>
      <c r="AU46" s="223">
        <f t="shared" si="151"/>
        <v>1716507.568</v>
      </c>
      <c r="AV46" s="23"/>
    </row>
    <row r="47" ht="14.25" customHeight="1">
      <c r="B47" s="178"/>
      <c r="C47" s="178"/>
      <c r="D47" s="178"/>
      <c r="E47" s="178"/>
      <c r="F47" s="224"/>
      <c r="G47" s="178"/>
      <c r="H47" s="178"/>
      <c r="I47" s="178"/>
      <c r="J47" s="178"/>
    </row>
    <row r="48" ht="14.25" customHeight="1">
      <c r="B48" s="200" t="s">
        <v>192</v>
      </c>
      <c r="C48" s="200"/>
      <c r="D48" s="200"/>
      <c r="E48" s="200"/>
      <c r="F48" s="200"/>
      <c r="G48" s="200"/>
      <c r="H48" s="200"/>
      <c r="I48" s="200"/>
    </row>
    <row r="49" ht="14.25" customHeight="1">
      <c r="B49" s="225" t="s">
        <v>193</v>
      </c>
      <c r="C49" s="226"/>
      <c r="D49" s="227"/>
      <c r="E49" s="227"/>
      <c r="F49" s="227"/>
      <c r="G49" s="227"/>
      <c r="H49" s="228"/>
      <c r="I49" s="229">
        <f>0.016*44/28</f>
        <v>0.02514285714</v>
      </c>
    </row>
    <row r="50" ht="14.25" customHeight="1">
      <c r="B50" s="230" t="s">
        <v>194</v>
      </c>
      <c r="C50" s="231"/>
      <c r="D50" s="232"/>
      <c r="E50" s="232"/>
      <c r="F50" s="232"/>
      <c r="G50" s="232"/>
      <c r="H50" s="233"/>
      <c r="I50" s="229">
        <f>0.006*44/28</f>
        <v>0.009428571429</v>
      </c>
    </row>
    <row r="51" ht="14.25" customHeight="1">
      <c r="B51" s="230" t="s">
        <v>195</v>
      </c>
      <c r="C51" s="231"/>
      <c r="D51" s="232"/>
      <c r="E51" s="232"/>
      <c r="F51" s="232"/>
      <c r="G51" s="232"/>
      <c r="H51" s="233"/>
      <c r="I51" s="229">
        <f>0.01*0.11*44/28</f>
        <v>0.001728571429</v>
      </c>
    </row>
    <row r="52" ht="14.25" customHeight="1">
      <c r="B52" s="230" t="s">
        <v>196</v>
      </c>
      <c r="C52" s="231"/>
      <c r="D52" s="232"/>
      <c r="E52" s="232"/>
      <c r="F52" s="232"/>
      <c r="G52" s="232"/>
      <c r="H52" s="233"/>
      <c r="I52" s="229">
        <f>0.01*0.21*44/28</f>
        <v>0.0033</v>
      </c>
    </row>
    <row r="53" ht="14.25" customHeight="1">
      <c r="B53" s="230" t="s">
        <v>197</v>
      </c>
      <c r="C53" s="231"/>
      <c r="D53" s="232"/>
      <c r="E53" s="232"/>
      <c r="F53" s="232"/>
      <c r="G53" s="232"/>
      <c r="H53" s="233"/>
      <c r="I53" s="229">
        <f>0.011*0.24*44/28</f>
        <v>0.004148571429</v>
      </c>
    </row>
    <row r="54" ht="14.25" customHeight="1">
      <c r="B54" s="230" t="s">
        <v>198</v>
      </c>
      <c r="C54" s="231"/>
      <c r="D54" s="231"/>
      <c r="E54" s="231"/>
      <c r="F54" s="232"/>
      <c r="G54" s="232"/>
      <c r="H54" s="233"/>
      <c r="I54" s="229">
        <f>0.12*44/12</f>
        <v>0.44</v>
      </c>
    </row>
    <row r="55" ht="14.25" customHeight="1">
      <c r="B55" s="234" t="s">
        <v>199</v>
      </c>
      <c r="C55" s="235"/>
      <c r="D55" s="235"/>
      <c r="E55" s="235"/>
      <c r="F55" s="236"/>
      <c r="G55" s="236"/>
      <c r="H55" s="237"/>
      <c r="I55" s="229">
        <f>0.13*44/12</f>
        <v>0.4766666667</v>
      </c>
    </row>
    <row r="56" ht="14.25" customHeight="1"/>
    <row r="57" ht="14.25" customHeight="1">
      <c r="B57" s="200" t="s">
        <v>200</v>
      </c>
      <c r="C57" s="80"/>
      <c r="D57" s="80"/>
      <c r="E57" s="80"/>
      <c r="F57" s="80"/>
      <c r="G57" s="80"/>
      <c r="H57" s="80"/>
      <c r="I57" s="80"/>
    </row>
    <row r="58" ht="14.25" customHeight="1">
      <c r="B58" s="238" t="s">
        <v>201</v>
      </c>
      <c r="C58" s="239"/>
      <c r="D58" s="239"/>
      <c r="E58" s="239"/>
      <c r="F58" s="239"/>
      <c r="G58" s="239"/>
      <c r="H58" s="239"/>
      <c r="I58" s="240">
        <v>265.0</v>
      </c>
    </row>
    <row r="59" ht="14.25" customHeight="1"/>
    <row r="60" ht="14.25" customHeight="1">
      <c r="B60" s="200" t="s">
        <v>202</v>
      </c>
      <c r="C60" s="200"/>
      <c r="D60" s="200"/>
      <c r="E60" s="200"/>
      <c r="F60" s="200"/>
      <c r="G60" s="200"/>
      <c r="H60" s="200"/>
      <c r="I60" s="200"/>
    </row>
    <row r="61" ht="14.25" customHeight="1">
      <c r="C61" s="190" t="s">
        <v>52</v>
      </c>
      <c r="D61" s="50"/>
      <c r="E61" s="50"/>
      <c r="F61" s="50"/>
      <c r="G61" s="50"/>
      <c r="H61" s="51"/>
      <c r="I61" s="190" t="s">
        <v>152</v>
      </c>
      <c r="J61" s="50"/>
      <c r="K61" s="50"/>
      <c r="L61" s="50"/>
      <c r="M61" s="50"/>
      <c r="N61" s="50"/>
      <c r="O61" s="50"/>
      <c r="P61" s="50"/>
      <c r="Q61" s="50"/>
      <c r="R61" s="51"/>
    </row>
    <row r="62" ht="14.25" customHeight="1">
      <c r="C62" s="241" t="str">
        <f>BQ5</f>
        <v>Bactériosol concentré</v>
      </c>
      <c r="D62" s="241" t="str">
        <f>BT5</f>
        <v>Bactériolit concentré</v>
      </c>
      <c r="E62" s="241" t="str">
        <f>BW5</f>
        <v/>
      </c>
      <c r="F62" s="241" t="str">
        <f>BZ5</f>
        <v/>
      </c>
      <c r="G62" s="241" t="str">
        <f>CC5</f>
        <v/>
      </c>
      <c r="H62" s="241" t="str">
        <f>CF5</f>
        <v/>
      </c>
      <c r="I62" s="242" t="s">
        <v>77</v>
      </c>
      <c r="J62" s="242" t="s">
        <v>78</v>
      </c>
      <c r="K62" s="242" t="s">
        <v>79</v>
      </c>
      <c r="L62" s="243" t="s">
        <v>80</v>
      </c>
      <c r="M62" s="243" t="s">
        <v>81</v>
      </c>
      <c r="N62" s="243" t="s">
        <v>82</v>
      </c>
      <c r="O62" s="243" t="s">
        <v>83</v>
      </c>
      <c r="P62" s="243" t="s">
        <v>84</v>
      </c>
      <c r="Q62" s="243" t="s">
        <v>85</v>
      </c>
      <c r="R62" s="243" t="s">
        <v>86</v>
      </c>
    </row>
    <row r="63" ht="14.25" customHeight="1">
      <c r="C63" s="91"/>
      <c r="D63" s="91"/>
      <c r="E63" s="91"/>
      <c r="F63" s="91"/>
      <c r="G63" s="91"/>
      <c r="H63" s="91"/>
      <c r="I63" s="111"/>
      <c r="J63" s="111"/>
      <c r="K63" s="111"/>
      <c r="L63" s="91"/>
      <c r="M63" s="91"/>
      <c r="N63" s="91"/>
      <c r="O63" s="91"/>
      <c r="P63" s="91"/>
      <c r="Q63" s="91"/>
      <c r="R63" s="91"/>
    </row>
    <row r="64" ht="22.5" customHeight="1">
      <c r="C64" s="119"/>
      <c r="D64" s="119"/>
      <c r="E64" s="119"/>
      <c r="F64" s="119"/>
      <c r="G64" s="119"/>
      <c r="H64" s="119"/>
      <c r="I64" s="111"/>
      <c r="J64" s="111"/>
      <c r="K64" s="111"/>
      <c r="L64" s="91"/>
      <c r="M64" s="91"/>
      <c r="N64" s="91"/>
      <c r="O64" s="91"/>
      <c r="P64" s="91"/>
      <c r="Q64" s="91"/>
      <c r="R64" s="91"/>
    </row>
    <row r="65" ht="14.25" customHeight="1">
      <c r="B65" s="244" t="s">
        <v>203</v>
      </c>
      <c r="C65" s="245"/>
      <c r="D65" s="245"/>
      <c r="E65" s="245"/>
      <c r="F65" s="245"/>
      <c r="G65" s="245"/>
      <c r="H65" s="245"/>
      <c r="I65" s="246">
        <v>10.1</v>
      </c>
      <c r="J65" s="246">
        <v>13.84</v>
      </c>
      <c r="K65" s="246">
        <v>21.6</v>
      </c>
      <c r="L65" s="246">
        <v>5.09</v>
      </c>
      <c r="M65" s="149">
        <f>(13.07+13.5+14.63+15.38)/4</f>
        <v>14.145</v>
      </c>
      <c r="N65" s="246">
        <v>28.45</v>
      </c>
      <c r="O65" s="246">
        <v>6.9</v>
      </c>
      <c r="P65" s="246">
        <v>27.3</v>
      </c>
      <c r="Q65" s="246">
        <v>5.55</v>
      </c>
      <c r="R65" s="246">
        <v>15.23</v>
      </c>
    </row>
    <row r="66" ht="14.25" customHeight="1"/>
    <row r="67" ht="14.25" customHeight="1"/>
    <row r="68" ht="14.25" customHeight="1"/>
    <row r="69" ht="14.25" customHeight="1">
      <c r="U69" s="23"/>
      <c r="V69" s="23"/>
      <c r="W69" s="23"/>
      <c r="X69" s="23"/>
      <c r="Y69" s="23"/>
      <c r="Z69" s="23"/>
      <c r="AA69" s="23"/>
    </row>
    <row r="70" ht="14.25" customHeight="1">
      <c r="U70" s="23"/>
      <c r="V70" s="23"/>
      <c r="W70" s="23"/>
      <c r="X70" s="23"/>
      <c r="Y70" s="23"/>
      <c r="Z70" s="23"/>
      <c r="AA70" s="23"/>
    </row>
    <row r="71" ht="14.25" customHeight="1">
      <c r="U71" s="23"/>
      <c r="V71" s="23"/>
      <c r="W71" s="23"/>
      <c r="X71" s="23"/>
      <c r="Y71" s="23"/>
      <c r="Z71" s="23"/>
      <c r="AA71" s="23"/>
    </row>
    <row r="72" ht="14.25" customHeight="1">
      <c r="U72" s="23"/>
      <c r="V72" s="23"/>
      <c r="W72" s="23"/>
      <c r="X72" s="23"/>
      <c r="Y72" s="23"/>
      <c r="Z72" s="23"/>
      <c r="AA72" s="23"/>
    </row>
    <row r="73" ht="14.25" customHeight="1">
      <c r="E73" s="247"/>
      <c r="U73" s="23"/>
      <c r="V73" s="23"/>
      <c r="W73" s="23"/>
      <c r="X73" s="23"/>
      <c r="Y73" s="23"/>
      <c r="Z73" s="23"/>
      <c r="AA73" s="23"/>
    </row>
    <row r="74" ht="14.25" customHeight="1">
      <c r="L74" s="247"/>
      <c r="U74" s="23"/>
      <c r="V74" s="23"/>
      <c r="W74" s="23"/>
      <c r="X74" s="23"/>
      <c r="Y74" s="23"/>
      <c r="Z74" s="23"/>
      <c r="AA74" s="23"/>
    </row>
    <row r="75" ht="14.25" customHeight="1">
      <c r="E75" s="247"/>
      <c r="U75" s="23"/>
      <c r="V75" s="23"/>
      <c r="W75" s="23"/>
      <c r="X75" s="23"/>
      <c r="Y75" s="23"/>
      <c r="Z75" s="23"/>
      <c r="AA75" s="23"/>
    </row>
    <row r="76" ht="14.25" customHeight="1">
      <c r="U76" s="23"/>
      <c r="V76" s="23"/>
      <c r="W76" s="23"/>
      <c r="X76" s="23"/>
      <c r="Y76" s="23"/>
      <c r="Z76" s="23"/>
      <c r="AA76" s="23"/>
    </row>
    <row r="77" ht="14.25" customHeight="1">
      <c r="E77" s="247"/>
      <c r="U77" s="23"/>
      <c r="V77" s="23"/>
      <c r="W77" s="23"/>
      <c r="X77" s="23"/>
      <c r="Y77" s="23"/>
      <c r="Z77" s="23"/>
      <c r="AA77" s="23"/>
    </row>
    <row r="78" ht="14.25" customHeight="1">
      <c r="U78" s="23"/>
      <c r="V78" s="23"/>
      <c r="W78" s="23"/>
      <c r="X78" s="23"/>
      <c r="Y78" s="23"/>
      <c r="Z78" s="23"/>
      <c r="AA78" s="23"/>
    </row>
    <row r="79" ht="14.25" customHeight="1">
      <c r="U79" s="23"/>
      <c r="V79" s="23"/>
      <c r="W79" s="23"/>
      <c r="X79" s="23"/>
      <c r="Y79" s="23"/>
      <c r="Z79" s="23"/>
      <c r="AA79" s="23"/>
    </row>
    <row r="80" ht="14.25" customHeight="1">
      <c r="U80" s="23"/>
      <c r="V80" s="23"/>
      <c r="W80" s="23"/>
      <c r="X80" s="23"/>
      <c r="Y80" s="23"/>
      <c r="Z80" s="23"/>
      <c r="AA80" s="23"/>
    </row>
    <row r="81" ht="14.25" customHeight="1">
      <c r="U81" s="23"/>
      <c r="V81" s="23"/>
      <c r="W81" s="23"/>
      <c r="X81" s="23"/>
      <c r="Y81" s="23"/>
      <c r="Z81" s="23"/>
      <c r="AA81" s="23"/>
    </row>
    <row r="82" ht="14.25" customHeight="1">
      <c r="U82" s="23"/>
      <c r="V82" s="23"/>
      <c r="W82" s="23"/>
      <c r="X82" s="23"/>
      <c r="Y82" s="23"/>
      <c r="Z82" s="23"/>
      <c r="AA82" s="23"/>
    </row>
    <row r="83" ht="14.25" customHeight="1">
      <c r="U83" s="23"/>
      <c r="V83" s="23"/>
      <c r="W83" s="23"/>
      <c r="X83" s="23"/>
      <c r="Y83" s="23"/>
      <c r="Z83" s="23"/>
      <c r="AA83" s="23"/>
    </row>
    <row r="84" ht="14.25" customHeight="1">
      <c r="U84" s="23"/>
      <c r="V84" s="23"/>
      <c r="W84" s="23"/>
      <c r="X84" s="23"/>
      <c r="Y84" s="23"/>
      <c r="Z84" s="23"/>
      <c r="AA84" s="23"/>
    </row>
    <row r="85" ht="14.25" customHeight="1">
      <c r="U85" s="23"/>
      <c r="V85" s="23"/>
      <c r="W85" s="23"/>
      <c r="X85" s="23"/>
      <c r="Y85" s="23"/>
      <c r="Z85" s="23"/>
      <c r="AA85" s="23"/>
    </row>
    <row r="86" ht="14.25" customHeight="1">
      <c r="U86" s="23"/>
      <c r="V86" s="23"/>
      <c r="W86" s="23"/>
      <c r="X86" s="23"/>
      <c r="Y86" s="23"/>
      <c r="Z86" s="23"/>
      <c r="AA86" s="23"/>
    </row>
    <row r="87" ht="14.25" customHeight="1">
      <c r="U87" s="23"/>
      <c r="V87" s="23"/>
      <c r="W87" s="23"/>
      <c r="X87" s="23"/>
      <c r="Y87" s="23"/>
      <c r="Z87" s="23"/>
      <c r="AA87" s="23"/>
    </row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31">
    <mergeCell ref="V19:V23"/>
    <mergeCell ref="U27:X27"/>
    <mergeCell ref="Y27:AD27"/>
    <mergeCell ref="AE27:AN27"/>
    <mergeCell ref="AO27:AO30"/>
    <mergeCell ref="AP27:AP30"/>
    <mergeCell ref="U28:U30"/>
    <mergeCell ref="AN28:AN30"/>
    <mergeCell ref="S17:V17"/>
    <mergeCell ref="W17:Z17"/>
    <mergeCell ref="F19:F23"/>
    <mergeCell ref="J19:J23"/>
    <mergeCell ref="N19:N23"/>
    <mergeCell ref="R19:R23"/>
    <mergeCell ref="B27:B30"/>
    <mergeCell ref="AH28:AH30"/>
    <mergeCell ref="AI28:AI30"/>
    <mergeCell ref="AJ28:AJ30"/>
    <mergeCell ref="AK28:AK30"/>
    <mergeCell ref="AL28:AL30"/>
    <mergeCell ref="AM28:AM30"/>
    <mergeCell ref="C29:H29"/>
    <mergeCell ref="I29:J29"/>
    <mergeCell ref="K29:L29"/>
    <mergeCell ref="M29:M30"/>
    <mergeCell ref="N29:N30"/>
    <mergeCell ref="O29:O30"/>
    <mergeCell ref="P29:P30"/>
    <mergeCell ref="Q29:Q30"/>
    <mergeCell ref="V28:V30"/>
    <mergeCell ref="W28:W30"/>
    <mergeCell ref="R28:S28"/>
    <mergeCell ref="T28:T30"/>
    <mergeCell ref="R29:R30"/>
    <mergeCell ref="S29:S30"/>
    <mergeCell ref="B39:B40"/>
    <mergeCell ref="C39:F39"/>
    <mergeCell ref="G39:J39"/>
    <mergeCell ref="J62:J64"/>
    <mergeCell ref="K62:K64"/>
    <mergeCell ref="L62:L64"/>
    <mergeCell ref="M62:M64"/>
    <mergeCell ref="N62:N64"/>
    <mergeCell ref="O62:O64"/>
    <mergeCell ref="P62:P64"/>
    <mergeCell ref="Q62:Q64"/>
    <mergeCell ref="C61:H61"/>
    <mergeCell ref="I61:R61"/>
    <mergeCell ref="C62:C64"/>
    <mergeCell ref="D62:D64"/>
    <mergeCell ref="E62:E64"/>
    <mergeCell ref="F62:F64"/>
    <mergeCell ref="G62:G64"/>
    <mergeCell ref="R62:R64"/>
    <mergeCell ref="X28:X30"/>
    <mergeCell ref="Y28:Y30"/>
    <mergeCell ref="Z28:Z30"/>
    <mergeCell ref="AA28:AA30"/>
    <mergeCell ref="AB28:AB30"/>
    <mergeCell ref="AC28:AC30"/>
    <mergeCell ref="AD28:AD30"/>
    <mergeCell ref="AE28:AE30"/>
    <mergeCell ref="AF28:AF30"/>
    <mergeCell ref="AG28:AG30"/>
    <mergeCell ref="K39:N39"/>
    <mergeCell ref="O39:Z39"/>
    <mergeCell ref="AA39:AT39"/>
    <mergeCell ref="AU39:AU40"/>
    <mergeCell ref="AV39:AV40"/>
    <mergeCell ref="AX41:AZ43"/>
    <mergeCell ref="H62:H64"/>
    <mergeCell ref="I62:I64"/>
    <mergeCell ref="DG5:DI5"/>
    <mergeCell ref="DJ5:DL5"/>
    <mergeCell ref="CL5:CN5"/>
    <mergeCell ref="CO5:CQ5"/>
    <mergeCell ref="CR5:CT5"/>
    <mergeCell ref="CU5:CW5"/>
    <mergeCell ref="CX5:CZ5"/>
    <mergeCell ref="DA5:DC5"/>
    <mergeCell ref="DD5:DF5"/>
    <mergeCell ref="AQ15:BP15"/>
    <mergeCell ref="BQ15:CJ15"/>
    <mergeCell ref="B13:CX13"/>
    <mergeCell ref="C14:BR14"/>
    <mergeCell ref="CK14:CL14"/>
    <mergeCell ref="CM14:DB14"/>
    <mergeCell ref="DC14:DN14"/>
    <mergeCell ref="DO14:EH14"/>
    <mergeCell ref="C15:AP15"/>
    <mergeCell ref="CK15:CL17"/>
    <mergeCell ref="CM15:CP17"/>
    <mergeCell ref="CQ15:CT17"/>
    <mergeCell ref="CU15:CX17"/>
    <mergeCell ref="CY15:DB17"/>
    <mergeCell ref="DC15:DD17"/>
    <mergeCell ref="DE15:DF17"/>
    <mergeCell ref="DW15:DX17"/>
    <mergeCell ref="DY15:DZ17"/>
    <mergeCell ref="EA15:EB17"/>
    <mergeCell ref="EC15:ED17"/>
    <mergeCell ref="EE15:EF17"/>
    <mergeCell ref="EG15:EH17"/>
    <mergeCell ref="DG15:DH17"/>
    <mergeCell ref="DI15:DJ17"/>
    <mergeCell ref="DM15:DN17"/>
    <mergeCell ref="DO15:DP17"/>
    <mergeCell ref="DQ15:DR17"/>
    <mergeCell ref="DS15:DT17"/>
    <mergeCell ref="DU15:DV17"/>
    <mergeCell ref="BW5:BY5"/>
    <mergeCell ref="BQ16:BZ16"/>
    <mergeCell ref="BQ17:BQ18"/>
    <mergeCell ref="BR17:BT17"/>
    <mergeCell ref="BU17:BW17"/>
    <mergeCell ref="BX17:BZ17"/>
    <mergeCell ref="CA17:CA18"/>
    <mergeCell ref="CA16:CJ16"/>
    <mergeCell ref="CB17:CD17"/>
    <mergeCell ref="CE17:CG17"/>
    <mergeCell ref="CH17:CJ17"/>
    <mergeCell ref="BQ5:BS5"/>
    <mergeCell ref="BT5:BV5"/>
    <mergeCell ref="BZ5:CB5"/>
    <mergeCell ref="CC5:CE5"/>
    <mergeCell ref="CF5:CH5"/>
    <mergeCell ref="CI5:CK5"/>
    <mergeCell ref="DK15:DL17"/>
    <mergeCell ref="BB4:BD4"/>
    <mergeCell ref="BE4:BP4"/>
    <mergeCell ref="CI4:DL4"/>
    <mergeCell ref="B1:CH2"/>
    <mergeCell ref="BP3:BS3"/>
    <mergeCell ref="CJ3:CM3"/>
    <mergeCell ref="AG4:AU4"/>
    <mergeCell ref="AV4:AX4"/>
    <mergeCell ref="AY4:BA4"/>
    <mergeCell ref="BQ4:CH4"/>
    <mergeCell ref="C4:AF4"/>
    <mergeCell ref="C5:E5"/>
    <mergeCell ref="F5:H5"/>
    <mergeCell ref="I5:K5"/>
    <mergeCell ref="L5:N5"/>
    <mergeCell ref="O5:Q5"/>
    <mergeCell ref="R5:T5"/>
    <mergeCell ref="AV5:AX5"/>
    <mergeCell ref="AY5:BA5"/>
    <mergeCell ref="BB5:BD5"/>
    <mergeCell ref="BE5:BG5"/>
    <mergeCell ref="BH5:BJ5"/>
    <mergeCell ref="BK5:BM5"/>
    <mergeCell ref="BN5:BP5"/>
    <mergeCell ref="C17:F17"/>
    <mergeCell ref="G17:J17"/>
    <mergeCell ref="K17:N17"/>
    <mergeCell ref="O17:R17"/>
    <mergeCell ref="BJ17:BL17"/>
    <mergeCell ref="BN17:BP17"/>
    <mergeCell ref="AX16:BA16"/>
    <mergeCell ref="BB16:BH16"/>
    <mergeCell ref="BI16:BL16"/>
    <mergeCell ref="BM16:BP16"/>
    <mergeCell ref="AY17:BA17"/>
    <mergeCell ref="BC17:BE17"/>
    <mergeCell ref="BF17:BH17"/>
    <mergeCell ref="BA19:BA23"/>
    <mergeCell ref="BE19:BE23"/>
    <mergeCell ref="BH19:BH23"/>
    <mergeCell ref="BL19:BL23"/>
    <mergeCell ref="BP19:BP23"/>
    <mergeCell ref="BT19:BT23"/>
    <mergeCell ref="BW19:BW23"/>
    <mergeCell ref="BZ19:BZ23"/>
    <mergeCell ref="CD19:CD23"/>
    <mergeCell ref="CG19:CG23"/>
    <mergeCell ref="CJ19:CJ23"/>
    <mergeCell ref="CL19:CL23"/>
    <mergeCell ref="CP19:CP23"/>
    <mergeCell ref="CT19:CT23"/>
    <mergeCell ref="CX19:CX23"/>
    <mergeCell ref="DB19:DB23"/>
    <mergeCell ref="DD19:DD23"/>
    <mergeCell ref="DF19:DF23"/>
    <mergeCell ref="DH19:DH23"/>
    <mergeCell ref="DJ19:DJ23"/>
    <mergeCell ref="DL19:DL23"/>
    <mergeCell ref="EB19:EB23"/>
    <mergeCell ref="ED19:ED23"/>
    <mergeCell ref="EF19:EF23"/>
    <mergeCell ref="EH19:EH23"/>
    <mergeCell ref="DN19:DN23"/>
    <mergeCell ref="DP19:DP23"/>
    <mergeCell ref="DR19:DR23"/>
    <mergeCell ref="DT19:DT23"/>
    <mergeCell ref="DV19:DV23"/>
    <mergeCell ref="DX19:DX23"/>
    <mergeCell ref="DZ19:DZ23"/>
    <mergeCell ref="AA5:AC5"/>
    <mergeCell ref="AD5:AF5"/>
    <mergeCell ref="AG5:AI5"/>
    <mergeCell ref="AJ5:AL5"/>
    <mergeCell ref="AM5:AO5"/>
    <mergeCell ref="AP5:AR5"/>
    <mergeCell ref="AS5:AU5"/>
    <mergeCell ref="AA17:AD17"/>
    <mergeCell ref="AE17:AH17"/>
    <mergeCell ref="AI17:AL17"/>
    <mergeCell ref="AM17:AP17"/>
    <mergeCell ref="AQ17:AQ18"/>
    <mergeCell ref="AR17:AT17"/>
    <mergeCell ref="AX17:AX18"/>
    <mergeCell ref="BB17:BB18"/>
    <mergeCell ref="BI17:BI18"/>
    <mergeCell ref="BM17:BM18"/>
    <mergeCell ref="U5:W5"/>
    <mergeCell ref="X5:Z5"/>
    <mergeCell ref="B14:B18"/>
    <mergeCell ref="C16:Z16"/>
    <mergeCell ref="AA16:AH16"/>
    <mergeCell ref="AI16:AP16"/>
    <mergeCell ref="AQ16:AW16"/>
    <mergeCell ref="AU17:AW17"/>
    <mergeCell ref="Z19:Z23"/>
    <mergeCell ref="AD19:AD23"/>
    <mergeCell ref="AH19:AH23"/>
    <mergeCell ref="AL19:AL23"/>
    <mergeCell ref="AP19:AP23"/>
    <mergeCell ref="AT19:AT23"/>
    <mergeCell ref="AW19:AW23"/>
    <mergeCell ref="C28:L28"/>
    <mergeCell ref="M28:Q28"/>
  </mergeCells>
  <printOptions/>
  <pageMargins bottom="0.75" footer="0.0" header="0.0" left="0.25" right="0.25" top="0.75"/>
  <pageSetup fitToWidth="0"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2.0" topLeftCell="C1" activePane="topRight" state="frozen"/>
      <selection activeCell="D2" sqref="D2" pane="topRight"/>
    </sheetView>
  </sheetViews>
  <sheetFormatPr customHeight="1" defaultColWidth="14.43" defaultRowHeight="15.0"/>
  <cols>
    <col customWidth="1" min="1" max="52" width="11.43"/>
    <col customWidth="1" min="53" max="53" width="21.0"/>
    <col customWidth="1" min="54" max="54" width="19.0"/>
    <col customWidth="1" min="55" max="138" width="11.43"/>
  </cols>
  <sheetData>
    <row r="1" ht="15.0" customHeight="1">
      <c r="A1" s="30"/>
      <c r="B1" s="31" t="s">
        <v>204</v>
      </c>
    </row>
    <row r="2" ht="15.0" customHeight="1"/>
    <row r="3" ht="15.0" customHeight="1">
      <c r="B3" s="248" t="s">
        <v>46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4"/>
      <c r="BQ3" s="35"/>
      <c r="BR3" s="35"/>
      <c r="BS3" s="35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7"/>
      <c r="CG3" s="37"/>
      <c r="CH3" s="37"/>
      <c r="CI3" s="37"/>
      <c r="CJ3" s="34"/>
      <c r="CK3" s="35"/>
      <c r="CL3" s="35"/>
      <c r="CM3" s="35"/>
      <c r="CN3" s="36"/>
      <c r="CO3" s="33"/>
      <c r="CP3" s="33"/>
      <c r="CQ3" s="33"/>
      <c r="CR3" s="33"/>
      <c r="CS3" s="33"/>
      <c r="CT3" s="33"/>
      <c r="CU3" s="33"/>
      <c r="CV3" s="33"/>
      <c r="CW3" s="33"/>
      <c r="CX3" s="33"/>
      <c r="CY3" s="33"/>
      <c r="CZ3" s="33"/>
      <c r="DA3" s="33"/>
      <c r="DB3" s="33"/>
      <c r="DC3" s="33"/>
      <c r="DD3" s="33"/>
      <c r="DE3" s="33"/>
      <c r="DF3" s="33"/>
      <c r="DG3" s="33"/>
      <c r="DH3" s="33"/>
      <c r="DI3" s="33"/>
      <c r="DJ3" s="33"/>
      <c r="DK3" s="33"/>
      <c r="DL3" s="33"/>
    </row>
    <row r="4" ht="15.0" customHeight="1">
      <c r="B4" s="31"/>
      <c r="C4" s="38" t="s">
        <v>47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40"/>
      <c r="AG4" s="38" t="s">
        <v>48</v>
      </c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40"/>
      <c r="AV4" s="38" t="s">
        <v>49</v>
      </c>
      <c r="AW4" s="39"/>
      <c r="AX4" s="41"/>
      <c r="AY4" s="42" t="s">
        <v>49</v>
      </c>
      <c r="AZ4" s="39"/>
      <c r="BA4" s="40"/>
      <c r="BB4" s="43" t="s">
        <v>50</v>
      </c>
      <c r="BC4" s="39"/>
      <c r="BD4" s="40"/>
      <c r="BE4" s="44" t="s">
        <v>51</v>
      </c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40"/>
      <c r="BQ4" s="45" t="s">
        <v>52</v>
      </c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40"/>
      <c r="CI4" s="45" t="s">
        <v>52</v>
      </c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40"/>
    </row>
    <row r="5" ht="30.0" customHeight="1">
      <c r="A5" s="47"/>
      <c r="B5" s="48"/>
      <c r="C5" s="49" t="s">
        <v>53</v>
      </c>
      <c r="D5" s="50"/>
      <c r="E5" s="51"/>
      <c r="F5" s="52" t="s">
        <v>54</v>
      </c>
      <c r="G5" s="50"/>
      <c r="H5" s="51"/>
      <c r="I5" s="52" t="s">
        <v>55</v>
      </c>
      <c r="J5" s="50"/>
      <c r="K5" s="51"/>
      <c r="L5" s="52" t="s">
        <v>56</v>
      </c>
      <c r="M5" s="50"/>
      <c r="N5" s="51"/>
      <c r="O5" s="52" t="s">
        <v>57</v>
      </c>
      <c r="P5" s="50"/>
      <c r="Q5" s="51"/>
      <c r="R5" s="52" t="s">
        <v>58</v>
      </c>
      <c r="S5" s="50"/>
      <c r="T5" s="51"/>
      <c r="U5" s="52" t="s">
        <v>59</v>
      </c>
      <c r="V5" s="50"/>
      <c r="W5" s="51"/>
      <c r="X5" s="52" t="s">
        <v>60</v>
      </c>
      <c r="Y5" s="50"/>
      <c r="Z5" s="51"/>
      <c r="AA5" s="52" t="s">
        <v>61</v>
      </c>
      <c r="AB5" s="50"/>
      <c r="AC5" s="51"/>
      <c r="AD5" s="52" t="s">
        <v>62</v>
      </c>
      <c r="AE5" s="50"/>
      <c r="AF5" s="53"/>
      <c r="AG5" s="49" t="s">
        <v>63</v>
      </c>
      <c r="AH5" s="50"/>
      <c r="AI5" s="51"/>
      <c r="AJ5" s="52" t="s">
        <v>64</v>
      </c>
      <c r="AK5" s="50"/>
      <c r="AL5" s="51"/>
      <c r="AM5" s="52" t="s">
        <v>65</v>
      </c>
      <c r="AN5" s="50"/>
      <c r="AO5" s="51"/>
      <c r="AP5" s="52" t="s">
        <v>66</v>
      </c>
      <c r="AQ5" s="50"/>
      <c r="AR5" s="51"/>
      <c r="AS5" s="52" t="s">
        <v>67</v>
      </c>
      <c r="AT5" s="50"/>
      <c r="AU5" s="53"/>
      <c r="AV5" s="49" t="s">
        <v>68</v>
      </c>
      <c r="AW5" s="50"/>
      <c r="AX5" s="51"/>
      <c r="AY5" s="52" t="s">
        <v>69</v>
      </c>
      <c r="AZ5" s="50"/>
      <c r="BA5" s="53"/>
      <c r="BB5" s="54" t="s">
        <v>70</v>
      </c>
      <c r="BC5" s="50"/>
      <c r="BD5" s="53"/>
      <c r="BE5" s="55" t="s">
        <v>71</v>
      </c>
      <c r="BF5" s="50"/>
      <c r="BG5" s="51"/>
      <c r="BH5" s="56" t="s">
        <v>72</v>
      </c>
      <c r="BI5" s="50"/>
      <c r="BJ5" s="51"/>
      <c r="BK5" s="56" t="s">
        <v>73</v>
      </c>
      <c r="BL5" s="50"/>
      <c r="BM5" s="51"/>
      <c r="BN5" s="56" t="s">
        <v>74</v>
      </c>
      <c r="BO5" s="50"/>
      <c r="BP5" s="53"/>
      <c r="BQ5" s="57" t="s">
        <v>75</v>
      </c>
      <c r="BR5" s="50"/>
      <c r="BS5" s="51"/>
      <c r="BT5" s="58" t="s">
        <v>76</v>
      </c>
      <c r="BU5" s="50"/>
      <c r="BV5" s="51"/>
      <c r="BW5" s="59"/>
      <c r="BX5" s="50"/>
      <c r="BY5" s="51"/>
      <c r="BZ5" s="59"/>
      <c r="CA5" s="50"/>
      <c r="CB5" s="51"/>
      <c r="CC5" s="59"/>
      <c r="CD5" s="50"/>
      <c r="CE5" s="51"/>
      <c r="CF5" s="59"/>
      <c r="CG5" s="50"/>
      <c r="CH5" s="53"/>
      <c r="CI5" s="249" t="s">
        <v>77</v>
      </c>
      <c r="CJ5" s="50"/>
      <c r="CK5" s="51"/>
      <c r="CL5" s="60" t="s">
        <v>78</v>
      </c>
      <c r="CM5" s="50"/>
      <c r="CN5" s="51"/>
      <c r="CO5" s="60" t="s">
        <v>79</v>
      </c>
      <c r="CP5" s="50"/>
      <c r="CQ5" s="51"/>
      <c r="CR5" s="60" t="s">
        <v>80</v>
      </c>
      <c r="CS5" s="50"/>
      <c r="CT5" s="51"/>
      <c r="CU5" s="60" t="s">
        <v>81</v>
      </c>
      <c r="CV5" s="50"/>
      <c r="CW5" s="51"/>
      <c r="CX5" s="61" t="s">
        <v>82</v>
      </c>
      <c r="CY5" s="50"/>
      <c r="CZ5" s="51"/>
      <c r="DA5" s="60" t="s">
        <v>83</v>
      </c>
      <c r="DB5" s="50"/>
      <c r="DC5" s="51"/>
      <c r="DD5" s="60" t="s">
        <v>84</v>
      </c>
      <c r="DE5" s="50"/>
      <c r="DF5" s="51"/>
      <c r="DG5" s="61" t="s">
        <v>85</v>
      </c>
      <c r="DH5" s="50"/>
      <c r="DI5" s="51"/>
      <c r="DJ5" s="60" t="s">
        <v>86</v>
      </c>
      <c r="DK5" s="50"/>
      <c r="DL5" s="53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</row>
    <row r="6" ht="33.75" customHeight="1">
      <c r="B6" s="62"/>
      <c r="C6" s="63" t="s">
        <v>87</v>
      </c>
      <c r="D6" s="64" t="s">
        <v>88</v>
      </c>
      <c r="E6" s="64" t="s">
        <v>89</v>
      </c>
      <c r="F6" s="64" t="s">
        <v>87</v>
      </c>
      <c r="G6" s="64" t="s">
        <v>88</v>
      </c>
      <c r="H6" s="64" t="s">
        <v>89</v>
      </c>
      <c r="I6" s="64" t="s">
        <v>87</v>
      </c>
      <c r="J6" s="64" t="s">
        <v>88</v>
      </c>
      <c r="K6" s="64" t="s">
        <v>89</v>
      </c>
      <c r="L6" s="64" t="s">
        <v>87</v>
      </c>
      <c r="M6" s="64" t="s">
        <v>88</v>
      </c>
      <c r="N6" s="64" t="s">
        <v>89</v>
      </c>
      <c r="O6" s="64" t="s">
        <v>87</v>
      </c>
      <c r="P6" s="64" t="s">
        <v>88</v>
      </c>
      <c r="Q6" s="64" t="s">
        <v>89</v>
      </c>
      <c r="R6" s="64" t="s">
        <v>87</v>
      </c>
      <c r="S6" s="64" t="s">
        <v>88</v>
      </c>
      <c r="T6" s="64" t="s">
        <v>89</v>
      </c>
      <c r="U6" s="64" t="s">
        <v>87</v>
      </c>
      <c r="V6" s="64" t="s">
        <v>88</v>
      </c>
      <c r="W6" s="64" t="s">
        <v>89</v>
      </c>
      <c r="X6" s="64" t="s">
        <v>87</v>
      </c>
      <c r="Y6" s="64" t="s">
        <v>88</v>
      </c>
      <c r="Z6" s="64" t="s">
        <v>89</v>
      </c>
      <c r="AA6" s="64" t="s">
        <v>87</v>
      </c>
      <c r="AB6" s="64" t="s">
        <v>88</v>
      </c>
      <c r="AC6" s="64" t="s">
        <v>89</v>
      </c>
      <c r="AD6" s="64" t="s">
        <v>87</v>
      </c>
      <c r="AE6" s="64" t="s">
        <v>88</v>
      </c>
      <c r="AF6" s="65" t="s">
        <v>89</v>
      </c>
      <c r="AG6" s="63" t="s">
        <v>87</v>
      </c>
      <c r="AH6" s="64" t="s">
        <v>88</v>
      </c>
      <c r="AI6" s="64" t="s">
        <v>89</v>
      </c>
      <c r="AJ6" s="64" t="s">
        <v>87</v>
      </c>
      <c r="AK6" s="64" t="s">
        <v>88</v>
      </c>
      <c r="AL6" s="64" t="s">
        <v>89</v>
      </c>
      <c r="AM6" s="64" t="s">
        <v>87</v>
      </c>
      <c r="AN6" s="64" t="s">
        <v>88</v>
      </c>
      <c r="AO6" s="64" t="s">
        <v>89</v>
      </c>
      <c r="AP6" s="64" t="s">
        <v>87</v>
      </c>
      <c r="AQ6" s="64" t="s">
        <v>88</v>
      </c>
      <c r="AR6" s="64" t="s">
        <v>89</v>
      </c>
      <c r="AS6" s="64" t="s">
        <v>87</v>
      </c>
      <c r="AT6" s="64" t="s">
        <v>88</v>
      </c>
      <c r="AU6" s="65" t="s">
        <v>89</v>
      </c>
      <c r="AV6" s="63" t="s">
        <v>87</v>
      </c>
      <c r="AW6" s="64" t="s">
        <v>88</v>
      </c>
      <c r="AX6" s="64" t="s">
        <v>89</v>
      </c>
      <c r="AY6" s="64" t="s">
        <v>87</v>
      </c>
      <c r="AZ6" s="64" t="s">
        <v>88</v>
      </c>
      <c r="BA6" s="65" t="s">
        <v>89</v>
      </c>
      <c r="BB6" s="63" t="s">
        <v>87</v>
      </c>
      <c r="BC6" s="64" t="s">
        <v>88</v>
      </c>
      <c r="BD6" s="65" t="s">
        <v>89</v>
      </c>
      <c r="BE6" s="63" t="s">
        <v>87</v>
      </c>
      <c r="BF6" s="64" t="s">
        <v>88</v>
      </c>
      <c r="BG6" s="64" t="s">
        <v>89</v>
      </c>
      <c r="BH6" s="64" t="s">
        <v>87</v>
      </c>
      <c r="BI6" s="64" t="s">
        <v>88</v>
      </c>
      <c r="BJ6" s="64" t="s">
        <v>89</v>
      </c>
      <c r="BK6" s="64" t="s">
        <v>87</v>
      </c>
      <c r="BL6" s="64" t="s">
        <v>88</v>
      </c>
      <c r="BM6" s="64" t="s">
        <v>89</v>
      </c>
      <c r="BN6" s="64" t="s">
        <v>87</v>
      </c>
      <c r="BO6" s="64" t="s">
        <v>88</v>
      </c>
      <c r="BP6" s="65" t="s">
        <v>89</v>
      </c>
      <c r="BQ6" s="63" t="s">
        <v>87</v>
      </c>
      <c r="BR6" s="64" t="s">
        <v>88</v>
      </c>
      <c r="BS6" s="64" t="s">
        <v>89</v>
      </c>
      <c r="BT6" s="64" t="s">
        <v>87</v>
      </c>
      <c r="BU6" s="64" t="s">
        <v>88</v>
      </c>
      <c r="BV6" s="64" t="s">
        <v>89</v>
      </c>
      <c r="BW6" s="64" t="s">
        <v>87</v>
      </c>
      <c r="BX6" s="64" t="s">
        <v>88</v>
      </c>
      <c r="BY6" s="64" t="s">
        <v>89</v>
      </c>
      <c r="BZ6" s="64" t="s">
        <v>87</v>
      </c>
      <c r="CA6" s="64" t="s">
        <v>88</v>
      </c>
      <c r="CB6" s="64" t="s">
        <v>89</v>
      </c>
      <c r="CC6" s="64" t="s">
        <v>87</v>
      </c>
      <c r="CD6" s="64" t="s">
        <v>88</v>
      </c>
      <c r="CE6" s="64" t="s">
        <v>89</v>
      </c>
      <c r="CF6" s="64" t="s">
        <v>87</v>
      </c>
      <c r="CG6" s="64" t="s">
        <v>88</v>
      </c>
      <c r="CH6" s="65" t="s">
        <v>89</v>
      </c>
      <c r="CI6" s="63" t="s">
        <v>90</v>
      </c>
      <c r="CJ6" s="64" t="s">
        <v>91</v>
      </c>
      <c r="CK6" s="64" t="s">
        <v>92</v>
      </c>
      <c r="CL6" s="64" t="s">
        <v>90</v>
      </c>
      <c r="CM6" s="64" t="s">
        <v>91</v>
      </c>
      <c r="CN6" s="64" t="s">
        <v>92</v>
      </c>
      <c r="CO6" s="64" t="s">
        <v>90</v>
      </c>
      <c r="CP6" s="64" t="s">
        <v>91</v>
      </c>
      <c r="CQ6" s="64" t="s">
        <v>92</v>
      </c>
      <c r="CR6" s="64" t="s">
        <v>90</v>
      </c>
      <c r="CS6" s="64" t="s">
        <v>91</v>
      </c>
      <c r="CT6" s="64" t="s">
        <v>92</v>
      </c>
      <c r="CU6" s="64" t="s">
        <v>90</v>
      </c>
      <c r="CV6" s="64" t="s">
        <v>91</v>
      </c>
      <c r="CW6" s="64" t="s">
        <v>92</v>
      </c>
      <c r="CX6" s="64" t="s">
        <v>90</v>
      </c>
      <c r="CY6" s="64" t="s">
        <v>91</v>
      </c>
      <c r="CZ6" s="64" t="s">
        <v>92</v>
      </c>
      <c r="DA6" s="64" t="s">
        <v>90</v>
      </c>
      <c r="DB6" s="64" t="s">
        <v>91</v>
      </c>
      <c r="DC6" s="64" t="s">
        <v>92</v>
      </c>
      <c r="DD6" s="64" t="s">
        <v>90</v>
      </c>
      <c r="DE6" s="64" t="s">
        <v>91</v>
      </c>
      <c r="DF6" s="64" t="s">
        <v>92</v>
      </c>
      <c r="DG6" s="64" t="s">
        <v>90</v>
      </c>
      <c r="DH6" s="64" t="s">
        <v>91</v>
      </c>
      <c r="DI6" s="64" t="s">
        <v>92</v>
      </c>
      <c r="DJ6" s="64" t="s">
        <v>90</v>
      </c>
      <c r="DK6" s="64" t="s">
        <v>91</v>
      </c>
      <c r="DL6" s="65" t="s">
        <v>92</v>
      </c>
    </row>
    <row r="7" ht="14.25" customHeight="1">
      <c r="B7" s="52" t="s">
        <v>205</v>
      </c>
      <c r="C7" s="250"/>
      <c r="D7" s="251"/>
      <c r="E7" s="251"/>
      <c r="F7" s="252">
        <f t="shared" ref="F7:F11" si="1">2571/0.335</f>
        <v>7674.626866</v>
      </c>
      <c r="G7" s="251"/>
      <c r="H7" s="251"/>
      <c r="I7" s="252"/>
      <c r="J7" s="251"/>
      <c r="K7" s="251"/>
      <c r="L7" s="252">
        <f t="shared" ref="L7:L11" si="2">23738*1.3/0.39</f>
        <v>79126.66667</v>
      </c>
      <c r="M7" s="251"/>
      <c r="N7" s="251"/>
      <c r="O7" s="252"/>
      <c r="P7" s="251"/>
      <c r="Q7" s="251"/>
      <c r="R7" s="252">
        <f t="shared" ref="R7:R11" si="3">5494/0.22</f>
        <v>24972.72727</v>
      </c>
      <c r="S7" s="251"/>
      <c r="T7" s="251"/>
      <c r="U7" s="252"/>
      <c r="V7" s="251"/>
      <c r="W7" s="251"/>
      <c r="X7" s="252"/>
      <c r="Y7" s="251"/>
      <c r="Z7" s="251"/>
      <c r="AA7" s="252"/>
      <c r="AB7" s="251"/>
      <c r="AC7" s="251"/>
      <c r="AD7" s="252"/>
      <c r="AE7" s="251"/>
      <c r="AF7" s="253"/>
      <c r="AG7" s="250"/>
      <c r="AH7" s="251"/>
      <c r="AI7" s="251"/>
      <c r="AJ7" s="252"/>
      <c r="AK7" s="251"/>
      <c r="AL7" s="251"/>
      <c r="AM7" s="252"/>
      <c r="AN7" s="251"/>
      <c r="AO7" s="251"/>
      <c r="AP7" s="252"/>
      <c r="AQ7" s="251"/>
      <c r="AR7" s="251"/>
      <c r="AS7" s="252"/>
      <c r="AT7" s="251"/>
      <c r="AU7" s="253"/>
      <c r="AV7" s="250"/>
      <c r="AW7" s="251"/>
      <c r="AX7" s="251"/>
      <c r="AY7" s="252"/>
      <c r="AZ7" s="251"/>
      <c r="BA7" s="253"/>
      <c r="BB7" s="254">
        <v>3000.0</v>
      </c>
      <c r="BC7" s="251"/>
      <c r="BD7" s="253"/>
      <c r="BE7" s="255"/>
      <c r="BF7" s="251"/>
      <c r="BG7" s="251"/>
      <c r="BH7" s="251"/>
      <c r="BI7" s="251"/>
      <c r="BJ7" s="251"/>
      <c r="BK7" s="251"/>
      <c r="BL7" s="251"/>
      <c r="BM7" s="251"/>
      <c r="BN7" s="251"/>
      <c r="BO7" s="251"/>
      <c r="BP7" s="253"/>
      <c r="BQ7" s="255"/>
      <c r="BR7" s="251"/>
      <c r="BS7" s="251"/>
      <c r="BT7" s="254">
        <v>9500.0</v>
      </c>
      <c r="BU7" s="251"/>
      <c r="BV7" s="251"/>
      <c r="BW7" s="251"/>
      <c r="BX7" s="251"/>
      <c r="BY7" s="251"/>
      <c r="BZ7" s="251"/>
      <c r="CA7" s="251"/>
      <c r="CB7" s="251"/>
      <c r="CC7" s="251"/>
      <c r="CD7" s="251"/>
      <c r="CE7" s="251"/>
      <c r="CF7" s="251"/>
      <c r="CG7" s="251"/>
      <c r="CH7" s="253"/>
      <c r="CI7" s="255"/>
      <c r="CJ7" s="251"/>
      <c r="CK7" s="251"/>
      <c r="CL7" s="251"/>
      <c r="CM7" s="251"/>
      <c r="CN7" s="251"/>
      <c r="CO7" s="252"/>
      <c r="CP7" s="251"/>
      <c r="CQ7" s="251"/>
      <c r="CR7" s="251"/>
      <c r="CS7" s="251"/>
      <c r="CT7" s="251"/>
      <c r="CU7" s="251"/>
      <c r="CV7" s="251"/>
      <c r="CW7" s="251"/>
      <c r="CX7" s="251"/>
      <c r="CY7" s="251"/>
      <c r="CZ7" s="251"/>
      <c r="DA7" s="251"/>
      <c r="DB7" s="251"/>
      <c r="DC7" s="251"/>
      <c r="DD7" s="251"/>
      <c r="DE7" s="251"/>
      <c r="DF7" s="251"/>
      <c r="DG7" s="251"/>
      <c r="DH7" s="251"/>
      <c r="DI7" s="251"/>
      <c r="DJ7" s="251"/>
      <c r="DK7" s="251"/>
      <c r="DL7" s="253"/>
    </row>
    <row r="8" ht="14.25" customHeight="1">
      <c r="B8" s="52" t="s">
        <v>206</v>
      </c>
      <c r="C8" s="250"/>
      <c r="D8" s="251"/>
      <c r="E8" s="251"/>
      <c r="F8" s="252">
        <f t="shared" si="1"/>
        <v>7674.626866</v>
      </c>
      <c r="G8" s="251"/>
      <c r="H8" s="251"/>
      <c r="I8" s="252"/>
      <c r="J8" s="251"/>
      <c r="K8" s="251"/>
      <c r="L8" s="252">
        <f t="shared" si="2"/>
        <v>79126.66667</v>
      </c>
      <c r="M8" s="251"/>
      <c r="N8" s="251"/>
      <c r="O8" s="252"/>
      <c r="P8" s="251"/>
      <c r="Q8" s="251"/>
      <c r="R8" s="252">
        <f t="shared" si="3"/>
        <v>24972.72727</v>
      </c>
      <c r="S8" s="251"/>
      <c r="T8" s="251"/>
      <c r="U8" s="252"/>
      <c r="V8" s="251"/>
      <c r="W8" s="251"/>
      <c r="X8" s="252"/>
      <c r="Y8" s="251"/>
      <c r="Z8" s="251"/>
      <c r="AA8" s="252"/>
      <c r="AB8" s="251"/>
      <c r="AC8" s="251"/>
      <c r="AD8" s="252"/>
      <c r="AE8" s="251"/>
      <c r="AF8" s="253"/>
      <c r="AG8" s="250"/>
      <c r="AH8" s="251"/>
      <c r="AI8" s="251"/>
      <c r="AJ8" s="252"/>
      <c r="AK8" s="251"/>
      <c r="AL8" s="251"/>
      <c r="AM8" s="252"/>
      <c r="AN8" s="251"/>
      <c r="AO8" s="251"/>
      <c r="AP8" s="252"/>
      <c r="AQ8" s="251"/>
      <c r="AR8" s="251"/>
      <c r="AS8" s="252"/>
      <c r="AT8" s="251"/>
      <c r="AU8" s="253"/>
      <c r="AV8" s="250"/>
      <c r="AW8" s="251"/>
      <c r="AX8" s="251"/>
      <c r="AY8" s="252"/>
      <c r="AZ8" s="251"/>
      <c r="BA8" s="253"/>
      <c r="BB8" s="254">
        <v>3000.0</v>
      </c>
      <c r="BC8" s="251"/>
      <c r="BD8" s="253"/>
      <c r="BE8" s="255"/>
      <c r="BF8" s="251"/>
      <c r="BG8" s="251"/>
      <c r="BH8" s="251"/>
      <c r="BI8" s="251"/>
      <c r="BJ8" s="251"/>
      <c r="BK8" s="251"/>
      <c r="BL8" s="251"/>
      <c r="BM8" s="251"/>
      <c r="BN8" s="251"/>
      <c r="BO8" s="251"/>
      <c r="BP8" s="253"/>
      <c r="BQ8" s="255"/>
      <c r="BR8" s="251"/>
      <c r="BS8" s="251"/>
      <c r="BT8" s="254">
        <v>9500.0</v>
      </c>
      <c r="BU8" s="251"/>
      <c r="BV8" s="251"/>
      <c r="BW8" s="251"/>
      <c r="BX8" s="251"/>
      <c r="BY8" s="251"/>
      <c r="BZ8" s="251"/>
      <c r="CA8" s="251"/>
      <c r="CB8" s="251"/>
      <c r="CC8" s="251"/>
      <c r="CD8" s="251"/>
      <c r="CE8" s="251"/>
      <c r="CF8" s="251"/>
      <c r="CG8" s="251"/>
      <c r="CH8" s="253"/>
      <c r="CI8" s="255"/>
      <c r="CJ8" s="251"/>
      <c r="CK8" s="251"/>
      <c r="CL8" s="251"/>
      <c r="CM8" s="251"/>
      <c r="CN8" s="251"/>
      <c r="CO8" s="252"/>
      <c r="CP8" s="251"/>
      <c r="CQ8" s="251"/>
      <c r="CR8" s="251"/>
      <c r="CS8" s="251"/>
      <c r="CT8" s="251"/>
      <c r="CU8" s="251"/>
      <c r="CV8" s="251"/>
      <c r="CW8" s="251"/>
      <c r="CX8" s="251"/>
      <c r="CY8" s="251"/>
      <c r="CZ8" s="251"/>
      <c r="DA8" s="251"/>
      <c r="DB8" s="251"/>
      <c r="DC8" s="251"/>
      <c r="DD8" s="251"/>
      <c r="DE8" s="251"/>
      <c r="DF8" s="251"/>
      <c r="DG8" s="251"/>
      <c r="DH8" s="251"/>
      <c r="DI8" s="251"/>
      <c r="DJ8" s="251"/>
      <c r="DK8" s="251"/>
      <c r="DL8" s="253"/>
    </row>
    <row r="9" ht="14.25" customHeight="1">
      <c r="B9" s="52" t="s">
        <v>207</v>
      </c>
      <c r="C9" s="250"/>
      <c r="D9" s="251"/>
      <c r="E9" s="251"/>
      <c r="F9" s="252">
        <f t="shared" si="1"/>
        <v>7674.626866</v>
      </c>
      <c r="G9" s="251"/>
      <c r="H9" s="251"/>
      <c r="I9" s="252"/>
      <c r="J9" s="251"/>
      <c r="K9" s="251"/>
      <c r="L9" s="252">
        <f t="shared" si="2"/>
        <v>79126.66667</v>
      </c>
      <c r="M9" s="251"/>
      <c r="N9" s="251"/>
      <c r="O9" s="252"/>
      <c r="P9" s="251"/>
      <c r="Q9" s="251"/>
      <c r="R9" s="252">
        <f t="shared" si="3"/>
        <v>24972.72727</v>
      </c>
      <c r="S9" s="251"/>
      <c r="T9" s="251"/>
      <c r="U9" s="252"/>
      <c r="V9" s="251"/>
      <c r="W9" s="251"/>
      <c r="X9" s="252"/>
      <c r="Y9" s="251"/>
      <c r="Z9" s="251"/>
      <c r="AA9" s="252"/>
      <c r="AB9" s="251"/>
      <c r="AC9" s="251"/>
      <c r="AD9" s="252"/>
      <c r="AE9" s="251"/>
      <c r="AF9" s="253"/>
      <c r="AG9" s="250"/>
      <c r="AH9" s="251"/>
      <c r="AI9" s="251"/>
      <c r="AJ9" s="252"/>
      <c r="AK9" s="251"/>
      <c r="AL9" s="251"/>
      <c r="AM9" s="252"/>
      <c r="AN9" s="251"/>
      <c r="AO9" s="251"/>
      <c r="AP9" s="252"/>
      <c r="AQ9" s="251"/>
      <c r="AR9" s="251"/>
      <c r="AS9" s="252"/>
      <c r="AT9" s="251"/>
      <c r="AU9" s="253"/>
      <c r="AV9" s="250"/>
      <c r="AW9" s="251"/>
      <c r="AX9" s="251"/>
      <c r="AY9" s="252"/>
      <c r="AZ9" s="251"/>
      <c r="BA9" s="253"/>
      <c r="BB9" s="254">
        <v>3000.0</v>
      </c>
      <c r="BC9" s="251"/>
      <c r="BD9" s="253"/>
      <c r="BE9" s="255"/>
      <c r="BF9" s="251"/>
      <c r="BG9" s="251"/>
      <c r="BH9" s="251"/>
      <c r="BI9" s="251"/>
      <c r="BJ9" s="251"/>
      <c r="BK9" s="251"/>
      <c r="BL9" s="251"/>
      <c r="BM9" s="251"/>
      <c r="BN9" s="251"/>
      <c r="BO9" s="251"/>
      <c r="BP9" s="253"/>
      <c r="BQ9" s="255"/>
      <c r="BR9" s="251"/>
      <c r="BS9" s="251"/>
      <c r="BT9" s="254">
        <v>9500.0</v>
      </c>
      <c r="BU9" s="251"/>
      <c r="BV9" s="251"/>
      <c r="BW9" s="251"/>
      <c r="BX9" s="251"/>
      <c r="BY9" s="251"/>
      <c r="BZ9" s="251"/>
      <c r="CA9" s="251"/>
      <c r="CB9" s="251"/>
      <c r="CC9" s="251"/>
      <c r="CD9" s="251"/>
      <c r="CE9" s="251"/>
      <c r="CF9" s="251"/>
      <c r="CG9" s="251"/>
      <c r="CH9" s="253"/>
      <c r="CI9" s="255"/>
      <c r="CJ9" s="251"/>
      <c r="CK9" s="251"/>
      <c r="CL9" s="251"/>
      <c r="CM9" s="251"/>
      <c r="CN9" s="251"/>
      <c r="CO9" s="252"/>
      <c r="CP9" s="251"/>
      <c r="CQ9" s="251"/>
      <c r="CR9" s="251"/>
      <c r="CS9" s="251"/>
      <c r="CT9" s="251"/>
      <c r="CU9" s="251"/>
      <c r="CV9" s="251"/>
      <c r="CW9" s="251"/>
      <c r="CX9" s="251"/>
      <c r="CY9" s="251"/>
      <c r="CZ9" s="251"/>
      <c r="DA9" s="251"/>
      <c r="DB9" s="251"/>
      <c r="DC9" s="251"/>
      <c r="DD9" s="251"/>
      <c r="DE9" s="251"/>
      <c r="DF9" s="251"/>
      <c r="DG9" s="251"/>
      <c r="DH9" s="251"/>
      <c r="DI9" s="251"/>
      <c r="DJ9" s="251"/>
      <c r="DK9" s="251"/>
      <c r="DL9" s="253"/>
    </row>
    <row r="10" ht="14.25" customHeight="1">
      <c r="B10" s="52" t="s">
        <v>208</v>
      </c>
      <c r="C10" s="250"/>
      <c r="D10" s="251"/>
      <c r="E10" s="251"/>
      <c r="F10" s="252">
        <f t="shared" si="1"/>
        <v>7674.626866</v>
      </c>
      <c r="G10" s="251"/>
      <c r="H10" s="251"/>
      <c r="I10" s="252"/>
      <c r="J10" s="251"/>
      <c r="K10" s="251"/>
      <c r="L10" s="252">
        <f t="shared" si="2"/>
        <v>79126.66667</v>
      </c>
      <c r="M10" s="251"/>
      <c r="N10" s="251"/>
      <c r="O10" s="252"/>
      <c r="P10" s="251"/>
      <c r="Q10" s="251"/>
      <c r="R10" s="252">
        <f t="shared" si="3"/>
        <v>24972.72727</v>
      </c>
      <c r="S10" s="251"/>
      <c r="T10" s="251"/>
      <c r="U10" s="252"/>
      <c r="V10" s="251"/>
      <c r="W10" s="251"/>
      <c r="X10" s="252"/>
      <c r="Y10" s="251"/>
      <c r="Z10" s="251"/>
      <c r="AA10" s="252"/>
      <c r="AB10" s="251"/>
      <c r="AC10" s="251"/>
      <c r="AD10" s="252"/>
      <c r="AE10" s="251"/>
      <c r="AF10" s="253"/>
      <c r="AG10" s="250"/>
      <c r="AH10" s="251"/>
      <c r="AI10" s="251"/>
      <c r="AJ10" s="252"/>
      <c r="AK10" s="251"/>
      <c r="AL10" s="251"/>
      <c r="AM10" s="252"/>
      <c r="AN10" s="251"/>
      <c r="AO10" s="251"/>
      <c r="AP10" s="252"/>
      <c r="AQ10" s="251"/>
      <c r="AR10" s="251"/>
      <c r="AS10" s="252"/>
      <c r="AT10" s="251"/>
      <c r="AU10" s="253"/>
      <c r="AV10" s="250"/>
      <c r="AW10" s="251"/>
      <c r="AX10" s="251"/>
      <c r="AY10" s="252"/>
      <c r="AZ10" s="251"/>
      <c r="BA10" s="253"/>
      <c r="BB10" s="254">
        <v>3000.0</v>
      </c>
      <c r="BC10" s="251"/>
      <c r="BD10" s="253"/>
      <c r="BE10" s="255"/>
      <c r="BF10" s="251"/>
      <c r="BG10" s="251"/>
      <c r="BH10" s="251"/>
      <c r="BI10" s="251"/>
      <c r="BJ10" s="251"/>
      <c r="BK10" s="251"/>
      <c r="BL10" s="251"/>
      <c r="BM10" s="251"/>
      <c r="BN10" s="251"/>
      <c r="BO10" s="251"/>
      <c r="BP10" s="253"/>
      <c r="BQ10" s="255"/>
      <c r="BR10" s="251"/>
      <c r="BS10" s="251"/>
      <c r="BT10" s="254">
        <v>9500.0</v>
      </c>
      <c r="BU10" s="251"/>
      <c r="BV10" s="251"/>
      <c r="BW10" s="251"/>
      <c r="BX10" s="251"/>
      <c r="BY10" s="251"/>
      <c r="BZ10" s="251"/>
      <c r="CA10" s="251"/>
      <c r="CB10" s="251"/>
      <c r="CC10" s="251"/>
      <c r="CD10" s="251"/>
      <c r="CE10" s="251"/>
      <c r="CF10" s="251"/>
      <c r="CG10" s="251"/>
      <c r="CH10" s="253"/>
      <c r="CI10" s="255"/>
      <c r="CJ10" s="251"/>
      <c r="CK10" s="251"/>
      <c r="CL10" s="251"/>
      <c r="CM10" s="251"/>
      <c r="CN10" s="251"/>
      <c r="CO10" s="252"/>
      <c r="CP10" s="251"/>
      <c r="CQ10" s="251"/>
      <c r="CR10" s="251"/>
      <c r="CS10" s="251"/>
      <c r="CT10" s="251"/>
      <c r="CU10" s="251"/>
      <c r="CV10" s="251"/>
      <c r="CW10" s="251"/>
      <c r="CX10" s="251"/>
      <c r="CY10" s="251"/>
      <c r="CZ10" s="251"/>
      <c r="DA10" s="251"/>
      <c r="DB10" s="251"/>
      <c r="DC10" s="251"/>
      <c r="DD10" s="251"/>
      <c r="DE10" s="251"/>
      <c r="DF10" s="251"/>
      <c r="DG10" s="251"/>
      <c r="DH10" s="251"/>
      <c r="DI10" s="251"/>
      <c r="DJ10" s="251"/>
      <c r="DK10" s="251"/>
      <c r="DL10" s="253"/>
    </row>
    <row r="11" ht="15.0" customHeight="1">
      <c r="B11" s="52" t="s">
        <v>209</v>
      </c>
      <c r="C11" s="256"/>
      <c r="D11" s="257"/>
      <c r="E11" s="257"/>
      <c r="F11" s="258">
        <f t="shared" si="1"/>
        <v>7674.626866</v>
      </c>
      <c r="G11" s="257"/>
      <c r="H11" s="257"/>
      <c r="I11" s="257"/>
      <c r="J11" s="257"/>
      <c r="K11" s="257"/>
      <c r="L11" s="258">
        <f t="shared" si="2"/>
        <v>79126.66667</v>
      </c>
      <c r="M11" s="257"/>
      <c r="N11" s="257"/>
      <c r="O11" s="257"/>
      <c r="P11" s="257"/>
      <c r="Q11" s="257"/>
      <c r="R11" s="258">
        <f t="shared" si="3"/>
        <v>24972.72727</v>
      </c>
      <c r="S11" s="257"/>
      <c r="T11" s="257"/>
      <c r="U11" s="258"/>
      <c r="V11" s="257"/>
      <c r="W11" s="257"/>
      <c r="X11" s="258"/>
      <c r="Y11" s="257"/>
      <c r="Z11" s="257"/>
      <c r="AA11" s="258"/>
      <c r="AB11" s="257"/>
      <c r="AC11" s="257"/>
      <c r="AD11" s="258"/>
      <c r="AE11" s="257"/>
      <c r="AF11" s="259"/>
      <c r="AG11" s="256"/>
      <c r="AH11" s="257"/>
      <c r="AI11" s="257"/>
      <c r="AJ11" s="258"/>
      <c r="AK11" s="257"/>
      <c r="AL11" s="257"/>
      <c r="AM11" s="258"/>
      <c r="AN11" s="257"/>
      <c r="AO11" s="257"/>
      <c r="AP11" s="258"/>
      <c r="AQ11" s="257"/>
      <c r="AR11" s="257"/>
      <c r="AS11" s="258"/>
      <c r="AT11" s="257"/>
      <c r="AU11" s="259"/>
      <c r="AV11" s="256"/>
      <c r="AW11" s="257"/>
      <c r="AX11" s="257"/>
      <c r="AY11" s="258"/>
      <c r="AZ11" s="257"/>
      <c r="BA11" s="259"/>
      <c r="BB11" s="254">
        <v>3000.0</v>
      </c>
      <c r="BC11" s="257"/>
      <c r="BD11" s="259"/>
      <c r="BE11" s="260"/>
      <c r="BF11" s="257"/>
      <c r="BG11" s="257"/>
      <c r="BH11" s="257"/>
      <c r="BI11" s="257"/>
      <c r="BJ11" s="257"/>
      <c r="BK11" s="257"/>
      <c r="BL11" s="257"/>
      <c r="BM11" s="257"/>
      <c r="BN11" s="257"/>
      <c r="BO11" s="257"/>
      <c r="BP11" s="259"/>
      <c r="BQ11" s="255"/>
      <c r="BR11" s="251"/>
      <c r="BS11" s="251"/>
      <c r="BT11" s="254">
        <v>9500.0</v>
      </c>
      <c r="BU11" s="251"/>
      <c r="BV11" s="251"/>
      <c r="BW11" s="257"/>
      <c r="BX11" s="257"/>
      <c r="BY11" s="257"/>
      <c r="BZ11" s="257"/>
      <c r="CA11" s="257"/>
      <c r="CB11" s="257"/>
      <c r="CC11" s="257"/>
      <c r="CD11" s="257"/>
      <c r="CE11" s="257"/>
      <c r="CF11" s="257"/>
      <c r="CG11" s="257"/>
      <c r="CH11" s="259"/>
      <c r="CI11" s="260"/>
      <c r="CJ11" s="257"/>
      <c r="CK11" s="257"/>
      <c r="CL11" s="257"/>
      <c r="CM11" s="257"/>
      <c r="CN11" s="257"/>
      <c r="CO11" s="258"/>
      <c r="CP11" s="257"/>
      <c r="CQ11" s="257"/>
      <c r="CR11" s="257"/>
      <c r="CS11" s="257"/>
      <c r="CT11" s="257"/>
      <c r="CU11" s="257"/>
      <c r="CV11" s="257"/>
      <c r="CW11" s="257"/>
      <c r="CX11" s="257"/>
      <c r="CY11" s="257"/>
      <c r="CZ11" s="257"/>
      <c r="DA11" s="257"/>
      <c r="DB11" s="257"/>
      <c r="DC11" s="257"/>
      <c r="DD11" s="257"/>
      <c r="DE11" s="257"/>
      <c r="DF11" s="257"/>
      <c r="DG11" s="257"/>
      <c r="DH11" s="257"/>
      <c r="DI11" s="257"/>
      <c r="DJ11" s="257"/>
      <c r="DK11" s="257"/>
      <c r="DL11" s="259"/>
    </row>
    <row r="12" ht="14.25" customHeight="1">
      <c r="B12" s="7"/>
      <c r="C12" s="261"/>
      <c r="D12" s="262"/>
      <c r="E12" s="262"/>
      <c r="F12" s="262"/>
      <c r="G12" s="262"/>
      <c r="H12" s="262"/>
      <c r="I12" s="262"/>
      <c r="J12" s="262"/>
      <c r="K12" s="262"/>
      <c r="L12" s="262"/>
      <c r="M12" s="262"/>
      <c r="N12" s="262"/>
      <c r="O12" s="262"/>
      <c r="P12" s="262"/>
      <c r="Q12" s="262"/>
      <c r="R12" s="262"/>
      <c r="S12" s="262"/>
      <c r="T12" s="262"/>
      <c r="U12" s="262"/>
      <c r="V12" s="262"/>
      <c r="W12" s="262"/>
      <c r="X12" s="262"/>
      <c r="Y12" s="262"/>
      <c r="Z12" s="262"/>
      <c r="AA12" s="262"/>
      <c r="AB12" s="262"/>
      <c r="AC12" s="262"/>
      <c r="AD12" s="262"/>
      <c r="AE12" s="262"/>
      <c r="AF12" s="262"/>
      <c r="AG12" s="262"/>
      <c r="AH12" s="262"/>
      <c r="AI12" s="262"/>
      <c r="AJ12" s="262"/>
      <c r="AK12" s="262"/>
      <c r="AL12" s="262"/>
      <c r="AM12" s="262"/>
      <c r="AN12" s="262"/>
      <c r="AO12" s="262"/>
      <c r="AP12" s="262"/>
      <c r="AQ12" s="262"/>
      <c r="AR12" s="262"/>
      <c r="AS12" s="262"/>
      <c r="AT12" s="262"/>
      <c r="AU12" s="262"/>
      <c r="AV12" s="262"/>
      <c r="AW12" s="262"/>
      <c r="AX12" s="262"/>
      <c r="AY12" s="262"/>
      <c r="AZ12" s="262"/>
      <c r="BA12" s="262"/>
      <c r="BB12" s="262"/>
      <c r="BC12" s="262"/>
      <c r="BD12" s="262"/>
      <c r="BE12" s="262"/>
      <c r="BF12" s="262"/>
      <c r="BG12" s="262"/>
      <c r="BH12" s="262"/>
      <c r="BI12" s="262"/>
      <c r="BJ12" s="262"/>
      <c r="BK12" s="262"/>
      <c r="BL12" s="262"/>
      <c r="BM12" s="262"/>
      <c r="BN12" s="262"/>
      <c r="BO12" s="262"/>
      <c r="BP12" s="262"/>
      <c r="BQ12" s="262"/>
      <c r="BR12" s="262"/>
      <c r="BS12" s="262"/>
      <c r="BT12" s="262"/>
      <c r="BU12" s="262"/>
      <c r="BV12" s="262"/>
      <c r="BW12" s="262"/>
      <c r="BX12" s="262"/>
      <c r="BY12" s="262"/>
      <c r="BZ12" s="262"/>
      <c r="CA12" s="262"/>
      <c r="CB12" s="262"/>
      <c r="CC12" s="262"/>
      <c r="CD12" s="262"/>
      <c r="CE12" s="262"/>
      <c r="CF12" s="262"/>
      <c r="CG12" s="262"/>
      <c r="CH12" s="262"/>
      <c r="CI12" s="262"/>
      <c r="CJ12" s="262"/>
      <c r="CK12" s="262"/>
      <c r="CL12" s="262"/>
      <c r="CM12" s="262"/>
      <c r="CN12" s="262"/>
      <c r="CO12" s="262"/>
      <c r="CP12" s="262"/>
      <c r="CQ12" s="262"/>
      <c r="CR12" s="262"/>
      <c r="CS12" s="262"/>
      <c r="CT12" s="262"/>
      <c r="CU12" s="262"/>
      <c r="CV12" s="262"/>
      <c r="CW12" s="262"/>
      <c r="CX12" s="262"/>
      <c r="CY12" s="262"/>
      <c r="CZ12" s="262"/>
      <c r="DA12" s="262"/>
      <c r="DB12" s="262"/>
      <c r="DC12" s="262"/>
      <c r="DD12" s="262"/>
      <c r="DE12" s="262"/>
      <c r="DF12" s="262"/>
      <c r="DG12" s="262"/>
      <c r="DH12" s="262"/>
      <c r="DI12" s="262"/>
      <c r="DJ12" s="262"/>
      <c r="DK12" s="262"/>
      <c r="DL12" s="262"/>
    </row>
    <row r="13" ht="14.25" customHeight="1">
      <c r="B13" s="77" t="s">
        <v>98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  <c r="CY13" s="78"/>
      <c r="CZ13" s="79"/>
      <c r="DA13" s="79"/>
      <c r="DB13" s="79"/>
      <c r="DC13" s="79"/>
      <c r="DD13" s="79"/>
      <c r="DE13" s="79"/>
      <c r="DF13" s="79"/>
      <c r="DG13" s="79"/>
      <c r="DH13" s="79"/>
      <c r="DI13" s="79"/>
      <c r="DJ13" s="79"/>
      <c r="DK13" s="79"/>
      <c r="DL13" s="79"/>
      <c r="DM13" s="79"/>
      <c r="DN13" s="79"/>
      <c r="DO13" s="79"/>
      <c r="DP13" s="79"/>
      <c r="DQ13" s="80"/>
      <c r="DR13" s="80"/>
      <c r="DS13" s="80"/>
      <c r="DT13" s="80"/>
      <c r="DU13" s="80"/>
      <c r="DV13" s="80"/>
      <c r="DW13" s="80"/>
      <c r="DX13" s="80"/>
      <c r="DY13" s="80"/>
      <c r="DZ13" s="80"/>
      <c r="EA13" s="80"/>
      <c r="EB13" s="80"/>
      <c r="EC13" s="80"/>
      <c r="ED13" s="80"/>
      <c r="EE13" s="80"/>
      <c r="EF13" s="80"/>
      <c r="EG13" s="80"/>
      <c r="EH13" s="80"/>
    </row>
    <row r="14" ht="30.0" customHeight="1">
      <c r="B14" s="81"/>
      <c r="C14" s="82" t="s">
        <v>99</v>
      </c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4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6" t="s">
        <v>50</v>
      </c>
      <c r="CL14" s="87"/>
      <c r="CM14" s="88" t="s">
        <v>100</v>
      </c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87"/>
      <c r="DC14" s="89" t="s">
        <v>52</v>
      </c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87"/>
      <c r="DO14" s="90" t="s">
        <v>52</v>
      </c>
      <c r="DP14" s="83"/>
      <c r="DQ14" s="83"/>
      <c r="DR14" s="83"/>
      <c r="DS14" s="83"/>
      <c r="DT14" s="83"/>
      <c r="DU14" s="83"/>
      <c r="DV14" s="83"/>
      <c r="DW14" s="83"/>
      <c r="DX14" s="83"/>
      <c r="DY14" s="83"/>
      <c r="DZ14" s="83"/>
      <c r="EA14" s="83"/>
      <c r="EB14" s="83"/>
      <c r="EC14" s="83"/>
      <c r="ED14" s="83"/>
      <c r="EE14" s="83"/>
      <c r="EF14" s="83"/>
      <c r="EG14" s="83"/>
      <c r="EH14" s="84"/>
    </row>
    <row r="15" ht="15.0" customHeight="1">
      <c r="B15" s="91"/>
      <c r="C15" s="38" t="s">
        <v>47</v>
      </c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40"/>
      <c r="AQ15" s="92" t="s">
        <v>48</v>
      </c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  <c r="BD15" s="39"/>
      <c r="BE15" s="39"/>
      <c r="BF15" s="39"/>
      <c r="BG15" s="39"/>
      <c r="BH15" s="39"/>
      <c r="BI15" s="39"/>
      <c r="BJ15" s="39"/>
      <c r="BK15" s="39"/>
      <c r="BL15" s="39"/>
      <c r="BM15" s="39"/>
      <c r="BN15" s="39"/>
      <c r="BO15" s="39"/>
      <c r="BP15" s="40"/>
      <c r="BQ15" s="92" t="s">
        <v>49</v>
      </c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40"/>
      <c r="CK15" s="93" t="s">
        <v>101</v>
      </c>
      <c r="CL15" s="94"/>
      <c r="CM15" s="95" t="s">
        <v>102</v>
      </c>
      <c r="CN15" s="96"/>
      <c r="CO15" s="96"/>
      <c r="CP15" s="97"/>
      <c r="CQ15" s="98" t="s">
        <v>103</v>
      </c>
      <c r="CR15" s="96"/>
      <c r="CS15" s="96"/>
      <c r="CT15" s="97"/>
      <c r="CU15" s="98" t="s">
        <v>104</v>
      </c>
      <c r="CV15" s="96"/>
      <c r="CW15" s="96"/>
      <c r="CX15" s="97"/>
      <c r="CY15" s="98" t="s">
        <v>105</v>
      </c>
      <c r="CZ15" s="96"/>
      <c r="DA15" s="96"/>
      <c r="DB15" s="94"/>
      <c r="DC15" s="99" t="str">
        <f>BQ5</f>
        <v>Bactériosol concentré</v>
      </c>
      <c r="DD15" s="97"/>
      <c r="DE15" s="101" t="str">
        <f>BT5</f>
        <v>Bactériolit concentré</v>
      </c>
      <c r="DF15" s="97"/>
      <c r="DG15" s="101" t="str">
        <f>BW5</f>
        <v/>
      </c>
      <c r="DH15" s="97"/>
      <c r="DI15" s="101" t="str">
        <f>BZ5</f>
        <v/>
      </c>
      <c r="DJ15" s="97"/>
      <c r="DK15" s="101" t="str">
        <f>CC5</f>
        <v/>
      </c>
      <c r="DL15" s="97"/>
      <c r="DM15" s="101" t="str">
        <f>CF5</f>
        <v/>
      </c>
      <c r="DN15" s="94"/>
      <c r="DO15" s="263" t="s">
        <v>77</v>
      </c>
      <c r="DP15" s="97"/>
      <c r="DQ15" s="102" t="s">
        <v>78</v>
      </c>
      <c r="DR15" s="97"/>
      <c r="DS15" s="102" t="s">
        <v>79</v>
      </c>
      <c r="DT15" s="97"/>
      <c r="DU15" s="102" t="s">
        <v>80</v>
      </c>
      <c r="DV15" s="97"/>
      <c r="DW15" s="103" t="s">
        <v>81</v>
      </c>
      <c r="DX15" s="97"/>
      <c r="DY15" s="103" t="s">
        <v>82</v>
      </c>
      <c r="DZ15" s="97"/>
      <c r="EA15" s="102" t="s">
        <v>83</v>
      </c>
      <c r="EB15" s="97"/>
      <c r="EC15" s="102" t="s">
        <v>84</v>
      </c>
      <c r="ED15" s="97"/>
      <c r="EE15" s="104" t="s">
        <v>85</v>
      </c>
      <c r="EF15" s="96"/>
      <c r="EG15" s="102" t="s">
        <v>86</v>
      </c>
      <c r="EH15" s="94"/>
    </row>
    <row r="16" ht="14.25" customHeight="1">
      <c r="B16" s="91"/>
      <c r="C16" s="105" t="s">
        <v>106</v>
      </c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1"/>
      <c r="AA16" s="106" t="s">
        <v>107</v>
      </c>
      <c r="AB16" s="50"/>
      <c r="AC16" s="50"/>
      <c r="AD16" s="50"/>
      <c r="AE16" s="50"/>
      <c r="AF16" s="50"/>
      <c r="AG16" s="50"/>
      <c r="AH16" s="51"/>
      <c r="AI16" s="107" t="s">
        <v>108</v>
      </c>
      <c r="AJ16" s="50"/>
      <c r="AK16" s="50"/>
      <c r="AL16" s="50"/>
      <c r="AM16" s="50"/>
      <c r="AN16" s="50"/>
      <c r="AO16" s="50"/>
      <c r="AP16" s="53"/>
      <c r="AQ16" s="105" t="s">
        <v>109</v>
      </c>
      <c r="AR16" s="50"/>
      <c r="AS16" s="50"/>
      <c r="AT16" s="50"/>
      <c r="AU16" s="50"/>
      <c r="AV16" s="50"/>
      <c r="AW16" s="51"/>
      <c r="AX16" s="106" t="s">
        <v>110</v>
      </c>
      <c r="AY16" s="50"/>
      <c r="AZ16" s="50"/>
      <c r="BA16" s="51"/>
      <c r="BB16" s="106" t="s">
        <v>111</v>
      </c>
      <c r="BC16" s="50"/>
      <c r="BD16" s="50"/>
      <c r="BE16" s="50"/>
      <c r="BF16" s="50"/>
      <c r="BG16" s="50"/>
      <c r="BH16" s="51"/>
      <c r="BI16" s="106" t="s">
        <v>112</v>
      </c>
      <c r="BJ16" s="50"/>
      <c r="BK16" s="50"/>
      <c r="BL16" s="51"/>
      <c r="BM16" s="106" t="s">
        <v>113</v>
      </c>
      <c r="BN16" s="50"/>
      <c r="BO16" s="50"/>
      <c r="BP16" s="53"/>
      <c r="BQ16" s="105" t="s">
        <v>114</v>
      </c>
      <c r="BR16" s="50"/>
      <c r="BS16" s="50"/>
      <c r="BT16" s="50"/>
      <c r="BU16" s="50"/>
      <c r="BV16" s="50"/>
      <c r="BW16" s="50"/>
      <c r="BX16" s="50"/>
      <c r="BY16" s="50"/>
      <c r="BZ16" s="51"/>
      <c r="CA16" s="106" t="s">
        <v>115</v>
      </c>
      <c r="CB16" s="50"/>
      <c r="CC16" s="50"/>
      <c r="CD16" s="50"/>
      <c r="CE16" s="50"/>
      <c r="CF16" s="50"/>
      <c r="CG16" s="50"/>
      <c r="CH16" s="50"/>
      <c r="CI16" s="50"/>
      <c r="CJ16" s="53"/>
      <c r="CK16" s="108"/>
      <c r="CL16" s="109"/>
      <c r="CM16" s="108"/>
      <c r="CP16" s="110"/>
      <c r="CQ16" s="111"/>
      <c r="CT16" s="110"/>
      <c r="CU16" s="111"/>
      <c r="CX16" s="110"/>
      <c r="CY16" s="111"/>
      <c r="DB16" s="109"/>
      <c r="DC16" s="108"/>
      <c r="DD16" s="110"/>
      <c r="DE16" s="111"/>
      <c r="DF16" s="110"/>
      <c r="DG16" s="111"/>
      <c r="DH16" s="110"/>
      <c r="DI16" s="111"/>
      <c r="DJ16" s="110"/>
      <c r="DK16" s="111"/>
      <c r="DL16" s="110"/>
      <c r="DM16" s="111"/>
      <c r="DN16" s="109"/>
      <c r="DO16" s="108"/>
      <c r="DP16" s="110"/>
      <c r="DQ16" s="111"/>
      <c r="DR16" s="110"/>
      <c r="DS16" s="111"/>
      <c r="DT16" s="110"/>
      <c r="DU16" s="111"/>
      <c r="DV16" s="110"/>
      <c r="DW16" s="111"/>
      <c r="DX16" s="110"/>
      <c r="DY16" s="111"/>
      <c r="DZ16" s="110"/>
      <c r="EA16" s="111"/>
      <c r="EB16" s="110"/>
      <c r="EC16" s="111"/>
      <c r="ED16" s="110"/>
      <c r="EE16" s="111"/>
      <c r="EG16" s="111"/>
      <c r="EH16" s="109"/>
    </row>
    <row r="17" ht="14.25" customHeight="1">
      <c r="B17" s="91"/>
      <c r="C17" s="105" t="s">
        <v>53</v>
      </c>
      <c r="D17" s="50"/>
      <c r="E17" s="50"/>
      <c r="F17" s="51"/>
      <c r="G17" s="106" t="s">
        <v>54</v>
      </c>
      <c r="H17" s="50"/>
      <c r="I17" s="50"/>
      <c r="J17" s="51"/>
      <c r="K17" s="106" t="s">
        <v>55</v>
      </c>
      <c r="L17" s="50"/>
      <c r="M17" s="50"/>
      <c r="N17" s="51"/>
      <c r="O17" s="106" t="s">
        <v>56</v>
      </c>
      <c r="P17" s="50"/>
      <c r="Q17" s="50"/>
      <c r="R17" s="51"/>
      <c r="S17" s="106" t="s">
        <v>57</v>
      </c>
      <c r="T17" s="50"/>
      <c r="U17" s="50"/>
      <c r="V17" s="51"/>
      <c r="W17" s="107" t="s">
        <v>58</v>
      </c>
      <c r="X17" s="50"/>
      <c r="Y17" s="50"/>
      <c r="Z17" s="51"/>
      <c r="AA17" s="106" t="s">
        <v>59</v>
      </c>
      <c r="AB17" s="50"/>
      <c r="AC17" s="50"/>
      <c r="AD17" s="51"/>
      <c r="AE17" s="107" t="s">
        <v>60</v>
      </c>
      <c r="AF17" s="50"/>
      <c r="AG17" s="50"/>
      <c r="AH17" s="51"/>
      <c r="AI17" s="107" t="s">
        <v>61</v>
      </c>
      <c r="AJ17" s="50"/>
      <c r="AK17" s="50"/>
      <c r="AL17" s="51"/>
      <c r="AM17" s="107" t="s">
        <v>62</v>
      </c>
      <c r="AN17" s="50"/>
      <c r="AO17" s="50"/>
      <c r="AP17" s="53"/>
      <c r="AQ17" s="112" t="s">
        <v>116</v>
      </c>
      <c r="AR17" s="107" t="s">
        <v>117</v>
      </c>
      <c r="AS17" s="50"/>
      <c r="AT17" s="51"/>
      <c r="AU17" s="107" t="s">
        <v>118</v>
      </c>
      <c r="AV17" s="50"/>
      <c r="AW17" s="51"/>
      <c r="AX17" s="113" t="s">
        <v>116</v>
      </c>
      <c r="AY17" s="107" t="s">
        <v>118</v>
      </c>
      <c r="AZ17" s="50"/>
      <c r="BA17" s="51"/>
      <c r="BB17" s="113" t="s">
        <v>116</v>
      </c>
      <c r="BC17" s="107" t="s">
        <v>119</v>
      </c>
      <c r="BD17" s="50"/>
      <c r="BE17" s="51"/>
      <c r="BF17" s="107" t="s">
        <v>118</v>
      </c>
      <c r="BG17" s="50"/>
      <c r="BH17" s="51"/>
      <c r="BI17" s="113" t="s">
        <v>116</v>
      </c>
      <c r="BJ17" s="107" t="s">
        <v>118</v>
      </c>
      <c r="BK17" s="50"/>
      <c r="BL17" s="51"/>
      <c r="BM17" s="113" t="s">
        <v>116</v>
      </c>
      <c r="BN17" s="107" t="s">
        <v>118</v>
      </c>
      <c r="BO17" s="50"/>
      <c r="BP17" s="53"/>
      <c r="BQ17" s="112" t="s">
        <v>116</v>
      </c>
      <c r="BR17" s="107" t="s">
        <v>119</v>
      </c>
      <c r="BS17" s="50"/>
      <c r="BT17" s="51"/>
      <c r="BU17" s="107" t="s">
        <v>117</v>
      </c>
      <c r="BV17" s="50"/>
      <c r="BW17" s="51"/>
      <c r="BX17" s="107" t="s">
        <v>118</v>
      </c>
      <c r="BY17" s="50"/>
      <c r="BZ17" s="51"/>
      <c r="CA17" s="113" t="s">
        <v>116</v>
      </c>
      <c r="CB17" s="107" t="s">
        <v>119</v>
      </c>
      <c r="CC17" s="50"/>
      <c r="CD17" s="51"/>
      <c r="CE17" s="107" t="s">
        <v>117</v>
      </c>
      <c r="CF17" s="50"/>
      <c r="CG17" s="51"/>
      <c r="CH17" s="107" t="s">
        <v>118</v>
      </c>
      <c r="CI17" s="50"/>
      <c r="CJ17" s="53"/>
      <c r="CK17" s="114"/>
      <c r="CL17" s="115"/>
      <c r="CM17" s="114"/>
      <c r="CN17" s="116"/>
      <c r="CO17" s="116"/>
      <c r="CP17" s="117"/>
      <c r="CQ17" s="118"/>
      <c r="CR17" s="116"/>
      <c r="CS17" s="116"/>
      <c r="CT17" s="117"/>
      <c r="CU17" s="118"/>
      <c r="CV17" s="116"/>
      <c r="CW17" s="116"/>
      <c r="CX17" s="117"/>
      <c r="CY17" s="118"/>
      <c r="CZ17" s="116"/>
      <c r="DA17" s="116"/>
      <c r="DB17" s="115"/>
      <c r="DC17" s="114"/>
      <c r="DD17" s="117"/>
      <c r="DE17" s="118"/>
      <c r="DF17" s="117"/>
      <c r="DG17" s="118"/>
      <c r="DH17" s="117"/>
      <c r="DI17" s="118"/>
      <c r="DJ17" s="117"/>
      <c r="DK17" s="118"/>
      <c r="DL17" s="117"/>
      <c r="DM17" s="118"/>
      <c r="DN17" s="115"/>
      <c r="DO17" s="114"/>
      <c r="DP17" s="117"/>
      <c r="DQ17" s="118"/>
      <c r="DR17" s="117"/>
      <c r="DS17" s="118"/>
      <c r="DT17" s="117"/>
      <c r="DU17" s="118"/>
      <c r="DV17" s="117"/>
      <c r="DW17" s="118"/>
      <c r="DX17" s="117"/>
      <c r="DY17" s="118"/>
      <c r="DZ17" s="117"/>
      <c r="EA17" s="118"/>
      <c r="EB17" s="117"/>
      <c r="EC17" s="118"/>
      <c r="ED17" s="117"/>
      <c r="EE17" s="118"/>
      <c r="EF17" s="116"/>
      <c r="EG17" s="118"/>
      <c r="EH17" s="115"/>
    </row>
    <row r="18" ht="14.25" customHeight="1">
      <c r="B18" s="119"/>
      <c r="C18" s="120" t="s">
        <v>116</v>
      </c>
      <c r="D18" s="121" t="s">
        <v>120</v>
      </c>
      <c r="E18" s="121" t="s">
        <v>121</v>
      </c>
      <c r="F18" s="121" t="s">
        <v>122</v>
      </c>
      <c r="G18" s="121" t="s">
        <v>116</v>
      </c>
      <c r="H18" s="121" t="s">
        <v>120</v>
      </c>
      <c r="I18" s="121" t="s">
        <v>121</v>
      </c>
      <c r="J18" s="121" t="s">
        <v>122</v>
      </c>
      <c r="K18" s="121" t="s">
        <v>116</v>
      </c>
      <c r="L18" s="121" t="s">
        <v>120</v>
      </c>
      <c r="M18" s="121" t="s">
        <v>121</v>
      </c>
      <c r="N18" s="121" t="s">
        <v>122</v>
      </c>
      <c r="O18" s="121" t="s">
        <v>116</v>
      </c>
      <c r="P18" s="121" t="s">
        <v>120</v>
      </c>
      <c r="Q18" s="121" t="s">
        <v>121</v>
      </c>
      <c r="R18" s="121" t="s">
        <v>122</v>
      </c>
      <c r="S18" s="121" t="s">
        <v>116</v>
      </c>
      <c r="T18" s="121" t="s">
        <v>120</v>
      </c>
      <c r="U18" s="121" t="s">
        <v>121</v>
      </c>
      <c r="V18" s="121" t="s">
        <v>122</v>
      </c>
      <c r="W18" s="121" t="s">
        <v>116</v>
      </c>
      <c r="X18" s="121" t="s">
        <v>120</v>
      </c>
      <c r="Y18" s="121" t="s">
        <v>121</v>
      </c>
      <c r="Z18" s="106" t="s">
        <v>122</v>
      </c>
      <c r="AA18" s="121" t="s">
        <v>116</v>
      </c>
      <c r="AB18" s="121" t="s">
        <v>123</v>
      </c>
      <c r="AC18" s="121" t="s">
        <v>124</v>
      </c>
      <c r="AD18" s="121" t="s">
        <v>125</v>
      </c>
      <c r="AE18" s="121" t="s">
        <v>116</v>
      </c>
      <c r="AF18" s="121" t="s">
        <v>123</v>
      </c>
      <c r="AG18" s="121" t="s">
        <v>124</v>
      </c>
      <c r="AH18" s="121" t="s">
        <v>125</v>
      </c>
      <c r="AI18" s="121" t="s">
        <v>116</v>
      </c>
      <c r="AJ18" s="121" t="s">
        <v>126</v>
      </c>
      <c r="AK18" s="121" t="s">
        <v>127</v>
      </c>
      <c r="AL18" s="121" t="s">
        <v>128</v>
      </c>
      <c r="AM18" s="121" t="s">
        <v>116</v>
      </c>
      <c r="AN18" s="121" t="s">
        <v>129</v>
      </c>
      <c r="AO18" s="121" t="s">
        <v>127</v>
      </c>
      <c r="AP18" s="122" t="s">
        <v>128</v>
      </c>
      <c r="AQ18" s="123"/>
      <c r="AR18" s="121" t="s">
        <v>123</v>
      </c>
      <c r="AS18" s="121" t="s">
        <v>124</v>
      </c>
      <c r="AT18" s="121" t="s">
        <v>125</v>
      </c>
      <c r="AU18" s="121" t="s">
        <v>129</v>
      </c>
      <c r="AV18" s="121" t="s">
        <v>127</v>
      </c>
      <c r="AW18" s="106" t="s">
        <v>128</v>
      </c>
      <c r="AX18" s="119"/>
      <c r="AY18" s="121" t="s">
        <v>129</v>
      </c>
      <c r="AZ18" s="121" t="s">
        <v>127</v>
      </c>
      <c r="BA18" s="106" t="s">
        <v>128</v>
      </c>
      <c r="BB18" s="119"/>
      <c r="BC18" s="121" t="s">
        <v>120</v>
      </c>
      <c r="BD18" s="121" t="s">
        <v>121</v>
      </c>
      <c r="BE18" s="121" t="s">
        <v>122</v>
      </c>
      <c r="BF18" s="121" t="s">
        <v>126</v>
      </c>
      <c r="BG18" s="121" t="s">
        <v>127</v>
      </c>
      <c r="BH18" s="121" t="s">
        <v>128</v>
      </c>
      <c r="BI18" s="119"/>
      <c r="BJ18" s="121" t="s">
        <v>130</v>
      </c>
      <c r="BK18" s="121" t="s">
        <v>131</v>
      </c>
      <c r="BL18" s="106" t="s">
        <v>132</v>
      </c>
      <c r="BM18" s="119"/>
      <c r="BN18" s="121" t="s">
        <v>130</v>
      </c>
      <c r="BO18" s="121" t="s">
        <v>131</v>
      </c>
      <c r="BP18" s="122" t="s">
        <v>132</v>
      </c>
      <c r="BQ18" s="123"/>
      <c r="BR18" s="121" t="s">
        <v>120</v>
      </c>
      <c r="BS18" s="121" t="s">
        <v>121</v>
      </c>
      <c r="BT18" s="121" t="s">
        <v>122</v>
      </c>
      <c r="BU18" s="121" t="s">
        <v>123</v>
      </c>
      <c r="BV18" s="121" t="s">
        <v>124</v>
      </c>
      <c r="BW18" s="121" t="s">
        <v>125</v>
      </c>
      <c r="BX18" s="121" t="s">
        <v>126</v>
      </c>
      <c r="BY18" s="121" t="s">
        <v>127</v>
      </c>
      <c r="BZ18" s="121" t="s">
        <v>128</v>
      </c>
      <c r="CA18" s="119"/>
      <c r="CB18" s="121" t="s">
        <v>120</v>
      </c>
      <c r="CC18" s="121" t="s">
        <v>121</v>
      </c>
      <c r="CD18" s="121" t="s">
        <v>122</v>
      </c>
      <c r="CE18" s="121" t="s">
        <v>123</v>
      </c>
      <c r="CF18" s="121" t="s">
        <v>124</v>
      </c>
      <c r="CG18" s="121" t="s">
        <v>125</v>
      </c>
      <c r="CH18" s="121" t="s">
        <v>126</v>
      </c>
      <c r="CI18" s="121" t="s">
        <v>127</v>
      </c>
      <c r="CJ18" s="122" t="s">
        <v>128</v>
      </c>
      <c r="CK18" s="124" t="s">
        <v>116</v>
      </c>
      <c r="CL18" s="125" t="s">
        <v>133</v>
      </c>
      <c r="CM18" s="124" t="s">
        <v>116</v>
      </c>
      <c r="CN18" s="126" t="s">
        <v>134</v>
      </c>
      <c r="CO18" s="127" t="s">
        <v>135</v>
      </c>
      <c r="CP18" s="126" t="s">
        <v>136</v>
      </c>
      <c r="CQ18" s="127" t="s">
        <v>116</v>
      </c>
      <c r="CR18" s="126" t="s">
        <v>137</v>
      </c>
      <c r="CS18" s="127" t="s">
        <v>135</v>
      </c>
      <c r="CT18" s="127" t="s">
        <v>138</v>
      </c>
      <c r="CU18" s="127" t="s">
        <v>116</v>
      </c>
      <c r="CV18" s="126" t="s">
        <v>137</v>
      </c>
      <c r="CW18" s="127" t="s">
        <v>135</v>
      </c>
      <c r="CX18" s="127" t="s">
        <v>139</v>
      </c>
      <c r="CY18" s="127" t="s">
        <v>116</v>
      </c>
      <c r="CZ18" s="126" t="s">
        <v>137</v>
      </c>
      <c r="DA18" s="127" t="s">
        <v>135</v>
      </c>
      <c r="DB18" s="125" t="s">
        <v>140</v>
      </c>
      <c r="DC18" s="124" t="s">
        <v>116</v>
      </c>
      <c r="DD18" s="127" t="s">
        <v>141</v>
      </c>
      <c r="DE18" s="127" t="s">
        <v>116</v>
      </c>
      <c r="DF18" s="127" t="s">
        <v>142</v>
      </c>
      <c r="DG18" s="127" t="s">
        <v>116</v>
      </c>
      <c r="DH18" s="127" t="s">
        <v>143</v>
      </c>
      <c r="DI18" s="127" t="s">
        <v>116</v>
      </c>
      <c r="DJ18" s="127" t="s">
        <v>144</v>
      </c>
      <c r="DK18" s="127" t="s">
        <v>116</v>
      </c>
      <c r="DL18" s="127" t="s">
        <v>145</v>
      </c>
      <c r="DM18" s="127" t="s">
        <v>116</v>
      </c>
      <c r="DN18" s="125" t="s">
        <v>146</v>
      </c>
      <c r="DO18" s="124" t="s">
        <v>147</v>
      </c>
      <c r="DP18" s="127" t="s">
        <v>148</v>
      </c>
      <c r="DQ18" s="127" t="s">
        <v>147</v>
      </c>
      <c r="DR18" s="127" t="s">
        <v>148</v>
      </c>
      <c r="DS18" s="127" t="s">
        <v>147</v>
      </c>
      <c r="DT18" s="127" t="s">
        <v>148</v>
      </c>
      <c r="DU18" s="127" t="s">
        <v>147</v>
      </c>
      <c r="DV18" s="127" t="s">
        <v>148</v>
      </c>
      <c r="DW18" s="127" t="s">
        <v>147</v>
      </c>
      <c r="DX18" s="127" t="s">
        <v>148</v>
      </c>
      <c r="DY18" s="127" t="s">
        <v>147</v>
      </c>
      <c r="DZ18" s="127" t="s">
        <v>148</v>
      </c>
      <c r="EA18" s="127" t="s">
        <v>147</v>
      </c>
      <c r="EB18" s="127" t="s">
        <v>148</v>
      </c>
      <c r="EC18" s="127" t="s">
        <v>147</v>
      </c>
      <c r="ED18" s="127" t="s">
        <v>148</v>
      </c>
      <c r="EE18" s="127" t="s">
        <v>147</v>
      </c>
      <c r="EF18" s="127" t="s">
        <v>148</v>
      </c>
      <c r="EG18" s="127" t="s">
        <v>147</v>
      </c>
      <c r="EH18" s="125" t="s">
        <v>148</v>
      </c>
    </row>
    <row r="19" ht="14.25" customHeight="1">
      <c r="B19" s="52" t="s">
        <v>205</v>
      </c>
      <c r="C19" s="128">
        <f t="shared" ref="C19:C23" si="4">C7+D7-E7</f>
        <v>0</v>
      </c>
      <c r="D19" s="129">
        <v>0.82</v>
      </c>
      <c r="E19" s="126">
        <f t="shared" ref="E19:E23" si="5">C19*D19</f>
        <v>0</v>
      </c>
      <c r="F19" s="130">
        <v>2.926</v>
      </c>
      <c r="G19" s="131">
        <f t="shared" ref="G19:G23" si="6">F7+G7-H7</f>
        <v>7674.626866</v>
      </c>
      <c r="H19" s="132">
        <v>0.335</v>
      </c>
      <c r="I19" s="126">
        <f t="shared" ref="I19:I23" si="7">G19*H19</f>
        <v>2571</v>
      </c>
      <c r="J19" s="130">
        <v>3.97</v>
      </c>
      <c r="K19" s="131">
        <f t="shared" ref="K19:K23" si="8">I7+J7-K7</f>
        <v>0</v>
      </c>
      <c r="L19" s="129">
        <v>0.27</v>
      </c>
      <c r="M19" s="126">
        <f t="shared" ref="M19:M23" si="9">K19*L19</f>
        <v>0</v>
      </c>
      <c r="N19" s="130">
        <v>4.18</v>
      </c>
      <c r="O19" s="131">
        <f t="shared" ref="O19:O23" si="10">L7+M7-N7</f>
        <v>79126.66667</v>
      </c>
      <c r="P19" s="129">
        <v>0.39</v>
      </c>
      <c r="Q19" s="126">
        <f t="shared" ref="Q19:Q23" si="11">O19*P19/1.3</f>
        <v>23738</v>
      </c>
      <c r="R19" s="130">
        <v>4.99</v>
      </c>
      <c r="S19" s="133">
        <f t="shared" ref="S19:S23" si="12">O7+P7-Q7</f>
        <v>0</v>
      </c>
      <c r="T19" s="129">
        <v>0.46</v>
      </c>
      <c r="U19" s="126">
        <f t="shared" ref="U19:U23" si="13">S19*T19</f>
        <v>0</v>
      </c>
      <c r="V19" s="130">
        <v>4.54</v>
      </c>
      <c r="W19" s="133">
        <f t="shared" ref="W19:W23" si="14">R7+S7-T7</f>
        <v>24972.72727</v>
      </c>
      <c r="X19" s="264">
        <v>0.22</v>
      </c>
      <c r="Y19" s="145">
        <f t="shared" ref="Y19:Y23" si="15">W19*X19</f>
        <v>5494</v>
      </c>
      <c r="Z19" s="130">
        <v>4.99</v>
      </c>
      <c r="AA19" s="133">
        <f t="shared" ref="AA19:AA23" si="16">U7+V7-W7</f>
        <v>0</v>
      </c>
      <c r="AB19" s="136">
        <v>0.46</v>
      </c>
      <c r="AC19" s="126">
        <f t="shared" ref="AC19:AC23" si="17">AA19*AB19</f>
        <v>0</v>
      </c>
      <c r="AD19" s="130">
        <v>1.45</v>
      </c>
      <c r="AE19" s="133">
        <f t="shared" ref="AE19:AE23" si="18">X7+Y7-Z7</f>
        <v>0</v>
      </c>
      <c r="AF19" s="265"/>
      <c r="AG19" s="126">
        <f t="shared" ref="AG19:AG23" si="19">AE19*AF19</f>
        <v>0</v>
      </c>
      <c r="AH19" s="130">
        <v>1.45</v>
      </c>
      <c r="AI19" s="133">
        <f t="shared" ref="AI19:AI23" si="20">AA7+AB7-AC7</f>
        <v>0</v>
      </c>
      <c r="AJ19" s="138">
        <v>0.6</v>
      </c>
      <c r="AK19" s="126">
        <f t="shared" ref="AK19:AK23" si="21">AI19*AJ19</f>
        <v>0</v>
      </c>
      <c r="AL19" s="130">
        <v>0.71</v>
      </c>
      <c r="AM19" s="133">
        <f t="shared" ref="AM19:AM23" si="22">AD7+AE7-AF7</f>
        <v>0</v>
      </c>
      <c r="AN19" s="265"/>
      <c r="AO19" s="126">
        <f t="shared" ref="AO19:AO23" si="23">AM19*AN19</f>
        <v>0</v>
      </c>
      <c r="AP19" s="140">
        <v>0.71</v>
      </c>
      <c r="AQ19" s="141">
        <f t="shared" ref="AQ19:AQ23" si="24">AG7+AH7-AI7</f>
        <v>0</v>
      </c>
      <c r="AR19" s="265"/>
      <c r="AS19" s="126">
        <f t="shared" ref="AS19:AS23" si="25">AQ19*AR19</f>
        <v>0</v>
      </c>
      <c r="AT19" s="130">
        <v>1.45</v>
      </c>
      <c r="AU19" s="265"/>
      <c r="AV19" s="126">
        <f t="shared" ref="AV19:AV23" si="26">AQ19*AU19</f>
        <v>0</v>
      </c>
      <c r="AW19" s="130">
        <v>0.71</v>
      </c>
      <c r="AX19" s="131">
        <f t="shared" ref="AX19:AX23" si="27">AJ7+AK7-AL7</f>
        <v>0</v>
      </c>
      <c r="AY19" s="142">
        <v>0.44</v>
      </c>
      <c r="AZ19" s="126">
        <f t="shared" ref="AZ19:AZ23" si="28">AX19*AY19</f>
        <v>0</v>
      </c>
      <c r="BA19" s="130">
        <v>2.74</v>
      </c>
      <c r="BB19" s="133">
        <f t="shared" ref="BB19:BB23" si="29">AM7+AN7-AO7</f>
        <v>0</v>
      </c>
      <c r="BC19" s="266"/>
      <c r="BD19" s="126">
        <f t="shared" ref="BD19:BD23" si="30">BB19*BC19</f>
        <v>0</v>
      </c>
      <c r="BE19" s="130">
        <v>2.74</v>
      </c>
      <c r="BF19" s="266"/>
      <c r="BG19" s="145">
        <f t="shared" ref="BG19:BG23" si="31">BB19*BF19</f>
        <v>0</v>
      </c>
      <c r="BH19" s="130">
        <v>0.71</v>
      </c>
      <c r="BI19" s="131">
        <f t="shared" ref="BI19:BI23" si="32">AP7+AQ7-AR7</f>
        <v>0</v>
      </c>
      <c r="BJ19" s="129">
        <v>0.54</v>
      </c>
      <c r="BK19" s="126">
        <f t="shared" ref="BK19:BK23" si="33">BI19*BJ19</f>
        <v>0</v>
      </c>
      <c r="BL19" s="130">
        <v>1.82</v>
      </c>
      <c r="BM19" s="131">
        <f t="shared" ref="BM19:BM23" si="34">AS7+AT7-AU7</f>
        <v>0</v>
      </c>
      <c r="BN19" s="142">
        <v>0.46</v>
      </c>
      <c r="BO19" s="126">
        <f t="shared" ref="BO19:BO23" si="35">BM19*BN19</f>
        <v>0</v>
      </c>
      <c r="BP19" s="140">
        <v>3.02</v>
      </c>
      <c r="BQ19" s="146">
        <f t="shared" ref="BQ19:BQ23" si="36">AV7+AW7-AX7</f>
        <v>0</v>
      </c>
      <c r="BR19" s="266"/>
      <c r="BS19" s="126">
        <f t="shared" ref="BS19:BS23" si="37">BQ19*BR19</f>
        <v>0</v>
      </c>
      <c r="BT19" s="130">
        <v>3.97</v>
      </c>
      <c r="BU19" s="267"/>
      <c r="BV19" s="126">
        <f t="shared" ref="BV19:BV23" si="38">BQ19*BU19</f>
        <v>0</v>
      </c>
      <c r="BW19" s="130">
        <v>1.83</v>
      </c>
      <c r="BX19" s="267"/>
      <c r="BY19" s="126">
        <f t="shared" ref="BY19:BY23" si="39">BQ19*BX19</f>
        <v>0</v>
      </c>
      <c r="BZ19" s="130">
        <v>0.71</v>
      </c>
      <c r="CA19" s="133">
        <f t="shared" ref="CA19:CA23" si="40">AY7+AZ7-BA7</f>
        <v>0</v>
      </c>
      <c r="CB19" s="266"/>
      <c r="CC19" s="126">
        <f t="shared" ref="CC19:CC23" si="41">CA19*CB19</f>
        <v>0</v>
      </c>
      <c r="CD19" s="130">
        <v>3.97</v>
      </c>
      <c r="CE19" s="267"/>
      <c r="CF19" s="126">
        <f t="shared" ref="CF19:CF23" si="42">CA19*CE19</f>
        <v>0</v>
      </c>
      <c r="CG19" s="130">
        <v>1.83</v>
      </c>
      <c r="CH19" s="267"/>
      <c r="CI19" s="126">
        <f t="shared" ref="CI19:CI23" si="43">CA19*CH19</f>
        <v>0</v>
      </c>
      <c r="CJ19" s="140">
        <v>0.71</v>
      </c>
      <c r="CK19" s="268">
        <f t="shared" ref="CK19:CK23" si="44">BB7+BC7-BD7</f>
        <v>3000</v>
      </c>
      <c r="CL19" s="140">
        <v>9.861</v>
      </c>
      <c r="CM19" s="268">
        <f t="shared" ref="CM19:CM23" si="45">BE7+BF7-BG7</f>
        <v>0</v>
      </c>
      <c r="CN19" s="129">
        <v>0.94</v>
      </c>
      <c r="CO19" s="81">
        <f t="shared" ref="CO19:CO23" si="46">CM19*CN19</f>
        <v>0</v>
      </c>
      <c r="CP19" s="130">
        <v>0.311</v>
      </c>
      <c r="CQ19" s="145">
        <f t="shared" ref="CQ19:CQ23" si="47">BH7+BI7-BJ7</f>
        <v>0</v>
      </c>
      <c r="CR19" s="138">
        <v>0.55</v>
      </c>
      <c r="CS19" s="145">
        <f t="shared" ref="CS19:CS23" si="48">CQ19*CR19</f>
        <v>0</v>
      </c>
      <c r="CT19" s="130">
        <v>1.257</v>
      </c>
      <c r="CU19" s="145">
        <f t="shared" ref="CU19:CU23" si="49">BK7+BL7-BM7</f>
        <v>0</v>
      </c>
      <c r="CV19" s="138">
        <v>0.55</v>
      </c>
      <c r="CW19" s="145">
        <f t="shared" ref="CW19:CW23" si="50">CU19*CV19</f>
        <v>0</v>
      </c>
      <c r="CX19" s="130">
        <v>1.257</v>
      </c>
      <c r="CY19" s="145">
        <f t="shared" ref="CY19:CY23" si="51">BN7+BO7-BP7</f>
        <v>0</v>
      </c>
      <c r="CZ19" s="138">
        <v>0.35</v>
      </c>
      <c r="DA19" s="145">
        <f t="shared" ref="DA19:DA23" si="52">CY19*CZ19</f>
        <v>0</v>
      </c>
      <c r="DB19" s="140">
        <v>0.1</v>
      </c>
      <c r="DC19" s="269">
        <f t="shared" ref="DC19:DC23" si="53">BQ7+BR7-BS7</f>
        <v>0</v>
      </c>
      <c r="DD19" s="147">
        <v>0.551</v>
      </c>
      <c r="DE19" s="145">
        <f t="shared" ref="DE19:DE23" si="54">BT7+BU7-BV7</f>
        <v>9500</v>
      </c>
      <c r="DF19" s="147">
        <v>1.378</v>
      </c>
      <c r="DG19" s="145">
        <f t="shared" ref="DG19:DG23" si="55">BW7+BX7-BY7</f>
        <v>0</v>
      </c>
      <c r="DH19" s="147"/>
      <c r="DI19" s="145">
        <f t="shared" ref="DI19:DI23" si="56">BZ7+CA7-CB7</f>
        <v>0</v>
      </c>
      <c r="DJ19" s="147"/>
      <c r="DK19" s="145">
        <f t="shared" ref="DK19:DK23" si="57">CC7+CD7-CE7</f>
        <v>0</v>
      </c>
      <c r="DL19" s="147"/>
      <c r="DM19" s="126">
        <f t="shared" ref="DM19:DM23" si="58">CF7+CG7-CH7</f>
        <v>0</v>
      </c>
      <c r="DN19" s="270"/>
      <c r="DO19" s="271">
        <f t="shared" ref="DO19:DO23" si="59">CI7+CJ7-CK7</f>
        <v>0</v>
      </c>
      <c r="DP19" s="130">
        <v>625.0</v>
      </c>
      <c r="DQ19" s="246">
        <f t="shared" ref="DQ19:DQ23" si="60">CL7+CM7-CN7</f>
        <v>0</v>
      </c>
      <c r="DR19" s="130">
        <v>517.0</v>
      </c>
      <c r="DS19" s="149">
        <f t="shared" ref="DS19:DS23" si="61">CO7+CP7-CQ7</f>
        <v>0</v>
      </c>
      <c r="DT19" s="130">
        <v>14.6</v>
      </c>
      <c r="DU19" s="246">
        <f t="shared" ref="DU19:DU23" si="62">CR7+CS7-CT7</f>
        <v>0</v>
      </c>
      <c r="DV19" s="130">
        <v>234.0</v>
      </c>
      <c r="DW19" s="246">
        <f t="shared" ref="DW19:DW23" si="63">CU7+CV7-CW7</f>
        <v>0</v>
      </c>
      <c r="DX19" s="130">
        <v>701.0</v>
      </c>
      <c r="DY19" s="246">
        <f t="shared" ref="DY19:DY23" si="64">CX7+CY7-CZ7</f>
        <v>0</v>
      </c>
      <c r="DZ19" s="130">
        <v>1190.0</v>
      </c>
      <c r="EA19" s="246">
        <f t="shared" ref="EA19:EA23" si="65">DA7+DB7-DC7</f>
        <v>0</v>
      </c>
      <c r="EB19" s="130">
        <v>1486.0</v>
      </c>
      <c r="EC19" s="246">
        <f t="shared" ref="EC19:EC23" si="66">DD7+DE7-DF7</f>
        <v>0</v>
      </c>
      <c r="ED19" s="130">
        <v>3084.0</v>
      </c>
      <c r="EE19" s="246">
        <f t="shared" ref="EE19:EE23" si="67">DG7+DH7-DI7</f>
        <v>0</v>
      </c>
      <c r="EF19" s="130">
        <v>193.0</v>
      </c>
      <c r="EG19" s="246">
        <f t="shared" ref="EG19:EG23" si="68">DJ7+DK7-DL7</f>
        <v>0</v>
      </c>
      <c r="EH19" s="140">
        <v>320.0</v>
      </c>
    </row>
    <row r="20" ht="14.25" customHeight="1">
      <c r="B20" s="52" t="s">
        <v>206</v>
      </c>
      <c r="C20" s="128">
        <f t="shared" si="4"/>
        <v>0</v>
      </c>
      <c r="D20" s="129">
        <v>0.82</v>
      </c>
      <c r="E20" s="126">
        <f t="shared" si="5"/>
        <v>0</v>
      </c>
      <c r="F20" s="91"/>
      <c r="G20" s="131">
        <f t="shared" si="6"/>
        <v>7674.626866</v>
      </c>
      <c r="H20" s="132">
        <v>0.335</v>
      </c>
      <c r="I20" s="126">
        <f t="shared" si="7"/>
        <v>2571</v>
      </c>
      <c r="J20" s="91"/>
      <c r="K20" s="131">
        <f t="shared" si="8"/>
        <v>0</v>
      </c>
      <c r="L20" s="129">
        <v>0.27</v>
      </c>
      <c r="M20" s="126">
        <f t="shared" si="9"/>
        <v>0</v>
      </c>
      <c r="N20" s="91"/>
      <c r="O20" s="131">
        <f t="shared" si="10"/>
        <v>79126.66667</v>
      </c>
      <c r="P20" s="129">
        <v>0.39</v>
      </c>
      <c r="Q20" s="126">
        <f t="shared" si="11"/>
        <v>23738</v>
      </c>
      <c r="R20" s="91"/>
      <c r="S20" s="133">
        <f t="shared" si="12"/>
        <v>0</v>
      </c>
      <c r="T20" s="129">
        <v>0.46</v>
      </c>
      <c r="U20" s="126">
        <f t="shared" si="13"/>
        <v>0</v>
      </c>
      <c r="V20" s="91"/>
      <c r="W20" s="133">
        <f t="shared" si="14"/>
        <v>24972.72727</v>
      </c>
      <c r="X20" s="264">
        <v>0.22</v>
      </c>
      <c r="Y20" s="145">
        <f t="shared" si="15"/>
        <v>5494</v>
      </c>
      <c r="Z20" s="91"/>
      <c r="AA20" s="133">
        <f t="shared" si="16"/>
        <v>0</v>
      </c>
      <c r="AB20" s="136">
        <v>0.46</v>
      </c>
      <c r="AC20" s="126">
        <f t="shared" si="17"/>
        <v>0</v>
      </c>
      <c r="AD20" s="91"/>
      <c r="AE20" s="133">
        <f t="shared" si="18"/>
        <v>0</v>
      </c>
      <c r="AF20" s="265"/>
      <c r="AG20" s="126">
        <f t="shared" si="19"/>
        <v>0</v>
      </c>
      <c r="AH20" s="91"/>
      <c r="AI20" s="133">
        <f t="shared" si="20"/>
        <v>0</v>
      </c>
      <c r="AJ20" s="138">
        <v>0.6</v>
      </c>
      <c r="AK20" s="126">
        <f t="shared" si="21"/>
        <v>0</v>
      </c>
      <c r="AL20" s="91"/>
      <c r="AM20" s="133">
        <f t="shared" si="22"/>
        <v>0</v>
      </c>
      <c r="AN20" s="265"/>
      <c r="AO20" s="126">
        <f t="shared" si="23"/>
        <v>0</v>
      </c>
      <c r="AP20" s="150"/>
      <c r="AQ20" s="141">
        <f t="shared" si="24"/>
        <v>0</v>
      </c>
      <c r="AR20" s="265"/>
      <c r="AS20" s="126">
        <f t="shared" si="25"/>
        <v>0</v>
      </c>
      <c r="AT20" s="91"/>
      <c r="AU20" s="265"/>
      <c r="AV20" s="126">
        <f t="shared" si="26"/>
        <v>0</v>
      </c>
      <c r="AW20" s="91"/>
      <c r="AX20" s="131">
        <f t="shared" si="27"/>
        <v>0</v>
      </c>
      <c r="AY20" s="142">
        <v>0.44</v>
      </c>
      <c r="AZ20" s="126">
        <f t="shared" si="28"/>
        <v>0</v>
      </c>
      <c r="BA20" s="91"/>
      <c r="BB20" s="133">
        <f t="shared" si="29"/>
        <v>0</v>
      </c>
      <c r="BC20" s="266"/>
      <c r="BD20" s="126">
        <f t="shared" si="30"/>
        <v>0</v>
      </c>
      <c r="BE20" s="91"/>
      <c r="BF20" s="266"/>
      <c r="BG20" s="145">
        <f t="shared" si="31"/>
        <v>0</v>
      </c>
      <c r="BH20" s="91"/>
      <c r="BI20" s="131">
        <f t="shared" si="32"/>
        <v>0</v>
      </c>
      <c r="BJ20" s="129">
        <v>0.54</v>
      </c>
      <c r="BK20" s="126">
        <f t="shared" si="33"/>
        <v>0</v>
      </c>
      <c r="BL20" s="91"/>
      <c r="BM20" s="131">
        <f t="shared" si="34"/>
        <v>0</v>
      </c>
      <c r="BN20" s="142">
        <v>0.46</v>
      </c>
      <c r="BO20" s="126">
        <f t="shared" si="35"/>
        <v>0</v>
      </c>
      <c r="BP20" s="150"/>
      <c r="BQ20" s="146">
        <f t="shared" si="36"/>
        <v>0</v>
      </c>
      <c r="BR20" s="266"/>
      <c r="BS20" s="126">
        <f t="shared" si="37"/>
        <v>0</v>
      </c>
      <c r="BT20" s="91"/>
      <c r="BU20" s="267"/>
      <c r="BV20" s="126">
        <f t="shared" si="38"/>
        <v>0</v>
      </c>
      <c r="BW20" s="91"/>
      <c r="BX20" s="267"/>
      <c r="BY20" s="126">
        <f t="shared" si="39"/>
        <v>0</v>
      </c>
      <c r="BZ20" s="91"/>
      <c r="CA20" s="133">
        <f t="shared" si="40"/>
        <v>0</v>
      </c>
      <c r="CB20" s="266"/>
      <c r="CC20" s="126">
        <f t="shared" si="41"/>
        <v>0</v>
      </c>
      <c r="CD20" s="91"/>
      <c r="CE20" s="265"/>
      <c r="CF20" s="126">
        <f t="shared" si="42"/>
        <v>0</v>
      </c>
      <c r="CG20" s="91"/>
      <c r="CH20" s="265"/>
      <c r="CI20" s="126">
        <f t="shared" si="43"/>
        <v>0</v>
      </c>
      <c r="CJ20" s="150"/>
      <c r="CK20" s="268">
        <f t="shared" si="44"/>
        <v>3000</v>
      </c>
      <c r="CL20" s="150"/>
      <c r="CM20" s="268">
        <f t="shared" si="45"/>
        <v>0</v>
      </c>
      <c r="CN20" s="129">
        <v>0.94</v>
      </c>
      <c r="CO20" s="81">
        <f t="shared" si="46"/>
        <v>0</v>
      </c>
      <c r="CP20" s="91"/>
      <c r="CQ20" s="145">
        <f t="shared" si="47"/>
        <v>0</v>
      </c>
      <c r="CR20" s="138">
        <v>0.55</v>
      </c>
      <c r="CS20" s="145">
        <f t="shared" si="48"/>
        <v>0</v>
      </c>
      <c r="CT20" s="91"/>
      <c r="CU20" s="145">
        <f t="shared" si="49"/>
        <v>0</v>
      </c>
      <c r="CV20" s="138">
        <v>0.55</v>
      </c>
      <c r="CW20" s="145">
        <f t="shared" si="50"/>
        <v>0</v>
      </c>
      <c r="CX20" s="91"/>
      <c r="CY20" s="145">
        <f t="shared" si="51"/>
        <v>0</v>
      </c>
      <c r="CZ20" s="138">
        <v>0.35</v>
      </c>
      <c r="DA20" s="145">
        <f t="shared" si="52"/>
        <v>0</v>
      </c>
      <c r="DB20" s="150"/>
      <c r="DC20" s="269">
        <f t="shared" si="53"/>
        <v>0</v>
      </c>
      <c r="DD20" s="91"/>
      <c r="DE20" s="145">
        <f t="shared" si="54"/>
        <v>9500</v>
      </c>
      <c r="DF20" s="91"/>
      <c r="DG20" s="145">
        <f t="shared" si="55"/>
        <v>0</v>
      </c>
      <c r="DH20" s="91"/>
      <c r="DI20" s="145">
        <f t="shared" si="56"/>
        <v>0</v>
      </c>
      <c r="DJ20" s="91"/>
      <c r="DK20" s="145">
        <f t="shared" si="57"/>
        <v>0</v>
      </c>
      <c r="DL20" s="91"/>
      <c r="DM20" s="126">
        <f t="shared" si="58"/>
        <v>0</v>
      </c>
      <c r="DN20" s="150"/>
      <c r="DO20" s="271">
        <f t="shared" si="59"/>
        <v>0</v>
      </c>
      <c r="DP20" s="91"/>
      <c r="DQ20" s="246">
        <f t="shared" si="60"/>
        <v>0</v>
      </c>
      <c r="DR20" s="91"/>
      <c r="DS20" s="149">
        <f t="shared" si="61"/>
        <v>0</v>
      </c>
      <c r="DT20" s="91"/>
      <c r="DU20" s="246">
        <f t="shared" si="62"/>
        <v>0</v>
      </c>
      <c r="DV20" s="91"/>
      <c r="DW20" s="246">
        <f t="shared" si="63"/>
        <v>0</v>
      </c>
      <c r="DX20" s="91"/>
      <c r="DY20" s="246">
        <f t="shared" si="64"/>
        <v>0</v>
      </c>
      <c r="DZ20" s="91"/>
      <c r="EA20" s="246">
        <f t="shared" si="65"/>
        <v>0</v>
      </c>
      <c r="EB20" s="91"/>
      <c r="EC20" s="246">
        <f t="shared" si="66"/>
        <v>0</v>
      </c>
      <c r="ED20" s="91"/>
      <c r="EE20" s="246">
        <f t="shared" si="67"/>
        <v>0</v>
      </c>
      <c r="EF20" s="91"/>
      <c r="EG20" s="246">
        <f t="shared" si="68"/>
        <v>0</v>
      </c>
      <c r="EH20" s="150"/>
    </row>
    <row r="21" ht="14.25" customHeight="1">
      <c r="B21" s="52" t="s">
        <v>207</v>
      </c>
      <c r="C21" s="128">
        <f t="shared" si="4"/>
        <v>0</v>
      </c>
      <c r="D21" s="129">
        <v>0.82</v>
      </c>
      <c r="E21" s="126">
        <f t="shared" si="5"/>
        <v>0</v>
      </c>
      <c r="F21" s="91"/>
      <c r="G21" s="131">
        <f t="shared" si="6"/>
        <v>7674.626866</v>
      </c>
      <c r="H21" s="132">
        <v>0.335</v>
      </c>
      <c r="I21" s="126">
        <f t="shared" si="7"/>
        <v>2571</v>
      </c>
      <c r="J21" s="91"/>
      <c r="K21" s="131">
        <f t="shared" si="8"/>
        <v>0</v>
      </c>
      <c r="L21" s="129">
        <v>0.27</v>
      </c>
      <c r="M21" s="126">
        <f t="shared" si="9"/>
        <v>0</v>
      </c>
      <c r="N21" s="91"/>
      <c r="O21" s="131">
        <f t="shared" si="10"/>
        <v>79126.66667</v>
      </c>
      <c r="P21" s="129">
        <v>0.39</v>
      </c>
      <c r="Q21" s="126">
        <f t="shared" si="11"/>
        <v>23738</v>
      </c>
      <c r="R21" s="91"/>
      <c r="S21" s="133">
        <f t="shared" si="12"/>
        <v>0</v>
      </c>
      <c r="T21" s="129">
        <v>0.46</v>
      </c>
      <c r="U21" s="126">
        <f t="shared" si="13"/>
        <v>0</v>
      </c>
      <c r="V21" s="91"/>
      <c r="W21" s="133">
        <f t="shared" si="14"/>
        <v>24972.72727</v>
      </c>
      <c r="X21" s="264">
        <v>0.22</v>
      </c>
      <c r="Y21" s="145">
        <f t="shared" si="15"/>
        <v>5494</v>
      </c>
      <c r="Z21" s="91"/>
      <c r="AA21" s="133">
        <f t="shared" si="16"/>
        <v>0</v>
      </c>
      <c r="AB21" s="136">
        <v>0.46</v>
      </c>
      <c r="AC21" s="126">
        <f t="shared" si="17"/>
        <v>0</v>
      </c>
      <c r="AD21" s="91"/>
      <c r="AE21" s="133">
        <f t="shared" si="18"/>
        <v>0</v>
      </c>
      <c r="AF21" s="265"/>
      <c r="AG21" s="126">
        <f t="shared" si="19"/>
        <v>0</v>
      </c>
      <c r="AH21" s="91"/>
      <c r="AI21" s="133">
        <f t="shared" si="20"/>
        <v>0</v>
      </c>
      <c r="AJ21" s="138">
        <v>0.6</v>
      </c>
      <c r="AK21" s="126">
        <f t="shared" si="21"/>
        <v>0</v>
      </c>
      <c r="AL21" s="91"/>
      <c r="AM21" s="133">
        <f t="shared" si="22"/>
        <v>0</v>
      </c>
      <c r="AN21" s="265"/>
      <c r="AO21" s="126">
        <f t="shared" si="23"/>
        <v>0</v>
      </c>
      <c r="AP21" s="150"/>
      <c r="AQ21" s="141">
        <f t="shared" si="24"/>
        <v>0</v>
      </c>
      <c r="AR21" s="265"/>
      <c r="AS21" s="126">
        <f t="shared" si="25"/>
        <v>0</v>
      </c>
      <c r="AT21" s="91"/>
      <c r="AU21" s="265"/>
      <c r="AV21" s="126">
        <f t="shared" si="26"/>
        <v>0</v>
      </c>
      <c r="AW21" s="91"/>
      <c r="AX21" s="131">
        <f t="shared" si="27"/>
        <v>0</v>
      </c>
      <c r="AY21" s="142">
        <v>0.44</v>
      </c>
      <c r="AZ21" s="126">
        <f t="shared" si="28"/>
        <v>0</v>
      </c>
      <c r="BA21" s="91"/>
      <c r="BB21" s="133">
        <f t="shared" si="29"/>
        <v>0</v>
      </c>
      <c r="BC21" s="266"/>
      <c r="BD21" s="126">
        <f t="shared" si="30"/>
        <v>0</v>
      </c>
      <c r="BE21" s="91"/>
      <c r="BF21" s="266"/>
      <c r="BG21" s="145">
        <f t="shared" si="31"/>
        <v>0</v>
      </c>
      <c r="BH21" s="91"/>
      <c r="BI21" s="131">
        <f t="shared" si="32"/>
        <v>0</v>
      </c>
      <c r="BJ21" s="129">
        <v>0.54</v>
      </c>
      <c r="BK21" s="126">
        <f t="shared" si="33"/>
        <v>0</v>
      </c>
      <c r="BL21" s="91"/>
      <c r="BM21" s="131">
        <f t="shared" si="34"/>
        <v>0</v>
      </c>
      <c r="BN21" s="142">
        <v>0.46</v>
      </c>
      <c r="BO21" s="126">
        <f t="shared" si="35"/>
        <v>0</v>
      </c>
      <c r="BP21" s="150"/>
      <c r="BQ21" s="146">
        <f t="shared" si="36"/>
        <v>0</v>
      </c>
      <c r="BR21" s="266"/>
      <c r="BS21" s="126">
        <f t="shared" si="37"/>
        <v>0</v>
      </c>
      <c r="BT21" s="91"/>
      <c r="BU21" s="267"/>
      <c r="BV21" s="126">
        <f t="shared" si="38"/>
        <v>0</v>
      </c>
      <c r="BW21" s="91"/>
      <c r="BX21" s="267"/>
      <c r="BY21" s="126">
        <f t="shared" si="39"/>
        <v>0</v>
      </c>
      <c r="BZ21" s="91"/>
      <c r="CA21" s="133">
        <f t="shared" si="40"/>
        <v>0</v>
      </c>
      <c r="CB21" s="266"/>
      <c r="CC21" s="126">
        <f t="shared" si="41"/>
        <v>0</v>
      </c>
      <c r="CD21" s="91"/>
      <c r="CE21" s="265"/>
      <c r="CF21" s="126">
        <f t="shared" si="42"/>
        <v>0</v>
      </c>
      <c r="CG21" s="91"/>
      <c r="CH21" s="265"/>
      <c r="CI21" s="126">
        <f t="shared" si="43"/>
        <v>0</v>
      </c>
      <c r="CJ21" s="150"/>
      <c r="CK21" s="268">
        <f t="shared" si="44"/>
        <v>3000</v>
      </c>
      <c r="CL21" s="150"/>
      <c r="CM21" s="268">
        <f t="shared" si="45"/>
        <v>0</v>
      </c>
      <c r="CN21" s="129">
        <v>0.94</v>
      </c>
      <c r="CO21" s="81">
        <f t="shared" si="46"/>
        <v>0</v>
      </c>
      <c r="CP21" s="91"/>
      <c r="CQ21" s="145">
        <f t="shared" si="47"/>
        <v>0</v>
      </c>
      <c r="CR21" s="138">
        <v>0.55</v>
      </c>
      <c r="CS21" s="145">
        <f t="shared" si="48"/>
        <v>0</v>
      </c>
      <c r="CT21" s="91"/>
      <c r="CU21" s="145">
        <f t="shared" si="49"/>
        <v>0</v>
      </c>
      <c r="CV21" s="138">
        <v>0.55</v>
      </c>
      <c r="CW21" s="145">
        <f t="shared" si="50"/>
        <v>0</v>
      </c>
      <c r="CX21" s="91"/>
      <c r="CY21" s="145">
        <f t="shared" si="51"/>
        <v>0</v>
      </c>
      <c r="CZ21" s="138">
        <v>0.35</v>
      </c>
      <c r="DA21" s="145">
        <f t="shared" si="52"/>
        <v>0</v>
      </c>
      <c r="DB21" s="150"/>
      <c r="DC21" s="269">
        <f t="shared" si="53"/>
        <v>0</v>
      </c>
      <c r="DD21" s="91"/>
      <c r="DE21" s="145">
        <f t="shared" si="54"/>
        <v>9500</v>
      </c>
      <c r="DF21" s="91"/>
      <c r="DG21" s="145">
        <f t="shared" si="55"/>
        <v>0</v>
      </c>
      <c r="DH21" s="91"/>
      <c r="DI21" s="145">
        <f t="shared" si="56"/>
        <v>0</v>
      </c>
      <c r="DJ21" s="91"/>
      <c r="DK21" s="145">
        <f t="shared" si="57"/>
        <v>0</v>
      </c>
      <c r="DL21" s="91"/>
      <c r="DM21" s="126">
        <f t="shared" si="58"/>
        <v>0</v>
      </c>
      <c r="DN21" s="150"/>
      <c r="DO21" s="271">
        <f t="shared" si="59"/>
        <v>0</v>
      </c>
      <c r="DP21" s="91"/>
      <c r="DQ21" s="246">
        <f t="shared" si="60"/>
        <v>0</v>
      </c>
      <c r="DR21" s="91"/>
      <c r="DS21" s="149">
        <f t="shared" si="61"/>
        <v>0</v>
      </c>
      <c r="DT21" s="91"/>
      <c r="DU21" s="246">
        <f t="shared" si="62"/>
        <v>0</v>
      </c>
      <c r="DV21" s="91"/>
      <c r="DW21" s="246">
        <f t="shared" si="63"/>
        <v>0</v>
      </c>
      <c r="DX21" s="91"/>
      <c r="DY21" s="246">
        <f t="shared" si="64"/>
        <v>0</v>
      </c>
      <c r="DZ21" s="91"/>
      <c r="EA21" s="246">
        <f t="shared" si="65"/>
        <v>0</v>
      </c>
      <c r="EB21" s="91"/>
      <c r="EC21" s="246">
        <f t="shared" si="66"/>
        <v>0</v>
      </c>
      <c r="ED21" s="91"/>
      <c r="EE21" s="246">
        <f t="shared" si="67"/>
        <v>0</v>
      </c>
      <c r="EF21" s="91"/>
      <c r="EG21" s="246">
        <f t="shared" si="68"/>
        <v>0</v>
      </c>
      <c r="EH21" s="150"/>
    </row>
    <row r="22" ht="14.25" customHeight="1">
      <c r="B22" s="52" t="s">
        <v>208</v>
      </c>
      <c r="C22" s="128">
        <f t="shared" si="4"/>
        <v>0</v>
      </c>
      <c r="D22" s="129">
        <v>0.82</v>
      </c>
      <c r="E22" s="126">
        <f t="shared" si="5"/>
        <v>0</v>
      </c>
      <c r="F22" s="91"/>
      <c r="G22" s="131">
        <f t="shared" si="6"/>
        <v>7674.626866</v>
      </c>
      <c r="H22" s="132">
        <v>0.335</v>
      </c>
      <c r="I22" s="126">
        <f t="shared" si="7"/>
        <v>2571</v>
      </c>
      <c r="J22" s="91"/>
      <c r="K22" s="131">
        <f t="shared" si="8"/>
        <v>0</v>
      </c>
      <c r="L22" s="129">
        <v>0.27</v>
      </c>
      <c r="M22" s="126">
        <f t="shared" si="9"/>
        <v>0</v>
      </c>
      <c r="N22" s="91"/>
      <c r="O22" s="131">
        <f t="shared" si="10"/>
        <v>79126.66667</v>
      </c>
      <c r="P22" s="129">
        <v>0.39</v>
      </c>
      <c r="Q22" s="126">
        <f t="shared" si="11"/>
        <v>23738</v>
      </c>
      <c r="R22" s="91"/>
      <c r="S22" s="133">
        <f t="shared" si="12"/>
        <v>0</v>
      </c>
      <c r="T22" s="129">
        <v>0.46</v>
      </c>
      <c r="U22" s="126">
        <f t="shared" si="13"/>
        <v>0</v>
      </c>
      <c r="V22" s="91"/>
      <c r="W22" s="133">
        <f t="shared" si="14"/>
        <v>24972.72727</v>
      </c>
      <c r="X22" s="264">
        <v>0.22</v>
      </c>
      <c r="Y22" s="145">
        <f t="shared" si="15"/>
        <v>5494</v>
      </c>
      <c r="Z22" s="91"/>
      <c r="AA22" s="133">
        <f t="shared" si="16"/>
        <v>0</v>
      </c>
      <c r="AB22" s="136">
        <v>0.46</v>
      </c>
      <c r="AC22" s="126">
        <f t="shared" si="17"/>
        <v>0</v>
      </c>
      <c r="AD22" s="91"/>
      <c r="AE22" s="133">
        <f t="shared" si="18"/>
        <v>0</v>
      </c>
      <c r="AF22" s="265"/>
      <c r="AG22" s="126">
        <f t="shared" si="19"/>
        <v>0</v>
      </c>
      <c r="AH22" s="91"/>
      <c r="AI22" s="133">
        <f t="shared" si="20"/>
        <v>0</v>
      </c>
      <c r="AJ22" s="138">
        <v>0.6</v>
      </c>
      <c r="AK22" s="126">
        <f t="shared" si="21"/>
        <v>0</v>
      </c>
      <c r="AL22" s="91"/>
      <c r="AM22" s="133">
        <f t="shared" si="22"/>
        <v>0</v>
      </c>
      <c r="AN22" s="265"/>
      <c r="AO22" s="126">
        <f t="shared" si="23"/>
        <v>0</v>
      </c>
      <c r="AP22" s="150"/>
      <c r="AQ22" s="141">
        <f t="shared" si="24"/>
        <v>0</v>
      </c>
      <c r="AR22" s="265"/>
      <c r="AS22" s="126">
        <f t="shared" si="25"/>
        <v>0</v>
      </c>
      <c r="AT22" s="91"/>
      <c r="AU22" s="265"/>
      <c r="AV22" s="126">
        <f t="shared" si="26"/>
        <v>0</v>
      </c>
      <c r="AW22" s="91"/>
      <c r="AX22" s="131">
        <f t="shared" si="27"/>
        <v>0</v>
      </c>
      <c r="AY22" s="142">
        <v>0.44</v>
      </c>
      <c r="AZ22" s="126">
        <f t="shared" si="28"/>
        <v>0</v>
      </c>
      <c r="BA22" s="91"/>
      <c r="BB22" s="133">
        <f t="shared" si="29"/>
        <v>0</v>
      </c>
      <c r="BC22" s="266"/>
      <c r="BD22" s="126">
        <f t="shared" si="30"/>
        <v>0</v>
      </c>
      <c r="BE22" s="91"/>
      <c r="BF22" s="266"/>
      <c r="BG22" s="145">
        <f t="shared" si="31"/>
        <v>0</v>
      </c>
      <c r="BH22" s="91"/>
      <c r="BI22" s="131">
        <f t="shared" si="32"/>
        <v>0</v>
      </c>
      <c r="BJ22" s="129">
        <v>0.54</v>
      </c>
      <c r="BK22" s="126">
        <f t="shared" si="33"/>
        <v>0</v>
      </c>
      <c r="BL22" s="91"/>
      <c r="BM22" s="131">
        <f t="shared" si="34"/>
        <v>0</v>
      </c>
      <c r="BN22" s="142">
        <v>0.46</v>
      </c>
      <c r="BO22" s="126">
        <f t="shared" si="35"/>
        <v>0</v>
      </c>
      <c r="BP22" s="150"/>
      <c r="BQ22" s="146">
        <f t="shared" si="36"/>
        <v>0</v>
      </c>
      <c r="BR22" s="266"/>
      <c r="BS22" s="126">
        <f t="shared" si="37"/>
        <v>0</v>
      </c>
      <c r="BT22" s="91"/>
      <c r="BU22" s="267"/>
      <c r="BV22" s="126">
        <f t="shared" si="38"/>
        <v>0</v>
      </c>
      <c r="BW22" s="91"/>
      <c r="BX22" s="267"/>
      <c r="BY22" s="126">
        <f t="shared" si="39"/>
        <v>0</v>
      </c>
      <c r="BZ22" s="91"/>
      <c r="CA22" s="133">
        <f t="shared" si="40"/>
        <v>0</v>
      </c>
      <c r="CB22" s="266"/>
      <c r="CC22" s="126">
        <f t="shared" si="41"/>
        <v>0</v>
      </c>
      <c r="CD22" s="91"/>
      <c r="CE22" s="265"/>
      <c r="CF22" s="126">
        <f t="shared" si="42"/>
        <v>0</v>
      </c>
      <c r="CG22" s="91"/>
      <c r="CH22" s="265"/>
      <c r="CI22" s="126">
        <f t="shared" si="43"/>
        <v>0</v>
      </c>
      <c r="CJ22" s="150"/>
      <c r="CK22" s="268">
        <f t="shared" si="44"/>
        <v>3000</v>
      </c>
      <c r="CL22" s="150"/>
      <c r="CM22" s="268">
        <f t="shared" si="45"/>
        <v>0</v>
      </c>
      <c r="CN22" s="129">
        <v>0.94</v>
      </c>
      <c r="CO22" s="81">
        <f t="shared" si="46"/>
        <v>0</v>
      </c>
      <c r="CP22" s="91"/>
      <c r="CQ22" s="145">
        <f t="shared" si="47"/>
        <v>0</v>
      </c>
      <c r="CR22" s="138">
        <v>0.55</v>
      </c>
      <c r="CS22" s="145">
        <f t="shared" si="48"/>
        <v>0</v>
      </c>
      <c r="CT22" s="91"/>
      <c r="CU22" s="145">
        <f t="shared" si="49"/>
        <v>0</v>
      </c>
      <c r="CV22" s="138">
        <v>0.55</v>
      </c>
      <c r="CW22" s="145">
        <f t="shared" si="50"/>
        <v>0</v>
      </c>
      <c r="CX22" s="91"/>
      <c r="CY22" s="145">
        <f t="shared" si="51"/>
        <v>0</v>
      </c>
      <c r="CZ22" s="138">
        <v>0.35</v>
      </c>
      <c r="DA22" s="145">
        <f t="shared" si="52"/>
        <v>0</v>
      </c>
      <c r="DB22" s="150"/>
      <c r="DC22" s="269">
        <f t="shared" si="53"/>
        <v>0</v>
      </c>
      <c r="DD22" s="91"/>
      <c r="DE22" s="145">
        <f t="shared" si="54"/>
        <v>9500</v>
      </c>
      <c r="DF22" s="91"/>
      <c r="DG22" s="145">
        <f t="shared" si="55"/>
        <v>0</v>
      </c>
      <c r="DH22" s="91"/>
      <c r="DI22" s="145">
        <f t="shared" si="56"/>
        <v>0</v>
      </c>
      <c r="DJ22" s="91"/>
      <c r="DK22" s="145">
        <f t="shared" si="57"/>
        <v>0</v>
      </c>
      <c r="DL22" s="91"/>
      <c r="DM22" s="126">
        <f t="shared" si="58"/>
        <v>0</v>
      </c>
      <c r="DN22" s="150"/>
      <c r="DO22" s="271">
        <f t="shared" si="59"/>
        <v>0</v>
      </c>
      <c r="DP22" s="91"/>
      <c r="DQ22" s="246">
        <f t="shared" si="60"/>
        <v>0</v>
      </c>
      <c r="DR22" s="91"/>
      <c r="DS22" s="149">
        <f t="shared" si="61"/>
        <v>0</v>
      </c>
      <c r="DT22" s="91"/>
      <c r="DU22" s="246">
        <f t="shared" si="62"/>
        <v>0</v>
      </c>
      <c r="DV22" s="91"/>
      <c r="DW22" s="246">
        <f t="shared" si="63"/>
        <v>0</v>
      </c>
      <c r="DX22" s="91"/>
      <c r="DY22" s="246">
        <f t="shared" si="64"/>
        <v>0</v>
      </c>
      <c r="DZ22" s="91"/>
      <c r="EA22" s="246">
        <f t="shared" si="65"/>
        <v>0</v>
      </c>
      <c r="EB22" s="91"/>
      <c r="EC22" s="246">
        <f t="shared" si="66"/>
        <v>0</v>
      </c>
      <c r="ED22" s="91"/>
      <c r="EE22" s="246">
        <f t="shared" si="67"/>
        <v>0</v>
      </c>
      <c r="EF22" s="91"/>
      <c r="EG22" s="246">
        <f t="shared" si="68"/>
        <v>0</v>
      </c>
      <c r="EH22" s="150"/>
    </row>
    <row r="23" ht="14.25" customHeight="1">
      <c r="B23" s="52" t="s">
        <v>209</v>
      </c>
      <c r="C23" s="152">
        <f t="shared" si="4"/>
        <v>0</v>
      </c>
      <c r="D23" s="153">
        <v>0.82</v>
      </c>
      <c r="E23" s="154">
        <f t="shared" si="5"/>
        <v>0</v>
      </c>
      <c r="F23" s="155"/>
      <c r="G23" s="156">
        <f t="shared" si="6"/>
        <v>7674.626866</v>
      </c>
      <c r="H23" s="157">
        <v>0.335</v>
      </c>
      <c r="I23" s="154">
        <f t="shared" si="7"/>
        <v>2571</v>
      </c>
      <c r="J23" s="155"/>
      <c r="K23" s="154">
        <f t="shared" si="8"/>
        <v>0</v>
      </c>
      <c r="L23" s="153">
        <v>0.27</v>
      </c>
      <c r="M23" s="154">
        <f t="shared" si="9"/>
        <v>0</v>
      </c>
      <c r="N23" s="155"/>
      <c r="O23" s="156">
        <f t="shared" si="10"/>
        <v>79126.66667</v>
      </c>
      <c r="P23" s="153">
        <v>0.39</v>
      </c>
      <c r="Q23" s="126">
        <f t="shared" si="11"/>
        <v>23738</v>
      </c>
      <c r="R23" s="155"/>
      <c r="S23" s="169">
        <f t="shared" si="12"/>
        <v>0</v>
      </c>
      <c r="T23" s="153">
        <v>0.46</v>
      </c>
      <c r="U23" s="154">
        <f t="shared" si="13"/>
        <v>0</v>
      </c>
      <c r="V23" s="155"/>
      <c r="W23" s="158">
        <f t="shared" si="14"/>
        <v>24972.72727</v>
      </c>
      <c r="X23" s="264">
        <v>0.22</v>
      </c>
      <c r="Y23" s="169">
        <f t="shared" si="15"/>
        <v>5494</v>
      </c>
      <c r="Z23" s="155"/>
      <c r="AA23" s="158">
        <f t="shared" si="16"/>
        <v>0</v>
      </c>
      <c r="AB23" s="161">
        <v>0.46</v>
      </c>
      <c r="AC23" s="154">
        <f t="shared" si="17"/>
        <v>0</v>
      </c>
      <c r="AD23" s="155"/>
      <c r="AE23" s="158">
        <f t="shared" si="18"/>
        <v>0</v>
      </c>
      <c r="AF23" s="272"/>
      <c r="AG23" s="154">
        <f t="shared" si="19"/>
        <v>0</v>
      </c>
      <c r="AH23" s="155"/>
      <c r="AI23" s="158">
        <f t="shared" si="20"/>
        <v>0</v>
      </c>
      <c r="AJ23" s="163">
        <v>0.6</v>
      </c>
      <c r="AK23" s="154">
        <f t="shared" si="21"/>
        <v>0</v>
      </c>
      <c r="AL23" s="155"/>
      <c r="AM23" s="158">
        <f t="shared" si="22"/>
        <v>0</v>
      </c>
      <c r="AN23" s="272"/>
      <c r="AO23" s="154">
        <f t="shared" si="23"/>
        <v>0</v>
      </c>
      <c r="AP23" s="165"/>
      <c r="AQ23" s="166">
        <f t="shared" si="24"/>
        <v>0</v>
      </c>
      <c r="AR23" s="272"/>
      <c r="AS23" s="154">
        <f t="shared" si="25"/>
        <v>0</v>
      </c>
      <c r="AT23" s="155"/>
      <c r="AU23" s="272"/>
      <c r="AV23" s="154">
        <f t="shared" si="26"/>
        <v>0</v>
      </c>
      <c r="AW23" s="155"/>
      <c r="AX23" s="156">
        <f t="shared" si="27"/>
        <v>0</v>
      </c>
      <c r="AY23" s="167">
        <v>0.44</v>
      </c>
      <c r="AZ23" s="154">
        <f t="shared" si="28"/>
        <v>0</v>
      </c>
      <c r="BA23" s="155"/>
      <c r="BB23" s="158">
        <f t="shared" si="29"/>
        <v>0</v>
      </c>
      <c r="BC23" s="273"/>
      <c r="BD23" s="154">
        <f t="shared" si="30"/>
        <v>0</v>
      </c>
      <c r="BE23" s="155"/>
      <c r="BF23" s="273"/>
      <c r="BG23" s="169">
        <f t="shared" si="31"/>
        <v>0</v>
      </c>
      <c r="BH23" s="155"/>
      <c r="BI23" s="156">
        <f t="shared" si="32"/>
        <v>0</v>
      </c>
      <c r="BJ23" s="153">
        <v>0.54</v>
      </c>
      <c r="BK23" s="154">
        <f t="shared" si="33"/>
        <v>0</v>
      </c>
      <c r="BL23" s="155"/>
      <c r="BM23" s="156">
        <f t="shared" si="34"/>
        <v>0</v>
      </c>
      <c r="BN23" s="167">
        <v>0.46</v>
      </c>
      <c r="BO23" s="154">
        <f t="shared" si="35"/>
        <v>0</v>
      </c>
      <c r="BP23" s="165"/>
      <c r="BQ23" s="146">
        <f t="shared" si="36"/>
        <v>0</v>
      </c>
      <c r="BR23" s="273"/>
      <c r="BS23" s="154">
        <f t="shared" si="37"/>
        <v>0</v>
      </c>
      <c r="BT23" s="155"/>
      <c r="BU23" s="274"/>
      <c r="BV23" s="154">
        <f t="shared" si="38"/>
        <v>0</v>
      </c>
      <c r="BW23" s="155"/>
      <c r="BX23" s="274"/>
      <c r="BY23" s="154">
        <f t="shared" si="39"/>
        <v>0</v>
      </c>
      <c r="BZ23" s="155"/>
      <c r="CA23" s="158">
        <f t="shared" si="40"/>
        <v>0</v>
      </c>
      <c r="CB23" s="273"/>
      <c r="CC23" s="154">
        <f t="shared" si="41"/>
        <v>0</v>
      </c>
      <c r="CD23" s="155"/>
      <c r="CE23" s="272"/>
      <c r="CF23" s="154">
        <f t="shared" si="42"/>
        <v>0</v>
      </c>
      <c r="CG23" s="155"/>
      <c r="CH23" s="272"/>
      <c r="CI23" s="154">
        <f t="shared" si="43"/>
        <v>0</v>
      </c>
      <c r="CJ23" s="165"/>
      <c r="CK23" s="275">
        <f t="shared" si="44"/>
        <v>3000</v>
      </c>
      <c r="CL23" s="165"/>
      <c r="CM23" s="275">
        <f t="shared" si="45"/>
        <v>0</v>
      </c>
      <c r="CN23" s="153">
        <v>0.94</v>
      </c>
      <c r="CO23" s="154">
        <f t="shared" si="46"/>
        <v>0</v>
      </c>
      <c r="CP23" s="155"/>
      <c r="CQ23" s="169">
        <f t="shared" si="47"/>
        <v>0</v>
      </c>
      <c r="CR23" s="163">
        <v>0.55</v>
      </c>
      <c r="CS23" s="169">
        <f t="shared" si="48"/>
        <v>0</v>
      </c>
      <c r="CT23" s="155"/>
      <c r="CU23" s="169">
        <f t="shared" si="49"/>
        <v>0</v>
      </c>
      <c r="CV23" s="163">
        <v>0.55</v>
      </c>
      <c r="CW23" s="169">
        <f t="shared" si="50"/>
        <v>0</v>
      </c>
      <c r="CX23" s="155"/>
      <c r="CY23" s="169">
        <f t="shared" si="51"/>
        <v>0</v>
      </c>
      <c r="CZ23" s="163">
        <v>0.35</v>
      </c>
      <c r="DA23" s="169">
        <f t="shared" si="52"/>
        <v>0</v>
      </c>
      <c r="DB23" s="165"/>
      <c r="DC23" s="276">
        <f t="shared" si="53"/>
        <v>0</v>
      </c>
      <c r="DD23" s="155"/>
      <c r="DE23" s="169">
        <f t="shared" si="54"/>
        <v>9500</v>
      </c>
      <c r="DF23" s="155"/>
      <c r="DG23" s="169">
        <f t="shared" si="55"/>
        <v>0</v>
      </c>
      <c r="DH23" s="155"/>
      <c r="DI23" s="169">
        <f t="shared" si="56"/>
        <v>0</v>
      </c>
      <c r="DJ23" s="155"/>
      <c r="DK23" s="169">
        <f t="shared" si="57"/>
        <v>0</v>
      </c>
      <c r="DL23" s="155"/>
      <c r="DM23" s="154">
        <f t="shared" si="58"/>
        <v>0</v>
      </c>
      <c r="DN23" s="165"/>
      <c r="DO23" s="277">
        <f t="shared" si="59"/>
        <v>0</v>
      </c>
      <c r="DP23" s="155"/>
      <c r="DQ23" s="278">
        <f t="shared" si="60"/>
        <v>0</v>
      </c>
      <c r="DR23" s="155"/>
      <c r="DS23" s="170">
        <f t="shared" si="61"/>
        <v>0</v>
      </c>
      <c r="DT23" s="155"/>
      <c r="DU23" s="278">
        <f t="shared" si="62"/>
        <v>0</v>
      </c>
      <c r="DV23" s="155"/>
      <c r="DW23" s="278">
        <f t="shared" si="63"/>
        <v>0</v>
      </c>
      <c r="DX23" s="155"/>
      <c r="DY23" s="278">
        <f t="shared" si="64"/>
        <v>0</v>
      </c>
      <c r="DZ23" s="155"/>
      <c r="EA23" s="278">
        <f t="shared" si="65"/>
        <v>0</v>
      </c>
      <c r="EB23" s="155"/>
      <c r="EC23" s="278">
        <f t="shared" si="66"/>
        <v>0</v>
      </c>
      <c r="ED23" s="155"/>
      <c r="EE23" s="278">
        <f t="shared" si="67"/>
        <v>0</v>
      </c>
      <c r="EF23" s="155"/>
      <c r="EG23" s="278">
        <f t="shared" si="68"/>
        <v>0</v>
      </c>
      <c r="EH23" s="165"/>
    </row>
    <row r="24" ht="14.25" customHeight="1">
      <c r="B24" s="171" t="s">
        <v>149</v>
      </c>
      <c r="C24" s="172">
        <f>SUM(C19:C23)</f>
        <v>0</v>
      </c>
      <c r="E24" s="173">
        <f>SUM(E19:E23)</f>
        <v>0</v>
      </c>
      <c r="G24" s="172">
        <f>SUM(G19:G23)</f>
        <v>38373.13433</v>
      </c>
      <c r="I24" s="173">
        <f>SUM(I19:I23)</f>
        <v>12855</v>
      </c>
      <c r="K24" s="172">
        <f>SUM(K19:K23)</f>
        <v>0</v>
      </c>
      <c r="M24" s="173">
        <f>SUM(M19:M23)</f>
        <v>0</v>
      </c>
      <c r="O24" s="172">
        <f>SUM(O19:O23)</f>
        <v>395633.3333</v>
      </c>
      <c r="Q24" s="174">
        <f>SUM(Q19:Q23)</f>
        <v>118690</v>
      </c>
      <c r="S24" s="172">
        <f>SUM(S19:S23)</f>
        <v>0</v>
      </c>
      <c r="U24" s="173">
        <f>SUM(U19:U23)</f>
        <v>0</v>
      </c>
      <c r="W24" s="172">
        <f>SUM(W19:W23)</f>
        <v>124863.6364</v>
      </c>
      <c r="Y24" s="173">
        <f>SUM(Y19:Y23)</f>
        <v>27470</v>
      </c>
      <c r="AA24" s="172">
        <f>SUM(AA19:AA23)</f>
        <v>0</v>
      </c>
      <c r="AC24" s="174">
        <f>SUM(AC19:AC23)</f>
        <v>0</v>
      </c>
      <c r="AE24" s="176">
        <f>SUM(AE19:AE23)</f>
        <v>0</v>
      </c>
      <c r="AG24" s="173">
        <f>SUM(AG19:AG23)</f>
        <v>0</v>
      </c>
      <c r="AI24" s="172">
        <f>SUM(AI19:AI23)</f>
        <v>0</v>
      </c>
      <c r="AK24" s="173">
        <f>SUM(AK19:AK23)</f>
        <v>0</v>
      </c>
      <c r="AM24" s="176">
        <f>SUM(AM19:AM23)</f>
        <v>0</v>
      </c>
      <c r="AO24" s="174">
        <f>SUM(AO19:AO23)</f>
        <v>0</v>
      </c>
      <c r="AQ24" s="172">
        <f>SUM(AQ19:AQ23)</f>
        <v>0</v>
      </c>
      <c r="AS24" s="173">
        <f>SUM(AS19:AS23)</f>
        <v>0</v>
      </c>
      <c r="AV24" s="174">
        <f>SUM(AV19:AV23)</f>
        <v>0</v>
      </c>
      <c r="AZ24" s="174">
        <f>SUM(AZ19:AZ23)</f>
        <v>0</v>
      </c>
      <c r="BB24" s="176">
        <f>SUM(BB19:BB23)</f>
        <v>0</v>
      </c>
      <c r="BD24" s="174">
        <f>SUM(BD19:BD23)</f>
        <v>0</v>
      </c>
      <c r="BG24" s="174">
        <f>SUM(BG19:BG23)</f>
        <v>0</v>
      </c>
      <c r="BK24" s="174">
        <f>SUM(BK19:BK23)</f>
        <v>0</v>
      </c>
      <c r="BO24" s="174">
        <f>SUM(BO19:BO23)</f>
        <v>0</v>
      </c>
      <c r="BQ24" s="176">
        <f>SUM(BQ19:BQ23)</f>
        <v>0</v>
      </c>
      <c r="BS24" s="174">
        <f>SUM(BS19:BS23)</f>
        <v>0</v>
      </c>
      <c r="BV24" s="174">
        <f>SUM(BV19:BV23)</f>
        <v>0</v>
      </c>
      <c r="BY24" s="174">
        <f>SUM(BY19:BY23)</f>
        <v>0</v>
      </c>
      <c r="CA24" s="172">
        <f>SUM(CA19:CA23)</f>
        <v>0</v>
      </c>
      <c r="CC24" s="173">
        <f>SUM(CC19:CC23)</f>
        <v>0</v>
      </c>
      <c r="CF24" s="173">
        <f>SUM(CF19:CF23)</f>
        <v>0</v>
      </c>
      <c r="CI24" s="173">
        <f>SUM(CI19:CI23)</f>
        <v>0</v>
      </c>
      <c r="CK24" s="173">
        <f>SUM(CK19:CK23)</f>
        <v>15000</v>
      </c>
      <c r="CM24" s="279">
        <f>SUM(CM19:CM23)</f>
        <v>0</v>
      </c>
      <c r="CN24" s="178"/>
      <c r="CO24" s="179">
        <f>SUM(CO19:CO23)</f>
        <v>0</v>
      </c>
      <c r="CQ24" s="174">
        <f>SUM(CQ19:CQ23)</f>
        <v>0</v>
      </c>
      <c r="CR24" s="180"/>
      <c r="CS24" s="181">
        <f> SUM(CS19:CS23)</f>
        <v>0</v>
      </c>
      <c r="CT24" s="180"/>
      <c r="CU24" s="174">
        <f>SUM(CU19:CU23)</f>
        <v>0</v>
      </c>
      <c r="CV24" s="180"/>
      <c r="CW24" s="181">
        <f> SUM(CW19:CW23)</f>
        <v>0</v>
      </c>
      <c r="CX24" s="180"/>
      <c r="CY24" s="174">
        <f>SUM(CY19:CY23)</f>
        <v>0</v>
      </c>
      <c r="CZ24" s="180"/>
      <c r="DA24" s="181">
        <f> SUM(DA19:DA23)</f>
        <v>0</v>
      </c>
      <c r="DB24" s="180"/>
      <c r="DC24" s="174">
        <f>SUM(DC19:DC23)</f>
        <v>0</v>
      </c>
      <c r="DE24" s="174">
        <f>SUM(DE19:DE23)</f>
        <v>47500</v>
      </c>
      <c r="DG24" s="174">
        <f>SUM(DG19:DG23)</f>
        <v>0</v>
      </c>
      <c r="DI24" s="174">
        <f>SUM(DI19:DI23)</f>
        <v>0</v>
      </c>
      <c r="DK24" s="174">
        <f>SUM(DK19:DK23)</f>
        <v>0</v>
      </c>
      <c r="DM24" s="174">
        <f>SUM(DM19:DM23)</f>
        <v>0</v>
      </c>
      <c r="DO24" s="174">
        <f>SUM(DO19:DO23)</f>
        <v>0</v>
      </c>
      <c r="DQ24" s="174">
        <f>SUM(DQ19:DQ23)</f>
        <v>0</v>
      </c>
      <c r="DS24" s="176">
        <f>SUM(DS19:DS23)</f>
        <v>0</v>
      </c>
      <c r="DU24" s="174">
        <f>SUM(DU19:DU23)</f>
        <v>0</v>
      </c>
      <c r="DW24" s="174">
        <f>SUM(DW19:DW23)</f>
        <v>0</v>
      </c>
      <c r="DY24" s="174">
        <f>SUM(DY19:DY23)</f>
        <v>0</v>
      </c>
      <c r="EA24" s="174">
        <f>SUM(EA19:EA23)</f>
        <v>0</v>
      </c>
      <c r="EC24" s="174">
        <f>SUM(EC19:EC23)</f>
        <v>0</v>
      </c>
      <c r="EE24" s="174">
        <f>SUM(EE19:EE23)</f>
        <v>0</v>
      </c>
      <c r="EG24" s="174">
        <f>SUM(EG19:EG23)</f>
        <v>0</v>
      </c>
    </row>
    <row r="25" ht="14.25" customHeight="1"/>
    <row r="26" ht="14.25" customHeight="1">
      <c r="B26" s="184" t="s">
        <v>150</v>
      </c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200"/>
      <c r="Q26" s="200"/>
      <c r="R26" s="200"/>
      <c r="S26" s="200"/>
      <c r="T26" s="200"/>
      <c r="U26" s="200"/>
      <c r="V26" s="200"/>
      <c r="W26" s="200"/>
      <c r="X26" s="200"/>
      <c r="Y26" s="200"/>
      <c r="Z26" s="200"/>
      <c r="AA26" s="200"/>
      <c r="AB26" s="200"/>
      <c r="AC26" s="200"/>
      <c r="AD26" s="200"/>
      <c r="AE26" s="200"/>
      <c r="AF26" s="200"/>
      <c r="AG26" s="200"/>
      <c r="AH26" s="200"/>
      <c r="AI26" s="200"/>
      <c r="AJ26" s="200"/>
      <c r="AK26" s="200"/>
      <c r="AL26" s="200"/>
      <c r="AM26" s="200"/>
      <c r="AN26" s="200"/>
      <c r="AO26" s="184"/>
      <c r="AP26" s="79"/>
      <c r="AQ26" s="185"/>
      <c r="AR26" s="185"/>
      <c r="AS26" s="185"/>
    </row>
    <row r="27" ht="15.0" customHeight="1">
      <c r="B27" s="280"/>
      <c r="C27" s="281" t="s">
        <v>99</v>
      </c>
      <c r="D27" s="282"/>
      <c r="E27" s="282"/>
      <c r="F27" s="282"/>
      <c r="G27" s="282"/>
      <c r="H27" s="282"/>
      <c r="I27" s="282"/>
      <c r="J27" s="282"/>
      <c r="K27" s="282"/>
      <c r="L27" s="282"/>
      <c r="M27" s="282"/>
      <c r="N27" s="282"/>
      <c r="O27" s="282"/>
      <c r="P27" s="282"/>
      <c r="Q27" s="282"/>
      <c r="R27" s="282"/>
      <c r="S27" s="283"/>
      <c r="T27" s="284" t="s">
        <v>151</v>
      </c>
      <c r="U27" s="285" t="s">
        <v>51</v>
      </c>
      <c r="V27" s="39"/>
      <c r="W27" s="39"/>
      <c r="X27" s="40"/>
      <c r="Y27" s="286" t="s">
        <v>52</v>
      </c>
      <c r="Z27" s="39"/>
      <c r="AA27" s="39"/>
      <c r="AB27" s="39"/>
      <c r="AC27" s="39"/>
      <c r="AD27" s="40"/>
      <c r="AE27" s="286" t="s">
        <v>152</v>
      </c>
      <c r="AF27" s="39"/>
      <c r="AG27" s="39"/>
      <c r="AH27" s="39"/>
      <c r="AI27" s="39"/>
      <c r="AJ27" s="39"/>
      <c r="AK27" s="39"/>
      <c r="AL27" s="39"/>
      <c r="AM27" s="39"/>
      <c r="AN27" s="40"/>
      <c r="AO27" s="287" t="s">
        <v>153</v>
      </c>
      <c r="AP27" s="191" t="s">
        <v>210</v>
      </c>
      <c r="AR27" s="192"/>
    </row>
    <row r="28" ht="15.0" customHeight="1">
      <c r="B28" s="111"/>
      <c r="C28" s="49" t="s">
        <v>47</v>
      </c>
      <c r="D28" s="50"/>
      <c r="E28" s="50"/>
      <c r="F28" s="50"/>
      <c r="G28" s="50"/>
      <c r="H28" s="50"/>
      <c r="I28" s="50"/>
      <c r="J28" s="50"/>
      <c r="K28" s="50"/>
      <c r="L28" s="51"/>
      <c r="M28" s="52" t="s">
        <v>48</v>
      </c>
      <c r="N28" s="50"/>
      <c r="O28" s="50"/>
      <c r="P28" s="50"/>
      <c r="Q28" s="51"/>
      <c r="R28" s="52" t="s">
        <v>49</v>
      </c>
      <c r="S28" s="53"/>
      <c r="T28" s="288" t="s">
        <v>155</v>
      </c>
      <c r="U28" s="112" t="s">
        <v>71</v>
      </c>
      <c r="V28" s="113" t="s">
        <v>72</v>
      </c>
      <c r="W28" s="81" t="s">
        <v>73</v>
      </c>
      <c r="X28" s="289" t="s">
        <v>156</v>
      </c>
      <c r="Y28" s="112" t="str">
        <f>DC15</f>
        <v>Bactériosol concentré</v>
      </c>
      <c r="Z28" s="113" t="str">
        <f>DE15</f>
        <v>Bactériolit concentré</v>
      </c>
      <c r="AA28" s="113" t="str">
        <f>DG15</f>
        <v/>
      </c>
      <c r="AB28" s="113" t="s">
        <v>157</v>
      </c>
      <c r="AC28" s="113" t="str">
        <f>DK15</f>
        <v/>
      </c>
      <c r="AD28" s="289" t="str">
        <f>DM15</f>
        <v/>
      </c>
      <c r="AE28" s="290" t="s">
        <v>77</v>
      </c>
      <c r="AF28" s="193" t="s">
        <v>78</v>
      </c>
      <c r="AG28" s="193" t="s">
        <v>79</v>
      </c>
      <c r="AH28" s="194" t="s">
        <v>80</v>
      </c>
      <c r="AI28" s="194" t="s">
        <v>81</v>
      </c>
      <c r="AJ28" s="194" t="s">
        <v>82</v>
      </c>
      <c r="AK28" s="194" t="s">
        <v>83</v>
      </c>
      <c r="AL28" s="194" t="s">
        <v>84</v>
      </c>
      <c r="AM28" s="194" t="s">
        <v>85</v>
      </c>
      <c r="AN28" s="291" t="s">
        <v>86</v>
      </c>
      <c r="AO28" s="292"/>
      <c r="AP28" s="91"/>
    </row>
    <row r="29" ht="15.0" customHeight="1">
      <c r="B29" s="111"/>
      <c r="C29" s="105" t="s">
        <v>106</v>
      </c>
      <c r="D29" s="50"/>
      <c r="E29" s="50"/>
      <c r="F29" s="50"/>
      <c r="G29" s="50"/>
      <c r="H29" s="51"/>
      <c r="I29" s="106" t="s">
        <v>107</v>
      </c>
      <c r="J29" s="51"/>
      <c r="K29" s="106" t="s">
        <v>108</v>
      </c>
      <c r="L29" s="51"/>
      <c r="M29" s="113" t="s">
        <v>109</v>
      </c>
      <c r="N29" s="113" t="s">
        <v>64</v>
      </c>
      <c r="O29" s="113" t="s">
        <v>111</v>
      </c>
      <c r="P29" s="113" t="s">
        <v>112</v>
      </c>
      <c r="Q29" s="113" t="s">
        <v>113</v>
      </c>
      <c r="R29" s="113" t="s">
        <v>114</v>
      </c>
      <c r="S29" s="289" t="s">
        <v>115</v>
      </c>
      <c r="T29" s="293"/>
      <c r="U29" s="294"/>
      <c r="V29" s="91"/>
      <c r="W29" s="91"/>
      <c r="X29" s="150"/>
      <c r="Y29" s="294"/>
      <c r="Z29" s="91"/>
      <c r="AA29" s="91"/>
      <c r="AB29" s="91"/>
      <c r="AC29" s="91"/>
      <c r="AD29" s="150"/>
      <c r="AE29" s="108"/>
      <c r="AF29" s="111"/>
      <c r="AG29" s="111"/>
      <c r="AH29" s="91"/>
      <c r="AI29" s="91"/>
      <c r="AJ29" s="91"/>
      <c r="AK29" s="91"/>
      <c r="AL29" s="91"/>
      <c r="AM29" s="91"/>
      <c r="AN29" s="150"/>
      <c r="AO29" s="292"/>
      <c r="AP29" s="91"/>
    </row>
    <row r="30" ht="14.25" customHeight="1">
      <c r="B30" s="118"/>
      <c r="C30" s="120" t="s">
        <v>53</v>
      </c>
      <c r="D30" s="121" t="s">
        <v>54</v>
      </c>
      <c r="E30" s="121" t="s">
        <v>55</v>
      </c>
      <c r="F30" s="121" t="s">
        <v>56</v>
      </c>
      <c r="G30" s="121" t="s">
        <v>57</v>
      </c>
      <c r="H30" s="121" t="s">
        <v>158</v>
      </c>
      <c r="I30" s="121" t="s">
        <v>59</v>
      </c>
      <c r="J30" s="121" t="s">
        <v>158</v>
      </c>
      <c r="K30" s="121" t="s">
        <v>61</v>
      </c>
      <c r="L30" s="121" t="s">
        <v>158</v>
      </c>
      <c r="M30" s="119"/>
      <c r="N30" s="119"/>
      <c r="O30" s="119"/>
      <c r="P30" s="119"/>
      <c r="Q30" s="119"/>
      <c r="R30" s="119"/>
      <c r="S30" s="295"/>
      <c r="T30" s="296"/>
      <c r="U30" s="123"/>
      <c r="V30" s="119"/>
      <c r="W30" s="119"/>
      <c r="X30" s="295"/>
      <c r="Y30" s="123"/>
      <c r="Z30" s="119"/>
      <c r="AA30" s="119"/>
      <c r="AB30" s="119"/>
      <c r="AC30" s="119"/>
      <c r="AD30" s="295"/>
      <c r="AE30" s="114"/>
      <c r="AF30" s="118"/>
      <c r="AG30" s="118"/>
      <c r="AH30" s="119"/>
      <c r="AI30" s="119"/>
      <c r="AJ30" s="119"/>
      <c r="AK30" s="119"/>
      <c r="AL30" s="119"/>
      <c r="AM30" s="119"/>
      <c r="AN30" s="295"/>
      <c r="AO30" s="297"/>
      <c r="AP30" s="119"/>
    </row>
    <row r="31" ht="14.25" customHeight="1">
      <c r="B31" s="52" t="s">
        <v>205</v>
      </c>
      <c r="C31" s="268">
        <f t="shared" ref="C31:C35" si="69">E19*$F$19</f>
        <v>0</v>
      </c>
      <c r="D31" s="126">
        <f t="shared" ref="D31:D35" si="70">I19*$J$19</f>
        <v>10206.87</v>
      </c>
      <c r="E31" s="126">
        <f t="shared" ref="E31:E35" si="71">M19*$N$19</f>
        <v>0</v>
      </c>
      <c r="F31" s="126">
        <f t="shared" ref="F31:F35" si="72">Q19*$R$19</f>
        <v>118452.62</v>
      </c>
      <c r="G31" s="126">
        <f t="shared" ref="G31:G35" si="73">U19*$V$19</f>
        <v>0</v>
      </c>
      <c r="H31" s="126">
        <f t="shared" ref="H31:H35" si="74">Y19*$Z$19</f>
        <v>27415.06</v>
      </c>
      <c r="I31" s="126">
        <f t="shared" ref="I31:I35" si="75">AC19*$AD$19</f>
        <v>0</v>
      </c>
      <c r="J31" s="126">
        <f t="shared" ref="J31:J35" si="76">AG19*$AH$19</f>
        <v>0</v>
      </c>
      <c r="K31" s="126">
        <f t="shared" ref="K31:K35" si="77">AK19*$AL$19</f>
        <v>0</v>
      </c>
      <c r="L31" s="126">
        <f t="shared" ref="L31:L35" si="78">AO19*$AP$19</f>
        <v>0</v>
      </c>
      <c r="M31" s="126">
        <f t="shared" ref="M31:M35" si="79">AS19*$AT$19+AV19*$AW$19</f>
        <v>0</v>
      </c>
      <c r="N31" s="126">
        <f t="shared" ref="N31:N35" si="80">AZ19*$BA$19</f>
        <v>0</v>
      </c>
      <c r="O31" s="126">
        <f t="shared" ref="O31:O35" si="81">BD19*$BE$19+BG19*$BH$19</f>
        <v>0</v>
      </c>
      <c r="P31" s="126">
        <f t="shared" ref="P31:P35" si="82">BK19*$BL$19</f>
        <v>0</v>
      </c>
      <c r="Q31" s="126">
        <f t="shared" ref="Q31:Q35" si="83">BO19*$BP$19</f>
        <v>0</v>
      </c>
      <c r="R31" s="126">
        <f t="shared" ref="R31:R35" si="84">BS19*$BT$19+BV19*$BW$19+BY19*$BZ$19</f>
        <v>0</v>
      </c>
      <c r="S31" s="298">
        <f t="shared" ref="S31:S35" si="85">CC19*$CD$19+CF19*$CG$19+CI19*$CJ$19</f>
        <v>0</v>
      </c>
      <c r="T31" s="299">
        <f t="shared" ref="T31:T35" si="86">CK19*$CL$19</f>
        <v>29583</v>
      </c>
      <c r="U31" s="268">
        <f t="shared" ref="U31:U35" si="87">CO19*$CP$19</f>
        <v>0</v>
      </c>
      <c r="V31" s="126">
        <f t="shared" ref="V31:V35" si="88">CS19*$CT$19</f>
        <v>0</v>
      </c>
      <c r="W31" s="126">
        <f t="shared" ref="W31:W35" si="89">CW19*$CX$19</f>
        <v>0</v>
      </c>
      <c r="X31" s="298">
        <f t="shared" ref="X31:X35" si="90">DA19*$DB$19</f>
        <v>0</v>
      </c>
      <c r="Y31" s="268">
        <f t="shared" ref="Y31:Y35" si="91">DC19*$DD$19</f>
        <v>0</v>
      </c>
      <c r="Z31" s="52">
        <f t="shared" ref="Z31:Z35" si="92">DE19*$DF$19</f>
        <v>13091</v>
      </c>
      <c r="AA31" s="52">
        <f t="shared" ref="AA31:AA35" si="93">DG19*$DH$19</f>
        <v>0</v>
      </c>
      <c r="AB31" s="52">
        <f t="shared" ref="AB31:AB35" si="94">DI19*$DJ$19</f>
        <v>0</v>
      </c>
      <c r="AC31" s="52">
        <f t="shared" ref="AC31:AC35" si="95">DK19*$DL$19</f>
        <v>0</v>
      </c>
      <c r="AD31" s="298">
        <f t="shared" ref="AD31:AD35" si="96">DM19*$DN$19</f>
        <v>0</v>
      </c>
      <c r="AE31" s="49">
        <f t="shared" ref="AE31:AE35" si="97">DO19*$DP$19</f>
        <v>0</v>
      </c>
      <c r="AF31" s="52">
        <f t="shared" ref="AF31:AF35" si="98">DQ19*$DR$19</f>
        <v>0</v>
      </c>
      <c r="AG31" s="52">
        <f t="shared" ref="AG31:AG35" si="99">DS19*$DT$19</f>
        <v>0</v>
      </c>
      <c r="AH31" s="52">
        <f t="shared" ref="AH31:AH35" si="100">DU19*$DV$19</f>
        <v>0</v>
      </c>
      <c r="AI31" s="52">
        <f t="shared" ref="AI31:AI35" si="101">DW19*$DX$19</f>
        <v>0</v>
      </c>
      <c r="AJ31" s="52">
        <f t="shared" ref="AJ31:AJ35" si="102">DY19*$DZ$19</f>
        <v>0</v>
      </c>
      <c r="AK31" s="52">
        <f t="shared" ref="AK31:AK35" si="103">EA19*$EB$19</f>
        <v>0</v>
      </c>
      <c r="AL31" s="52">
        <f t="shared" ref="AL31:AL35" si="104">EC19*$ED$19</f>
        <v>0</v>
      </c>
      <c r="AM31" s="52">
        <f t="shared" ref="AM31:AM35" si="105">EE19*$EF$19</f>
        <v>0</v>
      </c>
      <c r="AN31" s="298">
        <f t="shared" ref="AN31:AN35" si="106">EG19*$EH$19</f>
        <v>0</v>
      </c>
      <c r="AO31" s="300">
        <f t="shared" ref="AO31:AO35" si="107">SUM(C31:AN31)</f>
        <v>198748.55</v>
      </c>
      <c r="AP31" s="301">
        <f>AO31/'SUIVI RABAIS PRODUCTION ET C '!O9</f>
        <v>517.7631168</v>
      </c>
    </row>
    <row r="32" ht="14.25" customHeight="1">
      <c r="B32" s="52" t="s">
        <v>206</v>
      </c>
      <c r="C32" s="268">
        <f t="shared" si="69"/>
        <v>0</v>
      </c>
      <c r="D32" s="126">
        <f t="shared" si="70"/>
        <v>10206.87</v>
      </c>
      <c r="E32" s="126">
        <f t="shared" si="71"/>
        <v>0</v>
      </c>
      <c r="F32" s="126">
        <f t="shared" si="72"/>
        <v>118452.62</v>
      </c>
      <c r="G32" s="126">
        <f t="shared" si="73"/>
        <v>0</v>
      </c>
      <c r="H32" s="126">
        <f t="shared" si="74"/>
        <v>27415.06</v>
      </c>
      <c r="I32" s="126">
        <f t="shared" si="75"/>
        <v>0</v>
      </c>
      <c r="J32" s="126">
        <f t="shared" si="76"/>
        <v>0</v>
      </c>
      <c r="K32" s="126">
        <f t="shared" si="77"/>
        <v>0</v>
      </c>
      <c r="L32" s="126">
        <f t="shared" si="78"/>
        <v>0</v>
      </c>
      <c r="M32" s="126">
        <f t="shared" si="79"/>
        <v>0</v>
      </c>
      <c r="N32" s="126">
        <f t="shared" si="80"/>
        <v>0</v>
      </c>
      <c r="O32" s="126">
        <f t="shared" si="81"/>
        <v>0</v>
      </c>
      <c r="P32" s="126">
        <f t="shared" si="82"/>
        <v>0</v>
      </c>
      <c r="Q32" s="126">
        <f t="shared" si="83"/>
        <v>0</v>
      </c>
      <c r="R32" s="126">
        <f t="shared" si="84"/>
        <v>0</v>
      </c>
      <c r="S32" s="298">
        <f t="shared" si="85"/>
        <v>0</v>
      </c>
      <c r="T32" s="299">
        <f t="shared" si="86"/>
        <v>29583</v>
      </c>
      <c r="U32" s="268">
        <f t="shared" si="87"/>
        <v>0</v>
      </c>
      <c r="V32" s="126">
        <f t="shared" si="88"/>
        <v>0</v>
      </c>
      <c r="W32" s="126">
        <f t="shared" si="89"/>
        <v>0</v>
      </c>
      <c r="X32" s="298">
        <f t="shared" si="90"/>
        <v>0</v>
      </c>
      <c r="Y32" s="268">
        <f t="shared" si="91"/>
        <v>0</v>
      </c>
      <c r="Z32" s="52">
        <f t="shared" si="92"/>
        <v>13091</v>
      </c>
      <c r="AA32" s="52">
        <f t="shared" si="93"/>
        <v>0</v>
      </c>
      <c r="AB32" s="52">
        <f t="shared" si="94"/>
        <v>0</v>
      </c>
      <c r="AC32" s="52">
        <f t="shared" si="95"/>
        <v>0</v>
      </c>
      <c r="AD32" s="298">
        <f t="shared" si="96"/>
        <v>0</v>
      </c>
      <c r="AE32" s="49">
        <f t="shared" si="97"/>
        <v>0</v>
      </c>
      <c r="AF32" s="52">
        <f t="shared" si="98"/>
        <v>0</v>
      </c>
      <c r="AG32" s="52">
        <f t="shared" si="99"/>
        <v>0</v>
      </c>
      <c r="AH32" s="52">
        <f t="shared" si="100"/>
        <v>0</v>
      </c>
      <c r="AI32" s="52">
        <f t="shared" si="101"/>
        <v>0</v>
      </c>
      <c r="AJ32" s="52">
        <f t="shared" si="102"/>
        <v>0</v>
      </c>
      <c r="AK32" s="52">
        <f t="shared" si="103"/>
        <v>0</v>
      </c>
      <c r="AL32" s="52">
        <f t="shared" si="104"/>
        <v>0</v>
      </c>
      <c r="AM32" s="52">
        <f t="shared" si="105"/>
        <v>0</v>
      </c>
      <c r="AN32" s="298">
        <f t="shared" si="106"/>
        <v>0</v>
      </c>
      <c r="AO32" s="300">
        <f t="shared" si="107"/>
        <v>198748.55</v>
      </c>
      <c r="AP32" s="301">
        <f>AO32/'SUIVI RABAIS PRODUCTION ET C '!P9</f>
        <v>517.7631168</v>
      </c>
    </row>
    <row r="33" ht="14.25" customHeight="1">
      <c r="B33" s="52" t="s">
        <v>207</v>
      </c>
      <c r="C33" s="268">
        <f t="shared" si="69"/>
        <v>0</v>
      </c>
      <c r="D33" s="126">
        <f t="shared" si="70"/>
        <v>10206.87</v>
      </c>
      <c r="E33" s="126">
        <f t="shared" si="71"/>
        <v>0</v>
      </c>
      <c r="F33" s="126">
        <f t="shared" si="72"/>
        <v>118452.62</v>
      </c>
      <c r="G33" s="126">
        <f t="shared" si="73"/>
        <v>0</v>
      </c>
      <c r="H33" s="126">
        <f t="shared" si="74"/>
        <v>27415.06</v>
      </c>
      <c r="I33" s="126">
        <f t="shared" si="75"/>
        <v>0</v>
      </c>
      <c r="J33" s="126">
        <f t="shared" si="76"/>
        <v>0</v>
      </c>
      <c r="K33" s="126">
        <f t="shared" si="77"/>
        <v>0</v>
      </c>
      <c r="L33" s="126">
        <f t="shared" si="78"/>
        <v>0</v>
      </c>
      <c r="M33" s="126">
        <f t="shared" si="79"/>
        <v>0</v>
      </c>
      <c r="N33" s="126">
        <f t="shared" si="80"/>
        <v>0</v>
      </c>
      <c r="O33" s="126">
        <f t="shared" si="81"/>
        <v>0</v>
      </c>
      <c r="P33" s="126">
        <f t="shared" si="82"/>
        <v>0</v>
      </c>
      <c r="Q33" s="126">
        <f t="shared" si="83"/>
        <v>0</v>
      </c>
      <c r="R33" s="126">
        <f t="shared" si="84"/>
        <v>0</v>
      </c>
      <c r="S33" s="298">
        <f t="shared" si="85"/>
        <v>0</v>
      </c>
      <c r="T33" s="299">
        <f t="shared" si="86"/>
        <v>29583</v>
      </c>
      <c r="U33" s="268">
        <f t="shared" si="87"/>
        <v>0</v>
      </c>
      <c r="V33" s="126">
        <f t="shared" si="88"/>
        <v>0</v>
      </c>
      <c r="W33" s="126">
        <f t="shared" si="89"/>
        <v>0</v>
      </c>
      <c r="X33" s="298">
        <f t="shared" si="90"/>
        <v>0</v>
      </c>
      <c r="Y33" s="268">
        <f t="shared" si="91"/>
        <v>0</v>
      </c>
      <c r="Z33" s="52">
        <f t="shared" si="92"/>
        <v>13091</v>
      </c>
      <c r="AA33" s="52">
        <f t="shared" si="93"/>
        <v>0</v>
      </c>
      <c r="AB33" s="52">
        <f t="shared" si="94"/>
        <v>0</v>
      </c>
      <c r="AC33" s="52">
        <f t="shared" si="95"/>
        <v>0</v>
      </c>
      <c r="AD33" s="298">
        <f t="shared" si="96"/>
        <v>0</v>
      </c>
      <c r="AE33" s="49">
        <f t="shared" si="97"/>
        <v>0</v>
      </c>
      <c r="AF33" s="52">
        <f t="shared" si="98"/>
        <v>0</v>
      </c>
      <c r="AG33" s="52">
        <f t="shared" si="99"/>
        <v>0</v>
      </c>
      <c r="AH33" s="52">
        <f t="shared" si="100"/>
        <v>0</v>
      </c>
      <c r="AI33" s="52">
        <f t="shared" si="101"/>
        <v>0</v>
      </c>
      <c r="AJ33" s="52">
        <f t="shared" si="102"/>
        <v>0</v>
      </c>
      <c r="AK33" s="52">
        <f t="shared" si="103"/>
        <v>0</v>
      </c>
      <c r="AL33" s="52">
        <f t="shared" si="104"/>
        <v>0</v>
      </c>
      <c r="AM33" s="52">
        <f t="shared" si="105"/>
        <v>0</v>
      </c>
      <c r="AN33" s="298">
        <f t="shared" si="106"/>
        <v>0</v>
      </c>
      <c r="AO33" s="300">
        <f t="shared" si="107"/>
        <v>198748.55</v>
      </c>
      <c r="AP33" s="301">
        <f>AO33/'SUIVI RABAIS PRODUCTION ET C '!Q9</f>
        <v>517.7631168</v>
      </c>
    </row>
    <row r="34" ht="14.25" customHeight="1">
      <c r="B34" s="52" t="s">
        <v>208</v>
      </c>
      <c r="C34" s="268">
        <f t="shared" si="69"/>
        <v>0</v>
      </c>
      <c r="D34" s="126">
        <f t="shared" si="70"/>
        <v>10206.87</v>
      </c>
      <c r="E34" s="126">
        <f t="shared" si="71"/>
        <v>0</v>
      </c>
      <c r="F34" s="126">
        <f t="shared" si="72"/>
        <v>118452.62</v>
      </c>
      <c r="G34" s="126">
        <f t="shared" si="73"/>
        <v>0</v>
      </c>
      <c r="H34" s="126">
        <f t="shared" si="74"/>
        <v>27415.06</v>
      </c>
      <c r="I34" s="126">
        <f t="shared" si="75"/>
        <v>0</v>
      </c>
      <c r="J34" s="126">
        <f t="shared" si="76"/>
        <v>0</v>
      </c>
      <c r="K34" s="126">
        <f t="shared" si="77"/>
        <v>0</v>
      </c>
      <c r="L34" s="126">
        <f t="shared" si="78"/>
        <v>0</v>
      </c>
      <c r="M34" s="126">
        <f t="shared" si="79"/>
        <v>0</v>
      </c>
      <c r="N34" s="126">
        <f t="shared" si="80"/>
        <v>0</v>
      </c>
      <c r="O34" s="126">
        <f t="shared" si="81"/>
        <v>0</v>
      </c>
      <c r="P34" s="126">
        <f t="shared" si="82"/>
        <v>0</v>
      </c>
      <c r="Q34" s="126">
        <f t="shared" si="83"/>
        <v>0</v>
      </c>
      <c r="R34" s="126">
        <f t="shared" si="84"/>
        <v>0</v>
      </c>
      <c r="S34" s="298">
        <f t="shared" si="85"/>
        <v>0</v>
      </c>
      <c r="T34" s="299">
        <f t="shared" si="86"/>
        <v>29583</v>
      </c>
      <c r="U34" s="268">
        <f t="shared" si="87"/>
        <v>0</v>
      </c>
      <c r="V34" s="126">
        <f t="shared" si="88"/>
        <v>0</v>
      </c>
      <c r="W34" s="126">
        <f t="shared" si="89"/>
        <v>0</v>
      </c>
      <c r="X34" s="298">
        <f t="shared" si="90"/>
        <v>0</v>
      </c>
      <c r="Y34" s="268">
        <f t="shared" si="91"/>
        <v>0</v>
      </c>
      <c r="Z34" s="52">
        <f t="shared" si="92"/>
        <v>13091</v>
      </c>
      <c r="AA34" s="52">
        <f t="shared" si="93"/>
        <v>0</v>
      </c>
      <c r="AB34" s="52">
        <f t="shared" si="94"/>
        <v>0</v>
      </c>
      <c r="AC34" s="52">
        <f t="shared" si="95"/>
        <v>0</v>
      </c>
      <c r="AD34" s="298">
        <f t="shared" si="96"/>
        <v>0</v>
      </c>
      <c r="AE34" s="49">
        <f t="shared" si="97"/>
        <v>0</v>
      </c>
      <c r="AF34" s="52">
        <f t="shared" si="98"/>
        <v>0</v>
      </c>
      <c r="AG34" s="52">
        <f t="shared" si="99"/>
        <v>0</v>
      </c>
      <c r="AH34" s="52">
        <f t="shared" si="100"/>
        <v>0</v>
      </c>
      <c r="AI34" s="52">
        <f t="shared" si="101"/>
        <v>0</v>
      </c>
      <c r="AJ34" s="52">
        <f t="shared" si="102"/>
        <v>0</v>
      </c>
      <c r="AK34" s="52">
        <f t="shared" si="103"/>
        <v>0</v>
      </c>
      <c r="AL34" s="52">
        <f t="shared" si="104"/>
        <v>0</v>
      </c>
      <c r="AM34" s="52">
        <f t="shared" si="105"/>
        <v>0</v>
      </c>
      <c r="AN34" s="298">
        <f t="shared" si="106"/>
        <v>0</v>
      </c>
      <c r="AO34" s="300">
        <f t="shared" si="107"/>
        <v>198748.55</v>
      </c>
      <c r="AP34" s="301">
        <f>AO34/'SUIVI RABAIS PRODUCTION ET C '!R9</f>
        <v>517.7631168</v>
      </c>
    </row>
    <row r="35" ht="14.25" customHeight="1">
      <c r="B35" s="52" t="s">
        <v>209</v>
      </c>
      <c r="C35" s="268">
        <f t="shared" si="69"/>
        <v>0</v>
      </c>
      <c r="D35" s="126">
        <f t="shared" si="70"/>
        <v>10206.87</v>
      </c>
      <c r="E35" s="126">
        <f t="shared" si="71"/>
        <v>0</v>
      </c>
      <c r="F35" s="126">
        <f t="shared" si="72"/>
        <v>118452.62</v>
      </c>
      <c r="G35" s="126">
        <f t="shared" si="73"/>
        <v>0</v>
      </c>
      <c r="H35" s="126">
        <f t="shared" si="74"/>
        <v>27415.06</v>
      </c>
      <c r="I35" s="126">
        <f t="shared" si="75"/>
        <v>0</v>
      </c>
      <c r="J35" s="126">
        <f t="shared" si="76"/>
        <v>0</v>
      </c>
      <c r="K35" s="126">
        <f t="shared" si="77"/>
        <v>0</v>
      </c>
      <c r="L35" s="126">
        <f t="shared" si="78"/>
        <v>0</v>
      </c>
      <c r="M35" s="126">
        <f t="shared" si="79"/>
        <v>0</v>
      </c>
      <c r="N35" s="126">
        <f t="shared" si="80"/>
        <v>0</v>
      </c>
      <c r="O35" s="126">
        <f t="shared" si="81"/>
        <v>0</v>
      </c>
      <c r="P35" s="126">
        <f t="shared" si="82"/>
        <v>0</v>
      </c>
      <c r="Q35" s="126">
        <f t="shared" si="83"/>
        <v>0</v>
      </c>
      <c r="R35" s="126">
        <f t="shared" si="84"/>
        <v>0</v>
      </c>
      <c r="S35" s="298">
        <f t="shared" si="85"/>
        <v>0</v>
      </c>
      <c r="T35" s="299">
        <f t="shared" si="86"/>
        <v>29583</v>
      </c>
      <c r="U35" s="268">
        <f t="shared" si="87"/>
        <v>0</v>
      </c>
      <c r="V35" s="126">
        <f t="shared" si="88"/>
        <v>0</v>
      </c>
      <c r="W35" s="126">
        <f t="shared" si="89"/>
        <v>0</v>
      </c>
      <c r="X35" s="298">
        <f t="shared" si="90"/>
        <v>0</v>
      </c>
      <c r="Y35" s="268">
        <f t="shared" si="91"/>
        <v>0</v>
      </c>
      <c r="Z35" s="52">
        <f t="shared" si="92"/>
        <v>13091</v>
      </c>
      <c r="AA35" s="52">
        <f t="shared" si="93"/>
        <v>0</v>
      </c>
      <c r="AB35" s="52">
        <f t="shared" si="94"/>
        <v>0</v>
      </c>
      <c r="AC35" s="52">
        <f t="shared" si="95"/>
        <v>0</v>
      </c>
      <c r="AD35" s="298">
        <f t="shared" si="96"/>
        <v>0</v>
      </c>
      <c r="AE35" s="49">
        <f t="shared" si="97"/>
        <v>0</v>
      </c>
      <c r="AF35" s="52">
        <f t="shared" si="98"/>
        <v>0</v>
      </c>
      <c r="AG35" s="52">
        <f t="shared" si="99"/>
        <v>0</v>
      </c>
      <c r="AH35" s="52">
        <f t="shared" si="100"/>
        <v>0</v>
      </c>
      <c r="AI35" s="52">
        <f t="shared" si="101"/>
        <v>0</v>
      </c>
      <c r="AJ35" s="52">
        <f t="shared" si="102"/>
        <v>0</v>
      </c>
      <c r="AK35" s="52">
        <f t="shared" si="103"/>
        <v>0</v>
      </c>
      <c r="AL35" s="52">
        <f t="shared" si="104"/>
        <v>0</v>
      </c>
      <c r="AM35" s="52">
        <f t="shared" si="105"/>
        <v>0</v>
      </c>
      <c r="AN35" s="298">
        <f t="shared" si="106"/>
        <v>0</v>
      </c>
      <c r="AO35" s="300">
        <f t="shared" si="107"/>
        <v>198748.55</v>
      </c>
      <c r="AP35" s="301">
        <f>AO35/'SUIVI RABAIS PRODUCTION ET C '!S9</f>
        <v>517.7631168</v>
      </c>
      <c r="DE35" s="197"/>
    </row>
    <row r="36" ht="14.25" customHeight="1">
      <c r="B36" s="302" t="s">
        <v>149</v>
      </c>
      <c r="C36" s="303">
        <f t="shared" ref="C36:AO36" si="108">SUM(C31:C35)</f>
        <v>0</v>
      </c>
      <c r="D36" s="304">
        <f t="shared" si="108"/>
        <v>51034.35</v>
      </c>
      <c r="E36" s="304">
        <f t="shared" si="108"/>
        <v>0</v>
      </c>
      <c r="F36" s="304">
        <f t="shared" si="108"/>
        <v>592263.1</v>
      </c>
      <c r="G36" s="304">
        <f t="shared" si="108"/>
        <v>0</v>
      </c>
      <c r="H36" s="304">
        <f t="shared" si="108"/>
        <v>137075.3</v>
      </c>
      <c r="I36" s="304">
        <f t="shared" si="108"/>
        <v>0</v>
      </c>
      <c r="J36" s="304">
        <f t="shared" si="108"/>
        <v>0</v>
      </c>
      <c r="K36" s="304">
        <f t="shared" si="108"/>
        <v>0</v>
      </c>
      <c r="L36" s="304">
        <f t="shared" si="108"/>
        <v>0</v>
      </c>
      <c r="M36" s="304">
        <f t="shared" si="108"/>
        <v>0</v>
      </c>
      <c r="N36" s="304">
        <f t="shared" si="108"/>
        <v>0</v>
      </c>
      <c r="O36" s="304">
        <f t="shared" si="108"/>
        <v>0</v>
      </c>
      <c r="P36" s="304">
        <f t="shared" si="108"/>
        <v>0</v>
      </c>
      <c r="Q36" s="304">
        <f t="shared" si="108"/>
        <v>0</v>
      </c>
      <c r="R36" s="304">
        <f t="shared" si="108"/>
        <v>0</v>
      </c>
      <c r="S36" s="305">
        <f t="shared" si="108"/>
        <v>0</v>
      </c>
      <c r="T36" s="306">
        <f t="shared" si="108"/>
        <v>147915</v>
      </c>
      <c r="U36" s="303">
        <f t="shared" si="108"/>
        <v>0</v>
      </c>
      <c r="V36" s="304">
        <f t="shared" si="108"/>
        <v>0</v>
      </c>
      <c r="W36" s="304">
        <f t="shared" si="108"/>
        <v>0</v>
      </c>
      <c r="X36" s="305">
        <f t="shared" si="108"/>
        <v>0</v>
      </c>
      <c r="Y36" s="303">
        <f t="shared" si="108"/>
        <v>0</v>
      </c>
      <c r="Z36" s="304">
        <f t="shared" si="108"/>
        <v>65455</v>
      </c>
      <c r="AA36" s="304">
        <f t="shared" si="108"/>
        <v>0</v>
      </c>
      <c r="AB36" s="304">
        <f t="shared" si="108"/>
        <v>0</v>
      </c>
      <c r="AC36" s="304">
        <f t="shared" si="108"/>
        <v>0</v>
      </c>
      <c r="AD36" s="305">
        <f t="shared" si="108"/>
        <v>0</v>
      </c>
      <c r="AE36" s="303">
        <f t="shared" si="108"/>
        <v>0</v>
      </c>
      <c r="AF36" s="304">
        <f t="shared" si="108"/>
        <v>0</v>
      </c>
      <c r="AG36" s="304">
        <f t="shared" si="108"/>
        <v>0</v>
      </c>
      <c r="AH36" s="304">
        <f t="shared" si="108"/>
        <v>0</v>
      </c>
      <c r="AI36" s="304">
        <f t="shared" si="108"/>
        <v>0</v>
      </c>
      <c r="AJ36" s="304">
        <f t="shared" si="108"/>
        <v>0</v>
      </c>
      <c r="AK36" s="304">
        <f t="shared" si="108"/>
        <v>0</v>
      </c>
      <c r="AL36" s="304">
        <f t="shared" si="108"/>
        <v>0</v>
      </c>
      <c r="AM36" s="304">
        <f t="shared" si="108"/>
        <v>0</v>
      </c>
      <c r="AN36" s="305">
        <f t="shared" si="108"/>
        <v>0</v>
      </c>
      <c r="AO36" s="307">
        <f t="shared" si="108"/>
        <v>993742.75</v>
      </c>
    </row>
    <row r="37" ht="14.25" customHeight="1"/>
    <row r="38" ht="14.25" customHeight="1">
      <c r="B38" s="200" t="s">
        <v>159</v>
      </c>
      <c r="C38" s="200"/>
      <c r="D38" s="200"/>
      <c r="E38" s="200"/>
      <c r="F38" s="200"/>
      <c r="G38" s="200"/>
      <c r="H38" s="200"/>
      <c r="I38" s="200"/>
      <c r="J38" s="200"/>
      <c r="K38" s="200"/>
      <c r="L38" s="200"/>
      <c r="M38" s="200"/>
      <c r="N38" s="200"/>
      <c r="O38" s="200"/>
      <c r="P38" s="200"/>
      <c r="Q38" s="200"/>
      <c r="R38" s="200"/>
      <c r="S38" s="200"/>
      <c r="T38" s="200"/>
      <c r="U38" s="200"/>
      <c r="V38" s="200"/>
      <c r="W38" s="200"/>
      <c r="X38" s="200"/>
      <c r="Y38" s="200"/>
      <c r="Z38" s="200"/>
      <c r="AA38" s="200"/>
      <c r="AB38" s="200"/>
      <c r="AC38" s="200"/>
      <c r="AD38" s="200"/>
      <c r="AE38" s="200"/>
      <c r="AF38" s="200"/>
      <c r="AG38" s="200"/>
      <c r="AH38" s="200"/>
      <c r="AI38" s="200"/>
      <c r="AJ38" s="200"/>
      <c r="AK38" s="200"/>
      <c r="AL38" s="200"/>
      <c r="AM38" s="200"/>
      <c r="AN38" s="200"/>
      <c r="AO38" s="200"/>
      <c r="AP38" s="200"/>
      <c r="AQ38" s="200"/>
      <c r="AR38" s="200"/>
      <c r="AS38" s="200"/>
      <c r="AT38" s="200"/>
      <c r="AU38" s="200"/>
      <c r="AV38" s="200"/>
      <c r="AW38" s="200"/>
      <c r="AX38" s="200"/>
    </row>
    <row r="39" ht="15.0" customHeight="1">
      <c r="B39" s="81"/>
      <c r="C39" s="201" t="s">
        <v>160</v>
      </c>
      <c r="D39" s="50"/>
      <c r="E39" s="50"/>
      <c r="F39" s="51"/>
      <c r="G39" s="201" t="s">
        <v>161</v>
      </c>
      <c r="H39" s="50"/>
      <c r="I39" s="50"/>
      <c r="J39" s="51"/>
      <c r="K39" s="202" t="s">
        <v>162</v>
      </c>
      <c r="L39" s="50"/>
      <c r="M39" s="50"/>
      <c r="N39" s="51"/>
      <c r="O39" s="203" t="s">
        <v>52</v>
      </c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1"/>
      <c r="AA39" s="203" t="s">
        <v>152</v>
      </c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1"/>
      <c r="AU39" s="204" t="s">
        <v>153</v>
      </c>
      <c r="AV39" s="191" t="s">
        <v>211</v>
      </c>
    </row>
    <row r="40" ht="45.0" customHeight="1">
      <c r="B40" s="91"/>
      <c r="C40" s="205" t="s">
        <v>164</v>
      </c>
      <c r="D40" s="205" t="s">
        <v>165</v>
      </c>
      <c r="E40" s="205" t="s">
        <v>166</v>
      </c>
      <c r="F40" s="205" t="s">
        <v>167</v>
      </c>
      <c r="G40" s="205" t="s">
        <v>168</v>
      </c>
      <c r="H40" s="205" t="s">
        <v>165</v>
      </c>
      <c r="I40" s="205" t="s">
        <v>166</v>
      </c>
      <c r="J40" s="205" t="s">
        <v>167</v>
      </c>
      <c r="K40" s="205" t="s">
        <v>169</v>
      </c>
      <c r="L40" s="205" t="s">
        <v>170</v>
      </c>
      <c r="M40" s="205" t="s">
        <v>171</v>
      </c>
      <c r="N40" s="205" t="s">
        <v>170</v>
      </c>
      <c r="O40" s="206" t="s">
        <v>172</v>
      </c>
      <c r="P40" s="206" t="s">
        <v>173</v>
      </c>
      <c r="Q40" s="206" t="s">
        <v>174</v>
      </c>
      <c r="R40" s="206" t="s">
        <v>173</v>
      </c>
      <c r="S40" s="206" t="s">
        <v>175</v>
      </c>
      <c r="T40" s="206" t="s">
        <v>173</v>
      </c>
      <c r="U40" s="206" t="s">
        <v>176</v>
      </c>
      <c r="V40" s="206" t="s">
        <v>173</v>
      </c>
      <c r="W40" s="206" t="s">
        <v>177</v>
      </c>
      <c r="X40" s="206" t="s">
        <v>173</v>
      </c>
      <c r="Y40" s="206" t="s">
        <v>178</v>
      </c>
      <c r="Z40" s="206" t="s">
        <v>173</v>
      </c>
      <c r="AA40" s="205" t="s">
        <v>179</v>
      </c>
      <c r="AB40" s="205" t="s">
        <v>173</v>
      </c>
      <c r="AC40" s="205" t="s">
        <v>180</v>
      </c>
      <c r="AD40" s="205" t="s">
        <v>173</v>
      </c>
      <c r="AE40" s="205" t="s">
        <v>181</v>
      </c>
      <c r="AF40" s="205" t="s">
        <v>173</v>
      </c>
      <c r="AG40" s="205" t="s">
        <v>182</v>
      </c>
      <c r="AH40" s="205" t="s">
        <v>173</v>
      </c>
      <c r="AI40" s="205" t="s">
        <v>183</v>
      </c>
      <c r="AJ40" s="205" t="s">
        <v>173</v>
      </c>
      <c r="AK40" s="205" t="s">
        <v>184</v>
      </c>
      <c r="AL40" s="205" t="s">
        <v>173</v>
      </c>
      <c r="AM40" s="205" t="s">
        <v>185</v>
      </c>
      <c r="AN40" s="205" t="s">
        <v>173</v>
      </c>
      <c r="AO40" s="205" t="s">
        <v>186</v>
      </c>
      <c r="AP40" s="205" t="s">
        <v>173</v>
      </c>
      <c r="AQ40" s="205" t="s">
        <v>187</v>
      </c>
      <c r="AR40" s="205" t="s">
        <v>173</v>
      </c>
      <c r="AS40" s="205" t="s">
        <v>188</v>
      </c>
      <c r="AT40" s="205" t="s">
        <v>173</v>
      </c>
      <c r="AU40" s="119"/>
      <c r="AV40" s="119"/>
    </row>
    <row r="41" ht="15.0" customHeight="1">
      <c r="B41" s="52" t="s">
        <v>205</v>
      </c>
      <c r="C41" s="126">
        <f t="shared" ref="C41:C45" si="109">E19+I19+M19+Q19+U19+Y19+BD19+BS19+CC19</f>
        <v>31803</v>
      </c>
      <c r="D41" s="207">
        <f t="shared" ref="D41:D45" si="110">C41*$I$49*$I$58</f>
        <v>211898.8457</v>
      </c>
      <c r="E41" s="126">
        <f t="shared" ref="E41:E45" si="111">(C41*$I$51+C41*$I$53)*$I$58</f>
        <v>49531.35519</v>
      </c>
      <c r="F41" s="208">
        <f t="shared" ref="F41:F45" si="112">SUM(D41:E41)</f>
        <v>261430.2009</v>
      </c>
      <c r="G41" s="209"/>
      <c r="H41" s="208">
        <f t="shared" ref="H41:H45" si="113">G41*$I$50*$I$58</f>
        <v>0</v>
      </c>
      <c r="I41" s="208">
        <f t="shared" ref="I41:I45" si="114">(G41*$I$52*+G41*$I$53)*$I$58</f>
        <v>0</v>
      </c>
      <c r="J41" s="208">
        <f t="shared" ref="J41:J45" si="115">SUM(H41:I41)</f>
        <v>0</v>
      </c>
      <c r="K41" s="126">
        <f t="shared" ref="K41:K45" si="116">CM19+CQ19</f>
        <v>0</v>
      </c>
      <c r="L41" s="210">
        <f t="shared" ref="L41:L45" si="117">K41*$I$54</f>
        <v>0</v>
      </c>
      <c r="M41" s="52">
        <f t="shared" ref="M41:M45" si="118">CU19</f>
        <v>0</v>
      </c>
      <c r="N41" s="210">
        <f t="shared" ref="N41:N45" si="119">M41*$I$55</f>
        <v>0</v>
      </c>
      <c r="O41" s="126">
        <f t="shared" ref="O41:O45" si="120">$C$65/1000*DC19</f>
        <v>0</v>
      </c>
      <c r="P41" s="210">
        <f t="shared" ref="P41:P45" si="121">O41*$I$50+O41*$I$52+O41*$I$53</f>
        <v>0</v>
      </c>
      <c r="Q41" s="210">
        <f t="shared" ref="Q41:Q45" si="122">DE19*$D$65/1000</f>
        <v>0</v>
      </c>
      <c r="R41" s="210">
        <f t="shared" ref="R41:R45" si="123">Q41*$I$50+Q41*$I$52+Q41*$I$53</f>
        <v>0</v>
      </c>
      <c r="S41" s="210">
        <f t="shared" ref="S41:S45" si="124">DG19*$E$65/1000</f>
        <v>0</v>
      </c>
      <c r="T41" s="210">
        <f t="shared" ref="T41:T45" si="125">S41*$I$50+S41*$I$52+S41*$I$53</f>
        <v>0</v>
      </c>
      <c r="U41" s="210">
        <f t="shared" ref="U41:U45" si="126">DI19*$F$65/1000</f>
        <v>0</v>
      </c>
      <c r="V41" s="210">
        <f t="shared" ref="V41:V45" si="127">U41*$I$50+U41*$I$52+U41*$I$53</f>
        <v>0</v>
      </c>
      <c r="W41" s="210">
        <f t="shared" ref="W41:W45" si="128">DK19*$G$65/1000</f>
        <v>0</v>
      </c>
      <c r="X41" s="210">
        <f t="shared" ref="X41:X45" si="129">W41*$I$50+W41*$I$52+W41*$I$53</f>
        <v>0</v>
      </c>
      <c r="Y41" s="52">
        <f t="shared" ref="Y41:Y45" si="130">DM19*$H$65/1000</f>
        <v>0</v>
      </c>
      <c r="Z41" s="212">
        <f t="shared" ref="Z41:Z45" si="131">Y41*$I$50+Y41*$I$52+Y41*$I$53</f>
        <v>0</v>
      </c>
      <c r="AA41" s="52">
        <f t="shared" ref="AA41:AA45" si="132">DO19*1000*$I$65/1000</f>
        <v>0</v>
      </c>
      <c r="AB41" s="52">
        <f t="shared" ref="AB41:AB45" si="133">AA41*$I$50+AA41*$I$52+AA41*$I$53</f>
        <v>0</v>
      </c>
      <c r="AC41" s="52">
        <f t="shared" ref="AC41:AC45" si="134">DQ19*$J$65</f>
        <v>0</v>
      </c>
      <c r="AD41" s="52">
        <f t="shared" ref="AD41:AD45" si="135">AC41*$I$50+AC41*$I$52+AC41*$I$53</f>
        <v>0</v>
      </c>
      <c r="AE41" s="52">
        <f t="shared" ref="AE41:AE45" si="136">DS19*$K$65</f>
        <v>0</v>
      </c>
      <c r="AF41" s="52">
        <f t="shared" ref="AF41:AF45" si="137">AE41*$I$50+AE41*$I$52+AE41*$I$53</f>
        <v>0</v>
      </c>
      <c r="AG41" s="52">
        <f t="shared" ref="AG41:AG45" si="138">DU19*$L$65</f>
        <v>0</v>
      </c>
      <c r="AH41" s="52">
        <f t="shared" ref="AH41:AH45" si="139">AG41*$I$50+AG41*$I$52+AG41*$I$53</f>
        <v>0</v>
      </c>
      <c r="AI41" s="52">
        <f t="shared" ref="AI41:AI45" si="140">DW19*$M$65</f>
        <v>0</v>
      </c>
      <c r="AJ41" s="52">
        <f t="shared" ref="AJ41:AJ45" si="141">AI41*$I$50+AI41*$I$52+AI41*$I$53</f>
        <v>0</v>
      </c>
      <c r="AK41" s="52">
        <f t="shared" ref="AK41:AK45" si="142">DY19*$N$65</f>
        <v>0</v>
      </c>
      <c r="AL41" s="52">
        <f t="shared" ref="AL41:AL45" si="143">AK41*$I$50+AK41*$I$52+AK41*$I$53</f>
        <v>0</v>
      </c>
      <c r="AM41" s="52">
        <f t="shared" ref="AM41:AM45" si="144">EA19*$O$65</f>
        <v>0</v>
      </c>
      <c r="AN41" s="52">
        <f t="shared" ref="AN41:AN45" si="145">AM41*$I$50+AM41*$I$52+AM41*$I$53</f>
        <v>0</v>
      </c>
      <c r="AO41" s="52">
        <f t="shared" ref="AO41:AO45" si="146">EC19*$P$65</f>
        <v>0</v>
      </c>
      <c r="AP41" s="52">
        <f t="shared" ref="AP41:AP45" si="147">AO41*$I$50+AO41*$I$52+AO41*$I$53</f>
        <v>0</v>
      </c>
      <c r="AQ41" s="52">
        <f t="shared" ref="AQ41:AQ45" si="148">EE19*$Q$65</f>
        <v>0</v>
      </c>
      <c r="AR41" s="52">
        <f t="shared" ref="AR41:AR45" si="149">AQ41*$I$50+AQ41*$I$52+AQ41*$I$53</f>
        <v>0</v>
      </c>
      <c r="AS41" s="52">
        <f t="shared" ref="AS41:AS45" si="150">EG19*$R$65</f>
        <v>0</v>
      </c>
      <c r="AT41" s="52">
        <f t="shared" ref="AT41:AT45" si="151">AS41*$I$50+AS41*$I$52+AS41*$I$53</f>
        <v>0</v>
      </c>
      <c r="AU41" s="308">
        <f t="shared" ref="AU41:AU45" si="152">F41+J41+L41+N41+P41+R41+T41+V41+X41+Z41+AB41+AD41+AF41+AH41+AJ41+AL41+AN41+AP41+AR41+AT41</f>
        <v>261430.2009</v>
      </c>
      <c r="AV41" s="309">
        <f>AU41/'SUIVI RABAIS PRODUCTION ET C '!O9</f>
        <v>681.0561166</v>
      </c>
      <c r="AW41" s="310"/>
      <c r="AX41" s="215" t="s">
        <v>212</v>
      </c>
      <c r="AY41" s="96"/>
      <c r="AZ41" s="94"/>
      <c r="BB41" s="311" t="s">
        <v>213</v>
      </c>
      <c r="BC41" s="96"/>
      <c r="BD41" s="94"/>
    </row>
    <row r="42" ht="15.0" customHeight="1">
      <c r="B42" s="52" t="s">
        <v>206</v>
      </c>
      <c r="C42" s="126">
        <f t="shared" si="109"/>
        <v>31803</v>
      </c>
      <c r="D42" s="207">
        <f t="shared" si="110"/>
        <v>211898.8457</v>
      </c>
      <c r="E42" s="126">
        <f t="shared" si="111"/>
        <v>49531.35519</v>
      </c>
      <c r="F42" s="208">
        <f t="shared" si="112"/>
        <v>261430.2009</v>
      </c>
      <c r="G42" s="209"/>
      <c r="H42" s="208">
        <f t="shared" si="113"/>
        <v>0</v>
      </c>
      <c r="I42" s="208">
        <f t="shared" si="114"/>
        <v>0</v>
      </c>
      <c r="J42" s="208">
        <f t="shared" si="115"/>
        <v>0</v>
      </c>
      <c r="K42" s="126">
        <f t="shared" si="116"/>
        <v>0</v>
      </c>
      <c r="L42" s="210">
        <f t="shared" si="117"/>
        <v>0</v>
      </c>
      <c r="M42" s="52">
        <f t="shared" si="118"/>
        <v>0</v>
      </c>
      <c r="N42" s="210">
        <f t="shared" si="119"/>
        <v>0</v>
      </c>
      <c r="O42" s="126">
        <f t="shared" si="120"/>
        <v>0</v>
      </c>
      <c r="P42" s="210">
        <f t="shared" si="121"/>
        <v>0</v>
      </c>
      <c r="Q42" s="210">
        <f t="shared" si="122"/>
        <v>0</v>
      </c>
      <c r="R42" s="210">
        <f t="shared" si="123"/>
        <v>0</v>
      </c>
      <c r="S42" s="210">
        <f t="shared" si="124"/>
        <v>0</v>
      </c>
      <c r="T42" s="210">
        <f t="shared" si="125"/>
        <v>0</v>
      </c>
      <c r="U42" s="210">
        <f t="shared" si="126"/>
        <v>0</v>
      </c>
      <c r="V42" s="210">
        <f t="shared" si="127"/>
        <v>0</v>
      </c>
      <c r="W42" s="210">
        <f t="shared" si="128"/>
        <v>0</v>
      </c>
      <c r="X42" s="210">
        <f t="shared" si="129"/>
        <v>0</v>
      </c>
      <c r="Y42" s="52">
        <f t="shared" si="130"/>
        <v>0</v>
      </c>
      <c r="Z42" s="212">
        <f t="shared" si="131"/>
        <v>0</v>
      </c>
      <c r="AA42" s="52">
        <f t="shared" si="132"/>
        <v>0</v>
      </c>
      <c r="AB42" s="52">
        <f t="shared" si="133"/>
        <v>0</v>
      </c>
      <c r="AC42" s="52">
        <f t="shared" si="134"/>
        <v>0</v>
      </c>
      <c r="AD42" s="52">
        <f t="shared" si="135"/>
        <v>0</v>
      </c>
      <c r="AE42" s="52">
        <f t="shared" si="136"/>
        <v>0</v>
      </c>
      <c r="AF42" s="52">
        <f t="shared" si="137"/>
        <v>0</v>
      </c>
      <c r="AG42" s="52">
        <f t="shared" si="138"/>
        <v>0</v>
      </c>
      <c r="AH42" s="52">
        <f t="shared" si="139"/>
        <v>0</v>
      </c>
      <c r="AI42" s="52">
        <f t="shared" si="140"/>
        <v>0</v>
      </c>
      <c r="AJ42" s="52">
        <f t="shared" si="141"/>
        <v>0</v>
      </c>
      <c r="AK42" s="52">
        <f t="shared" si="142"/>
        <v>0</v>
      </c>
      <c r="AL42" s="52">
        <f t="shared" si="143"/>
        <v>0</v>
      </c>
      <c r="AM42" s="52">
        <f t="shared" si="144"/>
        <v>0</v>
      </c>
      <c r="AN42" s="52">
        <f t="shared" si="145"/>
        <v>0</v>
      </c>
      <c r="AO42" s="52">
        <f t="shared" si="146"/>
        <v>0</v>
      </c>
      <c r="AP42" s="52">
        <f t="shared" si="147"/>
        <v>0</v>
      </c>
      <c r="AQ42" s="52">
        <f t="shared" si="148"/>
        <v>0</v>
      </c>
      <c r="AR42" s="52">
        <f t="shared" si="149"/>
        <v>0</v>
      </c>
      <c r="AS42" s="52">
        <f t="shared" si="150"/>
        <v>0</v>
      </c>
      <c r="AT42" s="52">
        <f t="shared" si="151"/>
        <v>0</v>
      </c>
      <c r="AU42" s="308">
        <f t="shared" si="152"/>
        <v>261430.2009</v>
      </c>
      <c r="AV42" s="309">
        <f>AU42/'SUIVI RABAIS PRODUCTION ET C '!P9</f>
        <v>681.0561166</v>
      </c>
      <c r="AW42" s="310"/>
      <c r="AX42" s="108"/>
      <c r="AZ42" s="109"/>
      <c r="BB42" s="108"/>
      <c r="BD42" s="109"/>
    </row>
    <row r="43" ht="14.25" customHeight="1">
      <c r="B43" s="52" t="s">
        <v>207</v>
      </c>
      <c r="C43" s="126">
        <f t="shared" si="109"/>
        <v>31803</v>
      </c>
      <c r="D43" s="207">
        <f t="shared" si="110"/>
        <v>211898.8457</v>
      </c>
      <c r="E43" s="126">
        <f t="shared" si="111"/>
        <v>49531.35519</v>
      </c>
      <c r="F43" s="208">
        <f t="shared" si="112"/>
        <v>261430.2009</v>
      </c>
      <c r="G43" s="209"/>
      <c r="H43" s="208">
        <f t="shared" si="113"/>
        <v>0</v>
      </c>
      <c r="I43" s="208">
        <f t="shared" si="114"/>
        <v>0</v>
      </c>
      <c r="J43" s="208">
        <f t="shared" si="115"/>
        <v>0</v>
      </c>
      <c r="K43" s="126">
        <f t="shared" si="116"/>
        <v>0</v>
      </c>
      <c r="L43" s="210">
        <f t="shared" si="117"/>
        <v>0</v>
      </c>
      <c r="M43" s="52">
        <f t="shared" si="118"/>
        <v>0</v>
      </c>
      <c r="N43" s="210">
        <f t="shared" si="119"/>
        <v>0</v>
      </c>
      <c r="O43" s="126">
        <f t="shared" si="120"/>
        <v>0</v>
      </c>
      <c r="P43" s="210">
        <f t="shared" si="121"/>
        <v>0</v>
      </c>
      <c r="Q43" s="210">
        <f t="shared" si="122"/>
        <v>0</v>
      </c>
      <c r="R43" s="210">
        <f t="shared" si="123"/>
        <v>0</v>
      </c>
      <c r="S43" s="210">
        <f t="shared" si="124"/>
        <v>0</v>
      </c>
      <c r="T43" s="210">
        <f t="shared" si="125"/>
        <v>0</v>
      </c>
      <c r="U43" s="210">
        <f t="shared" si="126"/>
        <v>0</v>
      </c>
      <c r="V43" s="210">
        <f t="shared" si="127"/>
        <v>0</v>
      </c>
      <c r="W43" s="210">
        <f t="shared" si="128"/>
        <v>0</v>
      </c>
      <c r="X43" s="210">
        <f t="shared" si="129"/>
        <v>0</v>
      </c>
      <c r="Y43" s="52">
        <f t="shared" si="130"/>
        <v>0</v>
      </c>
      <c r="Z43" s="212">
        <f t="shared" si="131"/>
        <v>0</v>
      </c>
      <c r="AA43" s="52">
        <f t="shared" si="132"/>
        <v>0</v>
      </c>
      <c r="AB43" s="52">
        <f t="shared" si="133"/>
        <v>0</v>
      </c>
      <c r="AC43" s="52">
        <f t="shared" si="134"/>
        <v>0</v>
      </c>
      <c r="AD43" s="52">
        <f t="shared" si="135"/>
        <v>0</v>
      </c>
      <c r="AE43" s="52">
        <f t="shared" si="136"/>
        <v>0</v>
      </c>
      <c r="AF43" s="52">
        <f t="shared" si="137"/>
        <v>0</v>
      </c>
      <c r="AG43" s="52">
        <f t="shared" si="138"/>
        <v>0</v>
      </c>
      <c r="AH43" s="52">
        <f t="shared" si="139"/>
        <v>0</v>
      </c>
      <c r="AI43" s="52">
        <f t="shared" si="140"/>
        <v>0</v>
      </c>
      <c r="AJ43" s="52">
        <f t="shared" si="141"/>
        <v>0</v>
      </c>
      <c r="AK43" s="52">
        <f t="shared" si="142"/>
        <v>0</v>
      </c>
      <c r="AL43" s="52">
        <f t="shared" si="143"/>
        <v>0</v>
      </c>
      <c r="AM43" s="52">
        <f t="shared" si="144"/>
        <v>0</v>
      </c>
      <c r="AN43" s="52">
        <f t="shared" si="145"/>
        <v>0</v>
      </c>
      <c r="AO43" s="52">
        <f t="shared" si="146"/>
        <v>0</v>
      </c>
      <c r="AP43" s="52">
        <f t="shared" si="147"/>
        <v>0</v>
      </c>
      <c r="AQ43" s="52">
        <f t="shared" si="148"/>
        <v>0</v>
      </c>
      <c r="AR43" s="52">
        <f t="shared" si="149"/>
        <v>0</v>
      </c>
      <c r="AS43" s="52">
        <f t="shared" si="150"/>
        <v>0</v>
      </c>
      <c r="AT43" s="52">
        <f t="shared" si="151"/>
        <v>0</v>
      </c>
      <c r="AU43" s="308">
        <f t="shared" si="152"/>
        <v>261430.2009</v>
      </c>
      <c r="AV43" s="309">
        <f>AU43/'SUIVI RABAIS PRODUCTION ET C '!Q9</f>
        <v>681.0561166</v>
      </c>
      <c r="AW43" s="310"/>
      <c r="AX43" s="108"/>
      <c r="AZ43" s="109"/>
      <c r="BB43" s="108"/>
      <c r="BD43" s="109"/>
    </row>
    <row r="44" ht="14.25" customHeight="1">
      <c r="B44" s="52" t="s">
        <v>208</v>
      </c>
      <c r="C44" s="126">
        <f t="shared" si="109"/>
        <v>31803</v>
      </c>
      <c r="D44" s="207">
        <f t="shared" si="110"/>
        <v>211898.8457</v>
      </c>
      <c r="E44" s="126">
        <f t="shared" si="111"/>
        <v>49531.35519</v>
      </c>
      <c r="F44" s="208">
        <f t="shared" si="112"/>
        <v>261430.2009</v>
      </c>
      <c r="G44" s="209"/>
      <c r="H44" s="208">
        <f t="shared" si="113"/>
        <v>0</v>
      </c>
      <c r="I44" s="208">
        <f t="shared" si="114"/>
        <v>0</v>
      </c>
      <c r="J44" s="208">
        <f t="shared" si="115"/>
        <v>0</v>
      </c>
      <c r="K44" s="126">
        <f t="shared" si="116"/>
        <v>0</v>
      </c>
      <c r="L44" s="210">
        <f t="shared" si="117"/>
        <v>0</v>
      </c>
      <c r="M44" s="52">
        <f t="shared" si="118"/>
        <v>0</v>
      </c>
      <c r="N44" s="210">
        <f t="shared" si="119"/>
        <v>0</v>
      </c>
      <c r="O44" s="126">
        <f t="shared" si="120"/>
        <v>0</v>
      </c>
      <c r="P44" s="210">
        <f t="shared" si="121"/>
        <v>0</v>
      </c>
      <c r="Q44" s="210">
        <f t="shared" si="122"/>
        <v>0</v>
      </c>
      <c r="R44" s="210">
        <f t="shared" si="123"/>
        <v>0</v>
      </c>
      <c r="S44" s="210">
        <f t="shared" si="124"/>
        <v>0</v>
      </c>
      <c r="T44" s="210">
        <f t="shared" si="125"/>
        <v>0</v>
      </c>
      <c r="U44" s="210">
        <f t="shared" si="126"/>
        <v>0</v>
      </c>
      <c r="V44" s="210">
        <f t="shared" si="127"/>
        <v>0</v>
      </c>
      <c r="W44" s="210">
        <f t="shared" si="128"/>
        <v>0</v>
      </c>
      <c r="X44" s="210">
        <f t="shared" si="129"/>
        <v>0</v>
      </c>
      <c r="Y44" s="52">
        <f t="shared" si="130"/>
        <v>0</v>
      </c>
      <c r="Z44" s="212">
        <f t="shared" si="131"/>
        <v>0</v>
      </c>
      <c r="AA44" s="52">
        <f t="shared" si="132"/>
        <v>0</v>
      </c>
      <c r="AB44" s="52">
        <f t="shared" si="133"/>
        <v>0</v>
      </c>
      <c r="AC44" s="52">
        <f t="shared" si="134"/>
        <v>0</v>
      </c>
      <c r="AD44" s="52">
        <f t="shared" si="135"/>
        <v>0</v>
      </c>
      <c r="AE44" s="52">
        <f t="shared" si="136"/>
        <v>0</v>
      </c>
      <c r="AF44" s="52">
        <f t="shared" si="137"/>
        <v>0</v>
      </c>
      <c r="AG44" s="52">
        <f t="shared" si="138"/>
        <v>0</v>
      </c>
      <c r="AH44" s="52">
        <f t="shared" si="139"/>
        <v>0</v>
      </c>
      <c r="AI44" s="52">
        <f t="shared" si="140"/>
        <v>0</v>
      </c>
      <c r="AJ44" s="52">
        <f t="shared" si="141"/>
        <v>0</v>
      </c>
      <c r="AK44" s="52">
        <f t="shared" si="142"/>
        <v>0</v>
      </c>
      <c r="AL44" s="52">
        <f t="shared" si="143"/>
        <v>0</v>
      </c>
      <c r="AM44" s="52">
        <f t="shared" si="144"/>
        <v>0</v>
      </c>
      <c r="AN44" s="52">
        <f t="shared" si="145"/>
        <v>0</v>
      </c>
      <c r="AO44" s="52">
        <f t="shared" si="146"/>
        <v>0</v>
      </c>
      <c r="AP44" s="52">
        <f t="shared" si="147"/>
        <v>0</v>
      </c>
      <c r="AQ44" s="52">
        <f t="shared" si="148"/>
        <v>0</v>
      </c>
      <c r="AR44" s="52">
        <f t="shared" si="149"/>
        <v>0</v>
      </c>
      <c r="AS44" s="52">
        <f t="shared" si="150"/>
        <v>0</v>
      </c>
      <c r="AT44" s="52">
        <f t="shared" si="151"/>
        <v>0</v>
      </c>
      <c r="AU44" s="308">
        <f t="shared" si="152"/>
        <v>261430.2009</v>
      </c>
      <c r="AV44" s="309">
        <f>AU44/'SUIVI RABAIS PRODUCTION ET C '!R9</f>
        <v>681.0561166</v>
      </c>
      <c r="AW44" s="310"/>
      <c r="AX44" s="312">
        <f>AU46+AO36</f>
        <v>2300893.755</v>
      </c>
      <c r="AY44" s="30" t="s">
        <v>190</v>
      </c>
      <c r="AZ44" s="217"/>
      <c r="BB44" s="313">
        <f t="array" ref="BB44">IFERROR(SUM(AVERAGE('GES AVANT NOTIFICATION'!AP31:AP35+'GES AVANT NOTIFICATION'!AV41:AV45)*'SUIVI RABAIS PRODUCTION ET C '!O9:S9)-'GES APRES NOTIFICATION '!AX44,"-")</f>
        <v>811572.5661</v>
      </c>
      <c r="BC44" s="30" t="s">
        <v>190</v>
      </c>
      <c r="BD44" s="217"/>
    </row>
    <row r="45" ht="14.25" customHeight="1">
      <c r="B45" s="52" t="s">
        <v>209</v>
      </c>
      <c r="C45" s="126">
        <f t="shared" si="109"/>
        <v>31803</v>
      </c>
      <c r="D45" s="207">
        <f t="shared" si="110"/>
        <v>211898.8457</v>
      </c>
      <c r="E45" s="126">
        <f t="shared" si="111"/>
        <v>49531.35519</v>
      </c>
      <c r="F45" s="208">
        <f t="shared" si="112"/>
        <v>261430.2009</v>
      </c>
      <c r="G45" s="209"/>
      <c r="H45" s="208">
        <f t="shared" si="113"/>
        <v>0</v>
      </c>
      <c r="I45" s="208">
        <f t="shared" si="114"/>
        <v>0</v>
      </c>
      <c r="J45" s="208">
        <f t="shared" si="115"/>
        <v>0</v>
      </c>
      <c r="K45" s="126">
        <f t="shared" si="116"/>
        <v>0</v>
      </c>
      <c r="L45" s="210">
        <f t="shared" si="117"/>
        <v>0</v>
      </c>
      <c r="M45" s="52">
        <f t="shared" si="118"/>
        <v>0</v>
      </c>
      <c r="N45" s="210">
        <f t="shared" si="119"/>
        <v>0</v>
      </c>
      <c r="O45" s="126">
        <f t="shared" si="120"/>
        <v>0</v>
      </c>
      <c r="P45" s="210">
        <f t="shared" si="121"/>
        <v>0</v>
      </c>
      <c r="Q45" s="210">
        <f t="shared" si="122"/>
        <v>0</v>
      </c>
      <c r="R45" s="210">
        <f t="shared" si="123"/>
        <v>0</v>
      </c>
      <c r="S45" s="210">
        <f t="shared" si="124"/>
        <v>0</v>
      </c>
      <c r="T45" s="210">
        <f t="shared" si="125"/>
        <v>0</v>
      </c>
      <c r="U45" s="210">
        <f t="shared" si="126"/>
        <v>0</v>
      </c>
      <c r="V45" s="210">
        <f t="shared" si="127"/>
        <v>0</v>
      </c>
      <c r="W45" s="210">
        <f t="shared" si="128"/>
        <v>0</v>
      </c>
      <c r="X45" s="210">
        <f t="shared" si="129"/>
        <v>0</v>
      </c>
      <c r="Y45" s="52">
        <f t="shared" si="130"/>
        <v>0</v>
      </c>
      <c r="Z45" s="212">
        <f t="shared" si="131"/>
        <v>0</v>
      </c>
      <c r="AA45" s="52">
        <f t="shared" si="132"/>
        <v>0</v>
      </c>
      <c r="AB45" s="52">
        <f t="shared" si="133"/>
        <v>0</v>
      </c>
      <c r="AC45" s="52">
        <f t="shared" si="134"/>
        <v>0</v>
      </c>
      <c r="AD45" s="52">
        <f t="shared" si="135"/>
        <v>0</v>
      </c>
      <c r="AE45" s="52">
        <f t="shared" si="136"/>
        <v>0</v>
      </c>
      <c r="AF45" s="52">
        <f t="shared" si="137"/>
        <v>0</v>
      </c>
      <c r="AG45" s="52">
        <f t="shared" si="138"/>
        <v>0</v>
      </c>
      <c r="AH45" s="52">
        <f t="shared" si="139"/>
        <v>0</v>
      </c>
      <c r="AI45" s="52">
        <f t="shared" si="140"/>
        <v>0</v>
      </c>
      <c r="AJ45" s="52">
        <f t="shared" si="141"/>
        <v>0</v>
      </c>
      <c r="AK45" s="52">
        <f t="shared" si="142"/>
        <v>0</v>
      </c>
      <c r="AL45" s="52">
        <f t="shared" si="143"/>
        <v>0</v>
      </c>
      <c r="AM45" s="52">
        <f t="shared" si="144"/>
        <v>0</v>
      </c>
      <c r="AN45" s="52">
        <f t="shared" si="145"/>
        <v>0</v>
      </c>
      <c r="AO45" s="52">
        <f t="shared" si="146"/>
        <v>0</v>
      </c>
      <c r="AP45" s="52">
        <f t="shared" si="147"/>
        <v>0</v>
      </c>
      <c r="AQ45" s="52">
        <f t="shared" si="148"/>
        <v>0</v>
      </c>
      <c r="AR45" s="52">
        <f t="shared" si="149"/>
        <v>0</v>
      </c>
      <c r="AS45" s="52">
        <f t="shared" si="150"/>
        <v>0</v>
      </c>
      <c r="AT45" s="52">
        <f t="shared" si="151"/>
        <v>0</v>
      </c>
      <c r="AU45" s="308">
        <f t="shared" si="152"/>
        <v>261430.2009</v>
      </c>
      <c r="AV45" s="309">
        <f>AU45/'SUIVI RABAIS PRODUCTION ET C '!S9</f>
        <v>681.0561166</v>
      </c>
      <c r="AW45" s="310"/>
      <c r="AX45" s="314">
        <f>AX44/1000</f>
        <v>2300.893755</v>
      </c>
      <c r="AY45" s="220" t="s">
        <v>214</v>
      </c>
      <c r="BB45" s="314">
        <f>IFERROR(BB44/1000,"-")</f>
        <v>811.5725661</v>
      </c>
      <c r="BC45" s="220" t="s">
        <v>214</v>
      </c>
    </row>
    <row r="46" ht="14.25" customHeight="1">
      <c r="B46" s="171" t="s">
        <v>149</v>
      </c>
      <c r="C46" s="173">
        <f t="shared" ref="C46:AU46" si="153">SUM(C41:C45)</f>
        <v>159015</v>
      </c>
      <c r="D46" s="171">
        <f t="shared" si="153"/>
        <v>1059494.229</v>
      </c>
      <c r="E46" s="171">
        <f t="shared" si="153"/>
        <v>247656.7759</v>
      </c>
      <c r="F46" s="221">
        <f t="shared" si="153"/>
        <v>1307151.005</v>
      </c>
      <c r="G46" s="221">
        <f t="shared" si="153"/>
        <v>0</v>
      </c>
      <c r="H46" s="221">
        <f t="shared" si="153"/>
        <v>0</v>
      </c>
      <c r="I46" s="221">
        <f t="shared" si="153"/>
        <v>0</v>
      </c>
      <c r="J46" s="171">
        <f t="shared" si="153"/>
        <v>0</v>
      </c>
      <c r="K46" s="171">
        <f t="shared" si="153"/>
        <v>0</v>
      </c>
      <c r="L46" s="221">
        <f t="shared" si="153"/>
        <v>0</v>
      </c>
      <c r="M46" s="171">
        <f t="shared" si="153"/>
        <v>0</v>
      </c>
      <c r="N46" s="221">
        <f t="shared" si="153"/>
        <v>0</v>
      </c>
      <c r="O46" s="171">
        <f t="shared" si="153"/>
        <v>0</v>
      </c>
      <c r="P46" s="221">
        <f t="shared" si="153"/>
        <v>0</v>
      </c>
      <c r="Q46" s="171">
        <f t="shared" si="153"/>
        <v>0</v>
      </c>
      <c r="R46" s="171">
        <f t="shared" si="153"/>
        <v>0</v>
      </c>
      <c r="S46" s="171">
        <f t="shared" si="153"/>
        <v>0</v>
      </c>
      <c r="T46" s="171">
        <f t="shared" si="153"/>
        <v>0</v>
      </c>
      <c r="U46" s="171">
        <f t="shared" si="153"/>
        <v>0</v>
      </c>
      <c r="V46" s="171">
        <f t="shared" si="153"/>
        <v>0</v>
      </c>
      <c r="W46" s="171">
        <f t="shared" si="153"/>
        <v>0</v>
      </c>
      <c r="X46" s="171">
        <f t="shared" si="153"/>
        <v>0</v>
      </c>
      <c r="Y46" s="171">
        <f t="shared" si="153"/>
        <v>0</v>
      </c>
      <c r="Z46" s="171">
        <f t="shared" si="153"/>
        <v>0</v>
      </c>
      <c r="AA46" s="171">
        <f t="shared" si="153"/>
        <v>0</v>
      </c>
      <c r="AB46" s="171">
        <f t="shared" si="153"/>
        <v>0</v>
      </c>
      <c r="AC46" s="171">
        <f t="shared" si="153"/>
        <v>0</v>
      </c>
      <c r="AD46" s="171">
        <f t="shared" si="153"/>
        <v>0</v>
      </c>
      <c r="AE46" s="171">
        <f t="shared" si="153"/>
        <v>0</v>
      </c>
      <c r="AF46" s="171">
        <f t="shared" si="153"/>
        <v>0</v>
      </c>
      <c r="AG46" s="171">
        <f t="shared" si="153"/>
        <v>0</v>
      </c>
      <c r="AH46" s="171">
        <f t="shared" si="153"/>
        <v>0</v>
      </c>
      <c r="AI46" s="171">
        <f t="shared" si="153"/>
        <v>0</v>
      </c>
      <c r="AJ46" s="171">
        <f t="shared" si="153"/>
        <v>0</v>
      </c>
      <c r="AK46" s="171">
        <f t="shared" si="153"/>
        <v>0</v>
      </c>
      <c r="AL46" s="171">
        <f t="shared" si="153"/>
        <v>0</v>
      </c>
      <c r="AM46" s="171">
        <f t="shared" si="153"/>
        <v>0</v>
      </c>
      <c r="AN46" s="171">
        <f t="shared" si="153"/>
        <v>0</v>
      </c>
      <c r="AO46" s="171">
        <f t="shared" si="153"/>
        <v>0</v>
      </c>
      <c r="AP46" s="171">
        <f t="shared" si="153"/>
        <v>0</v>
      </c>
      <c r="AQ46" s="171">
        <f t="shared" si="153"/>
        <v>0</v>
      </c>
      <c r="AR46" s="171">
        <f t="shared" si="153"/>
        <v>0</v>
      </c>
      <c r="AS46" s="171">
        <f t="shared" si="153"/>
        <v>0</v>
      </c>
      <c r="AT46" s="171">
        <f t="shared" si="153"/>
        <v>0</v>
      </c>
      <c r="AU46" s="315">
        <f t="shared" si="153"/>
        <v>1307151.005</v>
      </c>
      <c r="AV46" s="316">
        <f t="array" ref="AV46">AVERAGE(($AO$31:$AO$35+$AU$41:$AU$45)/TRANSPOSE('SUIVI RABAIS PRODUCTION ET C '!O9:S9))</f>
        <v>1198.819233</v>
      </c>
    </row>
    <row r="47" ht="14.25" customHeight="1">
      <c r="B47" s="178"/>
      <c r="C47" s="178"/>
      <c r="D47" s="178"/>
      <c r="E47" s="178"/>
      <c r="F47" s="224"/>
      <c r="G47" s="178"/>
      <c r="H47" s="178"/>
      <c r="I47" s="178"/>
      <c r="J47" s="178"/>
    </row>
    <row r="48" ht="14.25" customHeight="1">
      <c r="B48" s="200" t="s">
        <v>192</v>
      </c>
      <c r="C48" s="200"/>
      <c r="D48" s="200"/>
      <c r="E48" s="200"/>
      <c r="F48" s="200"/>
      <c r="G48" s="200"/>
      <c r="H48" s="200"/>
      <c r="I48" s="200"/>
      <c r="BB48" s="311" t="s">
        <v>215</v>
      </c>
      <c r="BC48" s="96"/>
      <c r="BD48" s="94"/>
    </row>
    <row r="49" ht="15.0" customHeight="1">
      <c r="B49" s="225" t="s">
        <v>193</v>
      </c>
      <c r="C49" s="226"/>
      <c r="D49" s="227"/>
      <c r="E49" s="227"/>
      <c r="F49" s="227"/>
      <c r="G49" s="227"/>
      <c r="H49" s="228"/>
      <c r="I49" s="229">
        <f>0.016*44/28</f>
        <v>0.02514285714</v>
      </c>
      <c r="BB49" s="108"/>
      <c r="BD49" s="109"/>
    </row>
    <row r="50" ht="14.25" customHeight="1">
      <c r="B50" s="230" t="s">
        <v>194</v>
      </c>
      <c r="C50" s="231"/>
      <c r="D50" s="232"/>
      <c r="E50" s="232"/>
      <c r="F50" s="232"/>
      <c r="G50" s="232"/>
      <c r="H50" s="233"/>
      <c r="I50" s="229">
        <f>0.006*44/28</f>
        <v>0.009428571429</v>
      </c>
      <c r="BB50" s="108"/>
      <c r="BD50" s="109"/>
    </row>
    <row r="51" ht="14.25" customHeight="1">
      <c r="B51" s="230" t="s">
        <v>195</v>
      </c>
      <c r="C51" s="231"/>
      <c r="D51" s="232"/>
      <c r="E51" s="232"/>
      <c r="F51" s="232"/>
      <c r="G51" s="232"/>
      <c r="H51" s="233"/>
      <c r="I51" s="229">
        <f>0.01*0.11*44/28</f>
        <v>0.001728571429</v>
      </c>
      <c r="BA51" s="317"/>
      <c r="BB51" s="318">
        <f>IFERROR(BB44*(1+'SUIVI RABAIS PRODUCTION ET C '!D75),"-")</f>
        <v>811572.5661</v>
      </c>
      <c r="BC51" s="246" t="s">
        <v>216</v>
      </c>
    </row>
    <row r="52" ht="14.25" customHeight="1">
      <c r="B52" s="230" t="s">
        <v>196</v>
      </c>
      <c r="C52" s="231"/>
      <c r="D52" s="232"/>
      <c r="E52" s="232"/>
      <c r="F52" s="232"/>
      <c r="G52" s="232"/>
      <c r="H52" s="233"/>
      <c r="I52" s="229">
        <f>0.01*0.21*44/28</f>
        <v>0.0033</v>
      </c>
      <c r="AZ52" s="319"/>
      <c r="BB52" s="318">
        <f>IFERROR(BB51/1000,"-")</f>
        <v>811.5725661</v>
      </c>
      <c r="BC52" s="246" t="s">
        <v>214</v>
      </c>
    </row>
    <row r="53" ht="14.25" customHeight="1">
      <c r="B53" s="230" t="s">
        <v>197</v>
      </c>
      <c r="C53" s="231"/>
      <c r="D53" s="232"/>
      <c r="E53" s="232"/>
      <c r="F53" s="232"/>
      <c r="G53" s="232"/>
      <c r="H53" s="233"/>
      <c r="I53" s="229">
        <f>0.011*0.24*44/28</f>
        <v>0.004148571429</v>
      </c>
      <c r="AV53" s="310"/>
    </row>
    <row r="54" ht="14.25" customHeight="1">
      <c r="B54" s="230" t="s">
        <v>198</v>
      </c>
      <c r="C54" s="231"/>
      <c r="D54" s="231"/>
      <c r="E54" s="231"/>
      <c r="F54" s="232"/>
      <c r="G54" s="232"/>
      <c r="H54" s="233"/>
      <c r="I54" s="229">
        <f>0.12*44/12</f>
        <v>0.44</v>
      </c>
    </row>
    <row r="55" ht="14.25" customHeight="1">
      <c r="B55" s="234" t="s">
        <v>199</v>
      </c>
      <c r="C55" s="235"/>
      <c r="D55" s="235"/>
      <c r="E55" s="235"/>
      <c r="F55" s="236"/>
      <c r="G55" s="236"/>
      <c r="H55" s="237"/>
      <c r="I55" s="229">
        <f>0.13*44/12</f>
        <v>0.4766666667</v>
      </c>
    </row>
    <row r="56" ht="14.25" customHeight="1"/>
    <row r="57" ht="14.25" customHeight="1">
      <c r="B57" s="200" t="s">
        <v>200</v>
      </c>
      <c r="C57" s="80"/>
      <c r="D57" s="80"/>
      <c r="E57" s="80"/>
      <c r="F57" s="80"/>
      <c r="G57" s="80"/>
      <c r="H57" s="80"/>
      <c r="I57" s="80"/>
    </row>
    <row r="58" ht="14.25" customHeight="1">
      <c r="B58" s="238" t="s">
        <v>201</v>
      </c>
      <c r="C58" s="239"/>
      <c r="D58" s="239"/>
      <c r="E58" s="239"/>
      <c r="F58" s="239"/>
      <c r="G58" s="239"/>
      <c r="H58" s="239"/>
      <c r="I58" s="240">
        <v>265.0</v>
      </c>
    </row>
    <row r="59" ht="14.25" customHeight="1"/>
    <row r="60" ht="14.25" customHeight="1">
      <c r="B60" s="200" t="s">
        <v>202</v>
      </c>
      <c r="C60" s="200"/>
      <c r="D60" s="200"/>
      <c r="E60" s="200"/>
      <c r="F60" s="200"/>
      <c r="G60" s="200"/>
      <c r="H60" s="200"/>
      <c r="I60" s="200"/>
    </row>
    <row r="61" ht="14.25" customHeight="1">
      <c r="C61" s="190" t="s">
        <v>52</v>
      </c>
      <c r="D61" s="50"/>
      <c r="E61" s="50"/>
      <c r="F61" s="50"/>
      <c r="G61" s="50"/>
      <c r="H61" s="51"/>
      <c r="I61" s="190" t="s">
        <v>152</v>
      </c>
      <c r="J61" s="50"/>
      <c r="K61" s="50"/>
      <c r="L61" s="50"/>
      <c r="M61" s="50"/>
      <c r="N61" s="50"/>
      <c r="O61" s="50"/>
      <c r="P61" s="50"/>
      <c r="Q61" s="50"/>
      <c r="R61" s="51"/>
    </row>
    <row r="62" ht="14.25" customHeight="1">
      <c r="C62" s="113" t="str">
        <f>BQ5</f>
        <v>Bactériosol concentré</v>
      </c>
      <c r="D62" s="113" t="str">
        <f>BT5</f>
        <v>Bactériolit concentré</v>
      </c>
      <c r="E62" s="113" t="str">
        <f>BW5</f>
        <v/>
      </c>
      <c r="F62" s="113" t="str">
        <f>BZ5</f>
        <v/>
      </c>
      <c r="G62" s="113" t="str">
        <f>CC5</f>
        <v/>
      </c>
      <c r="H62" s="113" t="str">
        <f>CF5</f>
        <v/>
      </c>
      <c r="I62" s="193" t="s">
        <v>77</v>
      </c>
      <c r="J62" s="193" t="s">
        <v>78</v>
      </c>
      <c r="K62" s="193" t="s">
        <v>79</v>
      </c>
      <c r="L62" s="194" t="s">
        <v>80</v>
      </c>
      <c r="M62" s="194" t="s">
        <v>81</v>
      </c>
      <c r="N62" s="194" t="s">
        <v>82</v>
      </c>
      <c r="O62" s="194" t="s">
        <v>83</v>
      </c>
      <c r="P62" s="194" t="s">
        <v>84</v>
      </c>
      <c r="Q62" s="194" t="s">
        <v>85</v>
      </c>
      <c r="R62" s="194" t="s">
        <v>86</v>
      </c>
    </row>
    <row r="63" ht="14.25" customHeight="1">
      <c r="C63" s="91"/>
      <c r="D63" s="91"/>
      <c r="E63" s="91"/>
      <c r="F63" s="91"/>
      <c r="G63" s="91"/>
      <c r="H63" s="91"/>
      <c r="I63" s="111"/>
      <c r="J63" s="111"/>
      <c r="K63" s="111"/>
      <c r="L63" s="91"/>
      <c r="M63" s="91"/>
      <c r="N63" s="91"/>
      <c r="O63" s="91"/>
      <c r="P63" s="91"/>
      <c r="Q63" s="91"/>
      <c r="R63" s="91"/>
    </row>
    <row r="64" ht="14.25" customHeight="1">
      <c r="C64" s="119"/>
      <c r="D64" s="119"/>
      <c r="E64" s="119"/>
      <c r="F64" s="119"/>
      <c r="G64" s="119"/>
      <c r="H64" s="119"/>
      <c r="I64" s="111"/>
      <c r="J64" s="111"/>
      <c r="K64" s="111"/>
      <c r="L64" s="91"/>
      <c r="M64" s="91"/>
      <c r="N64" s="91"/>
      <c r="O64" s="91"/>
      <c r="P64" s="91"/>
      <c r="Q64" s="91"/>
      <c r="R64" s="91"/>
    </row>
    <row r="65" ht="14.25" customHeight="1">
      <c r="B65" s="244" t="s">
        <v>203</v>
      </c>
      <c r="C65" s="245"/>
      <c r="D65" s="245"/>
      <c r="E65" s="245"/>
      <c r="F65" s="245"/>
      <c r="G65" s="245"/>
      <c r="H65" s="245"/>
      <c r="I65" s="246">
        <v>10.1</v>
      </c>
      <c r="J65" s="246">
        <v>13.84</v>
      </c>
      <c r="K65" s="246">
        <v>21.6</v>
      </c>
      <c r="L65" s="246">
        <v>5.09</v>
      </c>
      <c r="M65" s="149">
        <f>(13.07+13.5+14.63+15.38)/4</f>
        <v>14.145</v>
      </c>
      <c r="N65" s="246">
        <v>28.45</v>
      </c>
      <c r="O65" s="246">
        <v>6.9</v>
      </c>
      <c r="P65" s="246">
        <v>27.3</v>
      </c>
      <c r="Q65" s="246">
        <v>5.55</v>
      </c>
      <c r="R65" s="246">
        <v>15.23</v>
      </c>
    </row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33">
    <mergeCell ref="V19:V23"/>
    <mergeCell ref="U27:X27"/>
    <mergeCell ref="Y27:AD27"/>
    <mergeCell ref="AE27:AN27"/>
    <mergeCell ref="AO27:AO30"/>
    <mergeCell ref="AP27:AP30"/>
    <mergeCell ref="U28:U30"/>
    <mergeCell ref="AN28:AN30"/>
    <mergeCell ref="S17:V17"/>
    <mergeCell ref="W17:Z17"/>
    <mergeCell ref="F19:F23"/>
    <mergeCell ref="J19:J23"/>
    <mergeCell ref="N19:N23"/>
    <mergeCell ref="R19:R23"/>
    <mergeCell ref="B27:B30"/>
    <mergeCell ref="AH28:AH30"/>
    <mergeCell ref="AI28:AI30"/>
    <mergeCell ref="AJ28:AJ30"/>
    <mergeCell ref="AK28:AK30"/>
    <mergeCell ref="AL28:AL30"/>
    <mergeCell ref="AM28:AM30"/>
    <mergeCell ref="C29:H29"/>
    <mergeCell ref="I29:J29"/>
    <mergeCell ref="K29:L29"/>
    <mergeCell ref="M29:M30"/>
    <mergeCell ref="N29:N30"/>
    <mergeCell ref="O29:O30"/>
    <mergeCell ref="P29:P30"/>
    <mergeCell ref="Q29:Q30"/>
    <mergeCell ref="V28:V30"/>
    <mergeCell ref="W28:W30"/>
    <mergeCell ref="R28:S28"/>
    <mergeCell ref="T28:T30"/>
    <mergeCell ref="R29:R30"/>
    <mergeCell ref="S29:S30"/>
    <mergeCell ref="B39:B40"/>
    <mergeCell ref="C39:F39"/>
    <mergeCell ref="G39:J39"/>
    <mergeCell ref="J62:J64"/>
    <mergeCell ref="K62:K64"/>
    <mergeCell ref="L62:L64"/>
    <mergeCell ref="M62:M64"/>
    <mergeCell ref="N62:N64"/>
    <mergeCell ref="O62:O64"/>
    <mergeCell ref="P62:P64"/>
    <mergeCell ref="Q62:Q64"/>
    <mergeCell ref="C61:H61"/>
    <mergeCell ref="I61:R61"/>
    <mergeCell ref="C62:C64"/>
    <mergeCell ref="D62:D64"/>
    <mergeCell ref="E62:E64"/>
    <mergeCell ref="F62:F64"/>
    <mergeCell ref="G62:G64"/>
    <mergeCell ref="R62:R64"/>
    <mergeCell ref="X28:X30"/>
    <mergeCell ref="Y28:Y30"/>
    <mergeCell ref="Z28:Z30"/>
    <mergeCell ref="AA28:AA30"/>
    <mergeCell ref="AB28:AB30"/>
    <mergeCell ref="AC28:AC30"/>
    <mergeCell ref="AD28:AD30"/>
    <mergeCell ref="AE28:AE30"/>
    <mergeCell ref="AF28:AF30"/>
    <mergeCell ref="AG28:AG30"/>
    <mergeCell ref="K39:N39"/>
    <mergeCell ref="O39:Z39"/>
    <mergeCell ref="AA39:AT39"/>
    <mergeCell ref="AU39:AU40"/>
    <mergeCell ref="AV39:AV40"/>
    <mergeCell ref="AX41:AZ43"/>
    <mergeCell ref="BB41:BD43"/>
    <mergeCell ref="BB48:BD50"/>
    <mergeCell ref="H62:H64"/>
    <mergeCell ref="I62:I64"/>
    <mergeCell ref="DG5:DI5"/>
    <mergeCell ref="DJ5:DL5"/>
    <mergeCell ref="CL5:CN5"/>
    <mergeCell ref="CO5:CQ5"/>
    <mergeCell ref="CR5:CT5"/>
    <mergeCell ref="CU5:CW5"/>
    <mergeCell ref="CX5:CZ5"/>
    <mergeCell ref="DA5:DC5"/>
    <mergeCell ref="DD5:DF5"/>
    <mergeCell ref="AQ15:BP15"/>
    <mergeCell ref="BQ15:CJ15"/>
    <mergeCell ref="B13:CX13"/>
    <mergeCell ref="C14:BR14"/>
    <mergeCell ref="CK14:CL14"/>
    <mergeCell ref="CM14:DB14"/>
    <mergeCell ref="DC14:DN14"/>
    <mergeCell ref="DO14:EH14"/>
    <mergeCell ref="C15:AP15"/>
    <mergeCell ref="CK15:CL17"/>
    <mergeCell ref="CM15:CP17"/>
    <mergeCell ref="CQ15:CT17"/>
    <mergeCell ref="CU15:CX17"/>
    <mergeCell ref="CY15:DB17"/>
    <mergeCell ref="DC15:DD17"/>
    <mergeCell ref="DE15:DF17"/>
    <mergeCell ref="DW15:DX17"/>
    <mergeCell ref="DY15:DZ17"/>
    <mergeCell ref="EA15:EB17"/>
    <mergeCell ref="EC15:ED17"/>
    <mergeCell ref="EE15:EF17"/>
    <mergeCell ref="EG15:EH17"/>
    <mergeCell ref="DG15:DH17"/>
    <mergeCell ref="DI15:DJ17"/>
    <mergeCell ref="DM15:DN17"/>
    <mergeCell ref="DO15:DP17"/>
    <mergeCell ref="DQ15:DR17"/>
    <mergeCell ref="DS15:DT17"/>
    <mergeCell ref="DU15:DV17"/>
    <mergeCell ref="BW5:BY5"/>
    <mergeCell ref="BQ16:BZ16"/>
    <mergeCell ref="BQ17:BQ18"/>
    <mergeCell ref="BR17:BT17"/>
    <mergeCell ref="BU17:BW17"/>
    <mergeCell ref="BX17:BZ17"/>
    <mergeCell ref="CA17:CA18"/>
    <mergeCell ref="CA16:CJ16"/>
    <mergeCell ref="CB17:CD17"/>
    <mergeCell ref="CE17:CG17"/>
    <mergeCell ref="CH17:CJ17"/>
    <mergeCell ref="BQ5:BS5"/>
    <mergeCell ref="BT5:BV5"/>
    <mergeCell ref="BZ5:CB5"/>
    <mergeCell ref="CC5:CE5"/>
    <mergeCell ref="CF5:CH5"/>
    <mergeCell ref="CI5:CK5"/>
    <mergeCell ref="DK15:DL17"/>
    <mergeCell ref="BB4:BD4"/>
    <mergeCell ref="BE4:BP4"/>
    <mergeCell ref="CI4:DL4"/>
    <mergeCell ref="B1:CH2"/>
    <mergeCell ref="BP3:BS3"/>
    <mergeCell ref="CJ3:CM3"/>
    <mergeCell ref="AG4:AU4"/>
    <mergeCell ref="AV4:AX4"/>
    <mergeCell ref="AY4:BA4"/>
    <mergeCell ref="BQ4:CH4"/>
    <mergeCell ref="C4:AF4"/>
    <mergeCell ref="C5:E5"/>
    <mergeCell ref="F5:H5"/>
    <mergeCell ref="I5:K5"/>
    <mergeCell ref="L5:N5"/>
    <mergeCell ref="O5:Q5"/>
    <mergeCell ref="R5:T5"/>
    <mergeCell ref="AV5:AX5"/>
    <mergeCell ref="AY5:BA5"/>
    <mergeCell ref="BB5:BD5"/>
    <mergeCell ref="BE5:BG5"/>
    <mergeCell ref="BH5:BJ5"/>
    <mergeCell ref="BK5:BM5"/>
    <mergeCell ref="BN5:BP5"/>
    <mergeCell ref="C17:F17"/>
    <mergeCell ref="G17:J17"/>
    <mergeCell ref="K17:N17"/>
    <mergeCell ref="O17:R17"/>
    <mergeCell ref="BJ17:BL17"/>
    <mergeCell ref="BN17:BP17"/>
    <mergeCell ref="AX16:BA16"/>
    <mergeCell ref="BB16:BH16"/>
    <mergeCell ref="BI16:BL16"/>
    <mergeCell ref="BM16:BP16"/>
    <mergeCell ref="AY17:BA17"/>
    <mergeCell ref="BC17:BE17"/>
    <mergeCell ref="BF17:BH17"/>
    <mergeCell ref="BA19:BA23"/>
    <mergeCell ref="BE19:BE23"/>
    <mergeCell ref="BH19:BH23"/>
    <mergeCell ref="BL19:BL23"/>
    <mergeCell ref="BP19:BP23"/>
    <mergeCell ref="BT19:BT23"/>
    <mergeCell ref="BW19:BW23"/>
    <mergeCell ref="BZ19:BZ23"/>
    <mergeCell ref="CD19:CD23"/>
    <mergeCell ref="CG19:CG23"/>
    <mergeCell ref="CJ19:CJ23"/>
    <mergeCell ref="CL19:CL23"/>
    <mergeCell ref="CP19:CP23"/>
    <mergeCell ref="CT19:CT23"/>
    <mergeCell ref="CX19:CX23"/>
    <mergeCell ref="DB19:DB23"/>
    <mergeCell ref="DD19:DD23"/>
    <mergeCell ref="DF19:DF23"/>
    <mergeCell ref="DH19:DH23"/>
    <mergeCell ref="DJ19:DJ23"/>
    <mergeCell ref="DL19:DL23"/>
    <mergeCell ref="EB19:EB23"/>
    <mergeCell ref="ED19:ED23"/>
    <mergeCell ref="EF19:EF23"/>
    <mergeCell ref="EH19:EH23"/>
    <mergeCell ref="DN19:DN23"/>
    <mergeCell ref="DP19:DP23"/>
    <mergeCell ref="DR19:DR23"/>
    <mergeCell ref="DT19:DT23"/>
    <mergeCell ref="DV19:DV23"/>
    <mergeCell ref="DX19:DX23"/>
    <mergeCell ref="DZ19:DZ23"/>
    <mergeCell ref="AA5:AC5"/>
    <mergeCell ref="AD5:AF5"/>
    <mergeCell ref="AG5:AI5"/>
    <mergeCell ref="AJ5:AL5"/>
    <mergeCell ref="AM5:AO5"/>
    <mergeCell ref="AP5:AR5"/>
    <mergeCell ref="AS5:AU5"/>
    <mergeCell ref="AA17:AD17"/>
    <mergeCell ref="AE17:AH17"/>
    <mergeCell ref="AI17:AL17"/>
    <mergeCell ref="AM17:AP17"/>
    <mergeCell ref="AQ17:AQ18"/>
    <mergeCell ref="AR17:AT17"/>
    <mergeCell ref="AX17:AX18"/>
    <mergeCell ref="BB17:BB18"/>
    <mergeCell ref="BI17:BI18"/>
    <mergeCell ref="BM17:BM18"/>
    <mergeCell ref="U5:W5"/>
    <mergeCell ref="X5:Z5"/>
    <mergeCell ref="B14:B18"/>
    <mergeCell ref="C16:Z16"/>
    <mergeCell ref="AA16:AH16"/>
    <mergeCell ref="AI16:AP16"/>
    <mergeCell ref="AQ16:AW16"/>
    <mergeCell ref="AU17:AW17"/>
    <mergeCell ref="Z19:Z23"/>
    <mergeCell ref="AD19:AD23"/>
    <mergeCell ref="AH19:AH23"/>
    <mergeCell ref="AL19:AL23"/>
    <mergeCell ref="AP19:AP23"/>
    <mergeCell ref="AT19:AT23"/>
    <mergeCell ref="AW19:AW23"/>
    <mergeCell ref="C28:L28"/>
    <mergeCell ref="M28:Q28"/>
  </mergeCells>
  <printOptions/>
  <pageMargins bottom="0.75" footer="0.0" header="0.0" left="0.25" right="0.25" top="0.75"/>
  <pageSetup fitToWidth="0"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1.57"/>
    <col customWidth="1" min="3" max="3" width="14.86"/>
    <col customWidth="1" min="4" max="4" width="17.14"/>
    <col customWidth="1" min="5" max="5" width="17.0"/>
    <col customWidth="1" min="6" max="6" width="19.86"/>
    <col customWidth="1" min="7" max="7" width="21.14"/>
    <col customWidth="1" min="8" max="8" width="7.86"/>
    <col customWidth="1" min="9" max="9" width="12.14"/>
    <col customWidth="1" min="10" max="11" width="19.14"/>
    <col customWidth="1" min="12" max="12" width="12.0"/>
    <col customWidth="1" min="13" max="13" width="13.86"/>
    <col customWidth="1" min="14" max="14" width="11.57"/>
    <col customWidth="1" min="15" max="15" width="12.43"/>
    <col customWidth="1" min="16" max="16" width="11.57"/>
    <col customWidth="1" min="17" max="17" width="18.57"/>
    <col customWidth="1" min="18" max="18" width="16.0"/>
    <col customWidth="1" min="19" max="20" width="11.57"/>
    <col customWidth="1" min="21" max="21" width="18.0"/>
    <col customWidth="1" min="22" max="26" width="11.57"/>
    <col customWidth="1" min="27" max="28" width="11.86"/>
  </cols>
  <sheetData>
    <row r="1" ht="15.0" customHeight="1">
      <c r="B1" s="31" t="s">
        <v>217</v>
      </c>
    </row>
    <row r="2" ht="15.0" customHeight="1"/>
    <row r="3" ht="14.25" customHeight="1"/>
    <row r="4" ht="15.0" customHeight="1">
      <c r="B4" s="320" t="s">
        <v>218</v>
      </c>
      <c r="D4" s="321" t="s">
        <v>219</v>
      </c>
    </row>
    <row r="5" ht="14.25" customHeight="1">
      <c r="B5" s="321" t="s">
        <v>220</v>
      </c>
    </row>
    <row r="6" ht="14.25" customHeight="1">
      <c r="B6" s="322" t="s">
        <v>221</v>
      </c>
    </row>
    <row r="7" ht="14.25" customHeight="1">
      <c r="C7" s="322"/>
      <c r="D7" s="322"/>
      <c r="E7" s="322"/>
    </row>
    <row r="8" ht="14.25" customHeight="1">
      <c r="B8" s="30" t="s">
        <v>222</v>
      </c>
    </row>
    <row r="9" ht="14.25" customHeight="1">
      <c r="C9" s="323" t="s">
        <v>223</v>
      </c>
      <c r="D9" s="324"/>
      <c r="E9" s="325" t="s">
        <v>224</v>
      </c>
      <c r="F9" s="323" t="s">
        <v>225</v>
      </c>
      <c r="G9" s="326" t="str">
        <f>IF(E9="O","N",IF(E9= "N", "O", "saisir O ou N dans la zone dédiée références spécifiques"))</f>
        <v>N</v>
      </c>
      <c r="H9" s="322"/>
      <c r="I9" s="322"/>
    </row>
    <row r="10" ht="14.25" customHeight="1">
      <c r="B10" s="30"/>
      <c r="C10" s="322"/>
      <c r="E10" s="30"/>
      <c r="F10" s="322"/>
      <c r="G10" s="322"/>
      <c r="H10" s="322"/>
      <c r="I10" s="322"/>
    </row>
    <row r="11" ht="59.25" customHeight="1">
      <c r="E11" s="192" t="s">
        <v>226</v>
      </c>
      <c r="F11" s="327" t="str">
        <f>IF(E9="O", "IFT herbicide exploitation", "IFT herbicide référence régionale")</f>
        <v>IFT herbicide exploitation</v>
      </c>
      <c r="G11" s="327" t="str">
        <f>IF(E9="O", "IFT hors herbicide exploitation", "IFT hors herbicide référence régionale")</f>
        <v>IFT hors herbicide exploitation</v>
      </c>
      <c r="H11" s="328"/>
      <c r="I11" s="328" t="s">
        <v>226</v>
      </c>
      <c r="J11" s="327" t="s">
        <v>227</v>
      </c>
      <c r="K11" s="327" t="s">
        <v>228</v>
      </c>
      <c r="S11" s="14"/>
    </row>
    <row r="12" ht="14.25" customHeight="1">
      <c r="E12" s="126" t="s">
        <v>93</v>
      </c>
      <c r="F12" s="329">
        <v>1.77</v>
      </c>
      <c r="G12" s="329">
        <v>3.74</v>
      </c>
      <c r="I12" s="126" t="s">
        <v>205</v>
      </c>
      <c r="J12" s="329">
        <v>1.4</v>
      </c>
      <c r="K12" s="329">
        <v>1.9</v>
      </c>
      <c r="L12" s="29"/>
      <c r="M12" s="330" t="s">
        <v>229</v>
      </c>
      <c r="N12" s="331"/>
      <c r="O12" s="331"/>
      <c r="P12" s="332">
        <f>IF(AND(F17=0,J17=0),"/",IF(AND(J17&lt;&gt;0,F17=0),1,(J17-F17)/F17))</f>
        <v>-0.11205074</v>
      </c>
      <c r="Q12" s="333"/>
      <c r="R12" s="29"/>
      <c r="S12" s="310"/>
    </row>
    <row r="13" ht="14.25" customHeight="1">
      <c r="E13" s="126" t="s">
        <v>94</v>
      </c>
      <c r="F13" s="329">
        <v>1.37</v>
      </c>
      <c r="G13" s="329">
        <v>2.17</v>
      </c>
      <c r="I13" s="126" t="s">
        <v>206</v>
      </c>
      <c r="J13" s="329">
        <v>1.4</v>
      </c>
      <c r="K13" s="329">
        <v>1.9</v>
      </c>
      <c r="M13" s="334" t="str">
        <f>IF(P12="/","Ni rabais ni bonus",IF(AND(E9="O", P12&lt;=-0.1),"les co-bénéfices basés sur les herbicides sont validés", IF(AND(E9="N",P12&lt;= -0.3), "les co-bénéfices basés sur les herbicides sont validés", "les co-bénéfices basés sur les herbicides ne sont pas validés")))</f>
        <v>les co-bénéfices basés sur les herbicides sont validés</v>
      </c>
      <c r="N13" s="335"/>
      <c r="O13" s="335"/>
      <c r="P13" s="335"/>
      <c r="Q13" s="336"/>
    </row>
    <row r="14" ht="14.25" customHeight="1">
      <c r="E14" s="126" t="s">
        <v>95</v>
      </c>
      <c r="F14" s="329">
        <v>1.69</v>
      </c>
      <c r="G14" s="329">
        <v>3.03</v>
      </c>
      <c r="I14" s="126" t="s">
        <v>207</v>
      </c>
      <c r="J14" s="329">
        <v>1.4</v>
      </c>
      <c r="K14" s="329">
        <v>1.9</v>
      </c>
      <c r="U14" s="310"/>
    </row>
    <row r="15" ht="14.25" customHeight="1">
      <c r="E15" s="126" t="s">
        <v>96</v>
      </c>
      <c r="F15" s="329">
        <v>1.55</v>
      </c>
      <c r="G15" s="329">
        <v>2.21</v>
      </c>
      <c r="I15" s="126" t="s">
        <v>208</v>
      </c>
      <c r="J15" s="329">
        <v>1.4</v>
      </c>
      <c r="K15" s="329">
        <v>1.9</v>
      </c>
      <c r="M15" s="337" t="s">
        <v>230</v>
      </c>
      <c r="N15" s="338"/>
      <c r="O15" s="338"/>
      <c r="P15" s="339">
        <f>IF(AND(G17=0,K17=0),"/",IF(AND(K17&lt;&gt;0,G17=0),1,(K17-G17)/G17))</f>
        <v>-0.3074119077</v>
      </c>
      <c r="Q15" s="340"/>
    </row>
    <row r="16" ht="14.25" customHeight="1">
      <c r="E16" s="126" t="s">
        <v>97</v>
      </c>
      <c r="F16" s="329">
        <v>1.49</v>
      </c>
      <c r="G16" s="329">
        <v>2.99</v>
      </c>
      <c r="I16" s="126" t="s">
        <v>209</v>
      </c>
      <c r="J16" s="329">
        <v>1.4</v>
      </c>
      <c r="K16" s="329">
        <v>1.9</v>
      </c>
      <c r="M16" s="341" t="str">
        <f>IF(P15="/","Ni rabais ni bonus",IF(AND(E9="O",P15&lt;=-0.3),"les co-bénéfices basés sur les non-herbicides sont validés",IF(AND(E9="N",P15&lt;=-0.5),"les co-bénéfices basés sur les non-herbicides sont validés","les co-bénéfices basés sur les non-herbicides ne sont pas validés")))</f>
        <v>les co-bénéfices basés sur les non-herbicides sont validés</v>
      </c>
      <c r="N16" s="342"/>
      <c r="O16" s="342"/>
      <c r="P16" s="342"/>
      <c r="Q16" s="333"/>
    </row>
    <row r="17" ht="66.0" customHeight="1">
      <c r="E17" s="343" t="s">
        <v>231</v>
      </c>
      <c r="F17" s="198">
        <f t="shared" ref="F17:G17" si="1">IFERROR(TRIMMEAN(F12:F16,0.5),0)</f>
        <v>1.576666667</v>
      </c>
      <c r="G17" s="198">
        <f t="shared" si="1"/>
        <v>2.743333333</v>
      </c>
      <c r="I17" s="343" t="s">
        <v>232</v>
      </c>
      <c r="J17" s="198">
        <f t="shared" ref="J17:K17" si="2">IFERROR(TRIMMEAN(J12:J16,0.5),0)</f>
        <v>1.4</v>
      </c>
      <c r="K17" s="198">
        <f t="shared" si="2"/>
        <v>1.9</v>
      </c>
    </row>
    <row r="18" ht="14.25" customHeight="1">
      <c r="E18" s="344"/>
      <c r="F18" s="178"/>
      <c r="G18" s="178"/>
      <c r="I18" s="344"/>
      <c r="J18" s="178"/>
      <c r="K18" s="178"/>
      <c r="M18" s="345" t="s">
        <v>233</v>
      </c>
      <c r="N18" s="346"/>
      <c r="O18" s="346"/>
      <c r="P18" s="346"/>
      <c r="Q18" s="346"/>
      <c r="R18" s="347">
        <f>IF(P12&lt;0,ROUNDDOWN(-(P12-(-IF(E9="O",0.1,0.2)))/0.05,0),0)</f>
        <v>0</v>
      </c>
      <c r="S18" s="247"/>
    </row>
    <row r="19" ht="14.25" customHeight="1">
      <c r="B19" s="320" t="s">
        <v>234</v>
      </c>
      <c r="D19" s="321" t="s">
        <v>235</v>
      </c>
      <c r="M19" s="348" t="s">
        <v>236</v>
      </c>
      <c r="N19" s="349"/>
      <c r="O19" s="349"/>
      <c r="P19" s="349"/>
      <c r="Q19" s="349"/>
      <c r="R19" s="347">
        <f>IF(P15&lt;0,ROUNDDOWN(-(P15-(-IF(E9="O",0.3,0.5)))/0.05,0),0)</f>
        <v>0</v>
      </c>
    </row>
    <row r="20" ht="31.5" customHeight="1">
      <c r="B20" s="320"/>
      <c r="E20" s="192" t="s">
        <v>226</v>
      </c>
      <c r="F20" s="350" t="s">
        <v>237</v>
      </c>
      <c r="G20" s="351"/>
      <c r="H20" s="351"/>
      <c r="I20" s="328" t="s">
        <v>226</v>
      </c>
      <c r="J20" s="350" t="s">
        <v>237</v>
      </c>
      <c r="K20" s="352"/>
    </row>
    <row r="21" ht="15.75" customHeight="1">
      <c r="B21" s="320"/>
      <c r="E21" s="126" t="s">
        <v>93</v>
      </c>
      <c r="F21" s="353">
        <v>0.0</v>
      </c>
      <c r="I21" s="126" t="s">
        <v>205</v>
      </c>
      <c r="J21" s="353">
        <v>0.0</v>
      </c>
      <c r="K21" s="192"/>
      <c r="L21" s="354" t="s">
        <v>238</v>
      </c>
      <c r="M21" s="331"/>
      <c r="N21" s="331"/>
      <c r="O21" s="355"/>
      <c r="P21" s="356" t="str">
        <f>IF(AND(F26=0,J26=0),"/",-(F26-J26)/F26)</f>
        <v>/</v>
      </c>
      <c r="Q21" s="357"/>
    </row>
    <row r="22" ht="15.75" customHeight="1">
      <c r="B22" s="320"/>
      <c r="E22" s="126" t="s">
        <v>94</v>
      </c>
      <c r="F22" s="353">
        <v>0.0</v>
      </c>
      <c r="I22" s="126" t="s">
        <v>206</v>
      </c>
      <c r="J22" s="353">
        <v>0.0</v>
      </c>
      <c r="K22" s="192"/>
      <c r="L22" s="334" t="str">
        <f>IF(SUM(F21:F25,J21:J25)=0,"Ni rabais ni bonus",IF(AND(F26=0,J26=0),"le co-bénéfice préservation de la ressource en eau est effectif",IF((F26-J26)/F26&gt;=0.3,"le co-bénéfice préservation de la ressource en eau est effectif","le co-bénéfice préservation de la ressource en eau n'est pas effectif")))</f>
        <v>Ni rabais ni bonus</v>
      </c>
      <c r="M22" s="335"/>
      <c r="N22" s="335"/>
      <c r="O22" s="335"/>
      <c r="P22" s="335"/>
      <c r="Q22" s="336"/>
    </row>
    <row r="23" ht="15.75" customHeight="1">
      <c r="B23" s="320"/>
      <c r="E23" s="126" t="s">
        <v>95</v>
      </c>
      <c r="F23" s="353">
        <v>0.0</v>
      </c>
      <c r="I23" s="126" t="s">
        <v>207</v>
      </c>
      <c r="J23" s="353">
        <v>0.0</v>
      </c>
      <c r="K23" s="192"/>
      <c r="L23" s="358"/>
      <c r="M23" s="358"/>
      <c r="N23" s="358"/>
      <c r="O23" s="358"/>
      <c r="P23" s="358"/>
    </row>
    <row r="24" ht="15.75" customHeight="1">
      <c r="B24" s="320"/>
      <c r="E24" s="126" t="s">
        <v>96</v>
      </c>
      <c r="F24" s="353">
        <v>0.0</v>
      </c>
      <c r="I24" s="126" t="s">
        <v>208</v>
      </c>
      <c r="J24" s="353">
        <v>0.0</v>
      </c>
      <c r="K24" s="192"/>
      <c r="Q24" s="185"/>
    </row>
    <row r="25" ht="15.75" customHeight="1">
      <c r="B25" s="320"/>
      <c r="E25" s="126" t="s">
        <v>97</v>
      </c>
      <c r="F25" s="353">
        <v>0.0</v>
      </c>
      <c r="I25" s="126" t="s">
        <v>209</v>
      </c>
      <c r="J25" s="353">
        <v>0.0</v>
      </c>
      <c r="K25" s="192"/>
      <c r="M25" s="13"/>
      <c r="N25" s="13"/>
      <c r="O25" s="13"/>
    </row>
    <row r="26" ht="44.25" customHeight="1">
      <c r="B26" s="320"/>
      <c r="E26" s="359" t="s">
        <v>239</v>
      </c>
      <c r="F26" s="198">
        <f>SUM(F21:F25)</f>
        <v>0</v>
      </c>
      <c r="I26" s="359" t="s">
        <v>239</v>
      </c>
      <c r="J26" s="198">
        <f>SUM(J21:J25)</f>
        <v>0</v>
      </c>
      <c r="K26" s="178"/>
      <c r="L26" s="360" t="s">
        <v>240</v>
      </c>
      <c r="M26" s="331"/>
      <c r="N26" s="331"/>
      <c r="O26" s="355"/>
      <c r="P26" s="361">
        <f>IF(P21&lt;0,ROUNDDOWN((-P21-0.3)/0.1,0),0)</f>
        <v>0</v>
      </c>
    </row>
    <row r="27" ht="14.25" customHeight="1"/>
    <row r="28" ht="33.0" customHeight="1">
      <c r="B28" s="320" t="s">
        <v>241</v>
      </c>
    </row>
    <row r="29" ht="14.25" customHeight="1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ht="14.25" customHeight="1">
      <c r="B30" s="7"/>
      <c r="C30" s="7"/>
      <c r="D30" s="362" t="s">
        <v>242</v>
      </c>
      <c r="E30" s="35"/>
      <c r="F30" s="35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ht="14.25" customHeight="1">
      <c r="B31" s="7"/>
      <c r="C31" s="7"/>
      <c r="D31" s="7"/>
      <c r="E31" s="7"/>
      <c r="F31" s="7"/>
      <c r="G31" s="7"/>
      <c r="H31" s="7"/>
      <c r="I31" s="7"/>
      <c r="J31" s="7"/>
      <c r="K31" s="7"/>
      <c r="L31" s="363"/>
      <c r="M31" s="363"/>
      <c r="N31" s="363"/>
      <c r="O31" s="363"/>
      <c r="P31" s="363"/>
      <c r="Q31" s="29"/>
      <c r="R31" s="23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ht="14.25" customHeight="1">
      <c r="B32" s="7"/>
      <c r="C32" s="7"/>
      <c r="D32" s="7"/>
      <c r="E32" s="7"/>
      <c r="F32" s="7"/>
      <c r="G32" s="7"/>
      <c r="H32" s="7"/>
      <c r="I32" s="7"/>
      <c r="J32" s="7"/>
      <c r="K32" s="7"/>
      <c r="L32" s="363"/>
      <c r="M32" s="363"/>
      <c r="N32" s="363"/>
      <c r="O32" s="363"/>
      <c r="P32" s="363"/>
      <c r="Q32" s="29"/>
      <c r="R32" s="23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ht="14.25" customHeight="1">
      <c r="B33" s="7"/>
      <c r="C33" s="7"/>
      <c r="D33" s="7"/>
      <c r="E33" s="7"/>
      <c r="F33" s="7"/>
      <c r="G33" s="7"/>
      <c r="H33" s="7"/>
      <c r="I33" s="7"/>
      <c r="J33" s="7"/>
      <c r="K33" s="7"/>
      <c r="L33" s="363"/>
      <c r="M33" s="363"/>
      <c r="N33" s="363"/>
      <c r="O33" s="363"/>
      <c r="P33" s="363"/>
      <c r="Q33" s="29"/>
      <c r="R33" s="23"/>
      <c r="S33" s="8"/>
      <c r="T33" s="7"/>
      <c r="U33" s="7"/>
      <c r="V33" s="7"/>
      <c r="W33" s="7"/>
      <c r="X33" s="7"/>
      <c r="Y33" s="7"/>
      <c r="Z33" s="7"/>
      <c r="AA33" s="7"/>
      <c r="AB33" s="7"/>
    </row>
    <row r="34" ht="14.25" customHeight="1">
      <c r="B34" s="7"/>
      <c r="C34" s="7"/>
      <c r="D34" s="7"/>
      <c r="E34" s="7"/>
      <c r="F34" s="7"/>
      <c r="G34" s="7"/>
      <c r="H34" s="7"/>
      <c r="I34" s="7"/>
      <c r="J34" s="7"/>
      <c r="K34" s="7"/>
      <c r="L34" s="363"/>
      <c r="M34" s="363"/>
      <c r="N34" s="363"/>
      <c r="O34" s="363"/>
      <c r="P34" s="363"/>
      <c r="Q34" s="29"/>
      <c r="R34" s="23"/>
      <c r="S34" s="8"/>
      <c r="T34" s="7"/>
      <c r="U34" s="7"/>
      <c r="V34" s="7"/>
      <c r="W34" s="7"/>
      <c r="X34" s="7"/>
      <c r="Y34" s="7"/>
      <c r="Z34" s="7"/>
      <c r="AA34" s="7"/>
      <c r="AB34" s="7"/>
    </row>
    <row r="35" ht="14.25" customHeight="1">
      <c r="B35" s="7"/>
      <c r="C35" s="7"/>
      <c r="D35" s="7"/>
      <c r="E35" s="7"/>
      <c r="F35" s="7"/>
      <c r="G35" s="7"/>
      <c r="H35" s="7"/>
      <c r="I35" s="7"/>
      <c r="J35" s="7"/>
      <c r="K35" s="7"/>
      <c r="L35" s="363"/>
      <c r="M35" s="363"/>
      <c r="N35" s="363"/>
      <c r="O35" s="363"/>
      <c r="P35" s="363"/>
      <c r="Q35" s="29"/>
      <c r="R35" s="23"/>
      <c r="S35" s="8"/>
      <c r="T35" s="7"/>
      <c r="U35" s="7"/>
      <c r="V35" s="7"/>
      <c r="W35" s="7"/>
      <c r="X35" s="7"/>
      <c r="Y35" s="7"/>
      <c r="Z35" s="7"/>
      <c r="AA35" s="7"/>
      <c r="AB35" s="7"/>
    </row>
    <row r="36" ht="14.25" customHeight="1">
      <c r="B36" s="7"/>
      <c r="C36" s="7"/>
      <c r="D36" s="7"/>
      <c r="E36" s="7"/>
      <c r="F36" s="7"/>
      <c r="G36" s="7"/>
      <c r="H36" s="7"/>
      <c r="I36" s="7"/>
      <c r="J36" s="7"/>
      <c r="K36" s="7"/>
      <c r="L36" s="363"/>
      <c r="M36" s="363"/>
      <c r="N36" s="363"/>
      <c r="O36" s="363"/>
      <c r="P36" s="363"/>
      <c r="Q36" s="29"/>
      <c r="R36" s="23"/>
      <c r="S36" s="8"/>
      <c r="T36" s="7"/>
      <c r="U36" s="7"/>
      <c r="V36" s="7"/>
      <c r="W36" s="7"/>
      <c r="X36" s="7"/>
      <c r="Y36" s="7"/>
      <c r="Z36" s="7"/>
      <c r="AA36" s="7"/>
      <c r="AB36" s="7"/>
    </row>
    <row r="37" ht="14.25" customHeight="1">
      <c r="B37" s="7"/>
      <c r="C37" s="7"/>
      <c r="D37" s="7"/>
      <c r="E37" s="7"/>
      <c r="F37" s="7"/>
      <c r="G37" s="7"/>
      <c r="H37" s="7"/>
      <c r="I37" s="7"/>
      <c r="J37" s="7"/>
      <c r="K37" s="7"/>
      <c r="L37" s="363"/>
      <c r="M37" s="363"/>
      <c r="N37" s="363"/>
      <c r="O37" s="363"/>
      <c r="P37" s="363"/>
      <c r="Q37" s="29"/>
      <c r="R37" s="23"/>
      <c r="S37" s="8"/>
      <c r="T37" s="7"/>
      <c r="U37" s="7"/>
      <c r="V37" s="7"/>
      <c r="W37" s="7"/>
      <c r="X37" s="7"/>
      <c r="Y37" s="7"/>
      <c r="Z37" s="7"/>
      <c r="AA37" s="7"/>
      <c r="AB37" s="7"/>
    </row>
    <row r="38" ht="14.25" customHeight="1"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ht="14.25" customHeight="1"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63"/>
      <c r="N39" s="363"/>
      <c r="O39" s="363"/>
      <c r="P39" s="363"/>
      <c r="Q39" s="7"/>
      <c r="R39" s="7"/>
      <c r="S39" s="7"/>
      <c r="U39" s="7"/>
      <c r="V39" s="7"/>
      <c r="W39" s="7"/>
      <c r="X39" s="7"/>
      <c r="Y39" s="7"/>
      <c r="Z39" s="7"/>
    </row>
    <row r="40" ht="14.25" customHeight="1">
      <c r="B40" s="7"/>
      <c r="C40" s="7"/>
      <c r="D40" s="7"/>
      <c r="E40" s="7"/>
      <c r="F40" s="7"/>
      <c r="G40" s="7"/>
      <c r="H40" s="7"/>
      <c r="I40" s="7"/>
      <c r="J40" s="7"/>
      <c r="K40" s="7"/>
      <c r="L40" s="363"/>
      <c r="M40" s="363"/>
      <c r="N40" s="363"/>
      <c r="O40" s="29"/>
      <c r="P40" s="29"/>
      <c r="Q40" s="29"/>
      <c r="R40" s="29"/>
      <c r="S40" s="29"/>
      <c r="T40" s="7"/>
      <c r="U40" s="7"/>
      <c r="V40" s="7"/>
      <c r="W40" s="7"/>
      <c r="X40" s="7"/>
      <c r="Y40" s="7"/>
      <c r="Z40" s="7"/>
    </row>
    <row r="41" ht="14.25" customHeight="1">
      <c r="B41" s="7"/>
      <c r="C41" s="7"/>
      <c r="D41" s="7"/>
      <c r="E41" s="7"/>
      <c r="F41" s="7"/>
      <c r="G41" s="7"/>
      <c r="H41" s="7"/>
      <c r="I41" s="7"/>
      <c r="J41" s="7"/>
      <c r="K41" s="7"/>
      <c r="L41" s="363"/>
      <c r="M41" s="363"/>
      <c r="N41" s="363"/>
      <c r="O41" s="29"/>
      <c r="P41" s="29"/>
      <c r="Q41" s="29"/>
      <c r="R41" s="29"/>
      <c r="S41" s="29"/>
      <c r="T41" s="7"/>
      <c r="U41" s="7"/>
      <c r="V41" s="7"/>
      <c r="W41" s="7"/>
      <c r="X41" s="7"/>
      <c r="Y41" s="7"/>
      <c r="Z41" s="7"/>
    </row>
    <row r="42" ht="14.25" customHeight="1">
      <c r="B42" s="7"/>
      <c r="C42" s="7"/>
      <c r="D42" s="7"/>
      <c r="E42" s="7"/>
      <c r="F42" s="7"/>
      <c r="G42" s="7"/>
      <c r="H42" s="7"/>
      <c r="I42" s="7"/>
      <c r="J42" s="7"/>
      <c r="K42" s="7"/>
      <c r="L42" s="363"/>
      <c r="M42" s="363"/>
      <c r="N42" s="363"/>
      <c r="O42" s="29"/>
      <c r="P42" s="29"/>
      <c r="Q42" s="29"/>
      <c r="R42" s="29"/>
      <c r="S42" s="29"/>
      <c r="T42" s="7"/>
      <c r="U42" s="7"/>
      <c r="V42" s="7"/>
      <c r="W42" s="7"/>
      <c r="X42" s="7"/>
      <c r="Y42" s="7"/>
    </row>
    <row r="43" ht="14.25" customHeight="1">
      <c r="B43" s="7"/>
      <c r="C43" s="7"/>
      <c r="D43" s="7"/>
      <c r="E43" s="7"/>
      <c r="F43" s="7"/>
      <c r="G43" s="7"/>
      <c r="H43" s="7"/>
      <c r="I43" s="7"/>
      <c r="J43" s="7"/>
      <c r="K43" s="7"/>
      <c r="L43" s="363"/>
      <c r="M43" s="363"/>
      <c r="N43" s="363"/>
      <c r="O43" s="29"/>
      <c r="P43" s="29"/>
      <c r="Q43" s="29"/>
      <c r="R43" s="29"/>
      <c r="S43" s="29"/>
      <c r="T43" s="7"/>
      <c r="U43" s="7"/>
      <c r="V43" s="7"/>
      <c r="W43" s="7"/>
      <c r="X43" s="7"/>
      <c r="Y43" s="7"/>
    </row>
    <row r="44" ht="14.25" customHeight="1">
      <c r="B44" s="7"/>
      <c r="C44" s="7"/>
      <c r="D44" s="7"/>
      <c r="E44" s="7"/>
      <c r="F44" s="7"/>
      <c r="G44" s="7"/>
      <c r="H44" s="7"/>
      <c r="I44" s="7"/>
      <c r="J44" s="7"/>
      <c r="K44" s="7"/>
      <c r="L44" s="363"/>
      <c r="M44" s="363"/>
      <c r="N44" s="363"/>
      <c r="O44" s="29"/>
      <c r="P44" s="29"/>
      <c r="Q44" s="29"/>
      <c r="R44" s="29"/>
      <c r="S44" s="29"/>
      <c r="T44" s="7"/>
      <c r="U44" s="7"/>
      <c r="V44" s="7"/>
      <c r="W44" s="7"/>
      <c r="X44" s="7"/>
      <c r="Y44" s="7"/>
    </row>
    <row r="45" ht="14.25" customHeight="1">
      <c r="B45" s="7"/>
      <c r="C45" s="7"/>
      <c r="D45" s="7"/>
      <c r="E45" s="7"/>
      <c r="F45" s="7"/>
      <c r="G45" s="7"/>
      <c r="H45" s="7"/>
      <c r="I45" s="7"/>
      <c r="J45" s="7"/>
      <c r="K45" s="7"/>
      <c r="L45" s="363"/>
      <c r="M45" s="363"/>
      <c r="N45" s="363"/>
      <c r="O45" s="29"/>
      <c r="P45" s="29"/>
      <c r="Q45" s="29"/>
      <c r="R45" s="29"/>
      <c r="S45" s="29"/>
      <c r="T45" s="7"/>
      <c r="U45" s="7"/>
      <c r="V45" s="7"/>
      <c r="W45" s="7"/>
      <c r="X45" s="7"/>
      <c r="Y45" s="7"/>
    </row>
    <row r="46" ht="14.25" customHeight="1">
      <c r="B46" s="7"/>
      <c r="C46" s="7"/>
      <c r="D46" s="7"/>
      <c r="E46" s="7"/>
      <c r="F46" s="7"/>
      <c r="G46" s="7"/>
      <c r="H46" s="7"/>
      <c r="I46" s="7"/>
      <c r="J46" s="7"/>
      <c r="K46" s="7"/>
      <c r="L46" s="363"/>
      <c r="M46" s="363"/>
      <c r="N46" s="363"/>
      <c r="O46" s="29"/>
      <c r="P46" s="29"/>
      <c r="Q46" s="29"/>
      <c r="R46" s="29"/>
      <c r="S46" s="29"/>
      <c r="T46" s="7"/>
      <c r="U46" s="7"/>
      <c r="V46" s="7"/>
      <c r="W46" s="7"/>
      <c r="X46" s="7"/>
      <c r="Y46" s="7"/>
    </row>
    <row r="47" ht="14.25" customHeight="1"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29"/>
      <c r="P47" s="29"/>
      <c r="Q47" s="29"/>
      <c r="R47" s="29"/>
      <c r="S47" s="29"/>
      <c r="T47" s="7"/>
      <c r="U47" s="7"/>
      <c r="V47" s="7"/>
      <c r="W47" s="7"/>
      <c r="X47" s="7"/>
      <c r="Y47" s="7"/>
    </row>
    <row r="48" ht="14.25" customHeight="1"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29"/>
      <c r="P48" s="29"/>
      <c r="Q48" s="29"/>
      <c r="R48" s="29"/>
      <c r="S48" s="29"/>
      <c r="T48" s="7"/>
      <c r="U48" s="7"/>
      <c r="V48" s="7"/>
      <c r="W48" s="7"/>
      <c r="X48" s="7"/>
      <c r="Y48" s="7"/>
    </row>
    <row r="49" ht="14.25" customHeight="1"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29"/>
      <c r="P49" s="29"/>
      <c r="Q49" s="29"/>
      <c r="R49" s="29"/>
      <c r="S49" s="29"/>
      <c r="T49" s="7"/>
      <c r="U49" s="7"/>
      <c r="V49" s="7"/>
      <c r="W49" s="7"/>
      <c r="X49" s="7"/>
      <c r="Y49" s="7"/>
    </row>
    <row r="50" ht="14.25" customHeight="1"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29"/>
      <c r="P50" s="29"/>
      <c r="Q50" s="29"/>
      <c r="R50" s="29"/>
      <c r="S50" s="29"/>
      <c r="T50" s="7"/>
      <c r="U50" s="7"/>
      <c r="V50" s="7"/>
      <c r="W50" s="7"/>
      <c r="X50" s="7"/>
      <c r="Y50" s="7"/>
    </row>
    <row r="51" ht="14.25" customHeight="1"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29"/>
      <c r="P51" s="29"/>
      <c r="Q51" s="29"/>
      <c r="R51" s="29"/>
      <c r="S51" s="29"/>
      <c r="T51" s="7"/>
      <c r="U51" s="7"/>
      <c r="V51" s="7"/>
      <c r="W51" s="7"/>
      <c r="X51" s="7"/>
      <c r="Y51" s="7"/>
    </row>
    <row r="52" ht="14.25" customHeight="1"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29"/>
      <c r="P52" s="29"/>
      <c r="Q52" s="29"/>
      <c r="R52" s="29"/>
      <c r="S52" s="29"/>
      <c r="T52" s="7"/>
      <c r="U52" s="7"/>
      <c r="V52" s="7"/>
      <c r="W52" s="7"/>
      <c r="X52" s="7"/>
      <c r="Y52" s="7"/>
    </row>
    <row r="53" ht="14.25" customHeight="1"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29"/>
      <c r="P53" s="29"/>
      <c r="Q53" s="29"/>
      <c r="R53" s="29"/>
      <c r="S53" s="29"/>
      <c r="T53" s="7"/>
      <c r="U53" s="7"/>
      <c r="V53" s="7"/>
      <c r="W53" s="7"/>
      <c r="X53" s="7"/>
      <c r="Y53" s="7"/>
    </row>
    <row r="54" ht="14.25" customHeight="1"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ht="14.25" customHeight="1"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ht="14.25" customHeight="1"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ht="14.25" customHeight="1"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ht="14.25" customHeight="1"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ht="14.25" customHeight="1"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ht="14.25" customHeight="1"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ht="14.25" customHeight="1"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ht="14.25" customHeight="1"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ht="14.25" customHeight="1"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ht="14.25" customHeight="1"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ht="14.25" customHeight="1"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7">
    <mergeCell ref="B1:K2"/>
    <mergeCell ref="B6:E6"/>
    <mergeCell ref="M12:O12"/>
    <mergeCell ref="M15:O15"/>
    <mergeCell ref="L21:O21"/>
    <mergeCell ref="L26:O26"/>
    <mergeCell ref="D30:F30"/>
  </mergeCells>
  <conditionalFormatting sqref="P26">
    <cfRule type="expression" dxfId="0" priority="1">
      <formula>"&gt;=1"</formula>
    </cfRule>
  </conditionalFormatting>
  <hyperlinks>
    <hyperlink r:id="rId1" ref="B6"/>
  </hyperlinks>
  <printOptions/>
  <pageMargins bottom="0.75" footer="0.0" header="0.0" left="0.7" right="0.7" top="0.75"/>
  <pageSetup paperSize="9" orientation="portrait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39" width="16.86"/>
    <col customWidth="1" min="40" max="41" width="28.43"/>
    <col customWidth="1" min="42" max="42" width="16.86"/>
  </cols>
  <sheetData>
    <row r="1" ht="15.0" customHeight="1">
      <c r="B1" s="31" t="s">
        <v>243</v>
      </c>
      <c r="L1" s="31"/>
    </row>
    <row r="2" ht="15.0" customHeight="1">
      <c r="L2" s="31"/>
    </row>
    <row r="3" ht="14.25" customHeight="1">
      <c r="A3" s="20"/>
      <c r="B3" s="20"/>
      <c r="C3" s="20"/>
      <c r="D3" s="20"/>
      <c r="E3" s="20"/>
      <c r="F3" s="20"/>
      <c r="G3" s="20"/>
      <c r="I3" s="20"/>
      <c r="R3" s="192"/>
      <c r="Y3" s="20"/>
    </row>
    <row r="4" ht="14.25" customHeight="1">
      <c r="B4" s="192"/>
      <c r="F4" s="48"/>
    </row>
    <row r="5" ht="24.0" customHeight="1">
      <c r="B5" s="364" t="s">
        <v>244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</row>
    <row r="6" ht="14.25" customHeight="1"/>
    <row r="7" ht="14.25" customHeight="1">
      <c r="B7" s="365" t="s">
        <v>245</v>
      </c>
      <c r="C7" s="366"/>
      <c r="D7" s="366"/>
      <c r="E7" s="366"/>
      <c r="F7" s="366"/>
      <c r="G7" s="366"/>
      <c r="H7" s="366"/>
      <c r="M7" s="367" t="s">
        <v>246</v>
      </c>
      <c r="N7" s="368"/>
      <c r="O7" s="368"/>
      <c r="P7" s="368"/>
      <c r="Q7" s="368"/>
      <c r="R7" s="368"/>
      <c r="S7" s="368"/>
    </row>
    <row r="8" ht="25.5" customHeight="1">
      <c r="C8" s="369" t="s">
        <v>226</v>
      </c>
      <c r="D8" s="126" t="s">
        <v>93</v>
      </c>
      <c r="E8" s="126" t="s">
        <v>94</v>
      </c>
      <c r="F8" s="126" t="s">
        <v>95</v>
      </c>
      <c r="G8" s="126" t="s">
        <v>96</v>
      </c>
      <c r="H8" s="126" t="s">
        <v>97</v>
      </c>
      <c r="N8" s="369" t="s">
        <v>226</v>
      </c>
      <c r="O8" s="126" t="s">
        <v>205</v>
      </c>
      <c r="P8" s="126" t="s">
        <v>206</v>
      </c>
      <c r="Q8" s="126" t="s">
        <v>207</v>
      </c>
      <c r="R8" s="126" t="s">
        <v>208</v>
      </c>
      <c r="S8" s="126" t="s">
        <v>209</v>
      </c>
    </row>
    <row r="9" ht="69.0" customHeight="1">
      <c r="C9" s="370" t="s">
        <v>247</v>
      </c>
      <c r="D9" s="371">
        <v>334.88</v>
      </c>
      <c r="E9" s="371">
        <v>383.86</v>
      </c>
      <c r="F9" s="371">
        <v>383.86</v>
      </c>
      <c r="G9" s="371">
        <v>383.86</v>
      </c>
      <c r="H9" s="371">
        <v>383.86</v>
      </c>
      <c r="N9" s="369" t="s">
        <v>247</v>
      </c>
      <c r="O9" s="371">
        <v>383.86</v>
      </c>
      <c r="P9" s="371">
        <v>383.86</v>
      </c>
      <c r="Q9" s="371">
        <v>383.86</v>
      </c>
      <c r="R9" s="371">
        <v>383.86</v>
      </c>
      <c r="S9" s="371">
        <v>383.86</v>
      </c>
    </row>
    <row r="10" ht="69.0" customHeight="1">
      <c r="C10" s="370" t="s">
        <v>248</v>
      </c>
      <c r="D10" s="371">
        <v>162.91</v>
      </c>
      <c r="E10" s="371">
        <v>179.53</v>
      </c>
      <c r="F10" s="371">
        <v>169.17</v>
      </c>
      <c r="G10" s="371">
        <v>181.52</v>
      </c>
      <c r="H10" s="371">
        <v>181.52</v>
      </c>
      <c r="N10" s="369" t="s">
        <v>248</v>
      </c>
      <c r="O10" s="371">
        <v>181.52</v>
      </c>
      <c r="P10" s="371">
        <v>181.52</v>
      </c>
      <c r="Q10" s="371">
        <v>181.52</v>
      </c>
      <c r="R10" s="371">
        <v>181.52</v>
      </c>
      <c r="S10" s="371">
        <v>181.52</v>
      </c>
    </row>
    <row r="11" ht="29.25" customHeight="1"/>
    <row r="12" ht="29.25" customHeight="1"/>
    <row r="13" ht="28.5" customHeight="1">
      <c r="B13" s="364" t="s">
        <v>249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</row>
    <row r="14" ht="23.25" customHeight="1"/>
    <row r="15" ht="25.5" customHeight="1">
      <c r="C15" s="369" t="s">
        <v>226</v>
      </c>
      <c r="D15" s="126" t="s">
        <v>93</v>
      </c>
      <c r="E15" s="126" t="s">
        <v>94</v>
      </c>
      <c r="F15" s="126" t="s">
        <v>95</v>
      </c>
      <c r="G15" s="126" t="s">
        <v>96</v>
      </c>
      <c r="H15" s="126" t="s">
        <v>97</v>
      </c>
      <c r="N15" s="369" t="s">
        <v>226</v>
      </c>
      <c r="O15" s="126" t="s">
        <v>205</v>
      </c>
      <c r="P15" s="126" t="s">
        <v>206</v>
      </c>
      <c r="Q15" s="126" t="s">
        <v>207</v>
      </c>
      <c r="R15" s="126" t="s">
        <v>208</v>
      </c>
      <c r="S15" s="126" t="s">
        <v>209</v>
      </c>
    </row>
    <row r="16" ht="69.0" customHeight="1">
      <c r="C16" s="370" t="s">
        <v>250</v>
      </c>
      <c r="D16" s="371">
        <v>276.46</v>
      </c>
      <c r="E16" s="371">
        <v>287.18</v>
      </c>
      <c r="F16" s="371">
        <v>291.24</v>
      </c>
      <c r="G16" s="371">
        <v>301.09</v>
      </c>
      <c r="H16" s="371">
        <v>301.09</v>
      </c>
      <c r="N16" s="369" t="s">
        <v>250</v>
      </c>
      <c r="O16" s="371">
        <v>301.09</v>
      </c>
      <c r="P16" s="371">
        <v>301.09</v>
      </c>
      <c r="Q16" s="371">
        <v>301.09</v>
      </c>
      <c r="R16" s="371">
        <v>301.09</v>
      </c>
      <c r="S16" s="371">
        <v>301.09</v>
      </c>
    </row>
    <row r="17" ht="69.0" customHeight="1">
      <c r="C17" s="372" t="s">
        <v>251</v>
      </c>
      <c r="D17" s="373">
        <v>1557710.0</v>
      </c>
      <c r="E17" s="373">
        <v>1313764.0</v>
      </c>
      <c r="F17" s="373">
        <v>1544263.0</v>
      </c>
      <c r="G17" s="373">
        <v>1759458.0</v>
      </c>
      <c r="H17" s="373">
        <v>1759458.0</v>
      </c>
      <c r="N17" s="372" t="s">
        <v>251</v>
      </c>
      <c r="O17" s="373">
        <v>1759458.0</v>
      </c>
      <c r="P17" s="373">
        <v>1759458.0</v>
      </c>
      <c r="Q17" s="373">
        <v>1759458.0</v>
      </c>
      <c r="R17" s="373">
        <v>1759458.0</v>
      </c>
      <c r="S17" s="373">
        <v>1759458.0</v>
      </c>
    </row>
    <row r="18" ht="69.0" customHeight="1">
      <c r="C18" s="372" t="s">
        <v>252</v>
      </c>
      <c r="D18" s="374">
        <v>40.0</v>
      </c>
      <c r="E18" s="374">
        <v>40.0</v>
      </c>
      <c r="F18" s="374">
        <v>40.0</v>
      </c>
      <c r="G18" s="374">
        <v>40.0</v>
      </c>
      <c r="H18" s="374">
        <v>40.0</v>
      </c>
      <c r="I18" s="375" t="s">
        <v>253</v>
      </c>
      <c r="N18" s="372" t="s">
        <v>252</v>
      </c>
      <c r="O18" s="374">
        <v>40.0</v>
      </c>
      <c r="P18" s="374">
        <v>40.0</v>
      </c>
      <c r="Q18" s="374">
        <v>40.0</v>
      </c>
      <c r="R18" s="374">
        <v>40.0</v>
      </c>
      <c r="S18" s="374">
        <v>40.0</v>
      </c>
      <c r="T18" s="375" t="s">
        <v>254</v>
      </c>
      <c r="U18" s="375" t="s">
        <v>255</v>
      </c>
      <c r="V18" s="375" t="s">
        <v>255</v>
      </c>
      <c r="W18" s="376" t="s">
        <v>256</v>
      </c>
    </row>
    <row r="19" ht="69.0" customHeight="1">
      <c r="C19" s="369" t="s">
        <v>257</v>
      </c>
      <c r="D19" s="377">
        <f t="shared" ref="D19:H19" si="1">IF(ISBLANK(D17),"N/A",IF(D17&gt;0,D17/D10,0))</f>
        <v>9561.782579</v>
      </c>
      <c r="E19" s="377">
        <f t="shared" si="1"/>
        <v>7317.796469</v>
      </c>
      <c r="F19" s="377">
        <f t="shared" si="1"/>
        <v>9128.468405</v>
      </c>
      <c r="G19" s="377">
        <f t="shared" si="1"/>
        <v>9692.915381</v>
      </c>
      <c r="H19" s="377">
        <f t="shared" si="1"/>
        <v>9692.915381</v>
      </c>
      <c r="I19" s="378">
        <f t="array" ref="I19">IF(AND(EXACT(D19:H19,"N/A")),"N/A",AVERAGE(D19,E19,F19,G19,H19))</f>
        <v>9078.775643</v>
      </c>
      <c r="M19" s="363"/>
      <c r="N19" s="369" t="s">
        <v>257</v>
      </c>
      <c r="O19" s="379">
        <f t="shared" ref="O19:S19" si="2">IF(ISBLANK(O17),"N/A",IF(O17&gt;0,O17/O10,0))</f>
        <v>9692.915381</v>
      </c>
      <c r="P19" s="379">
        <f t="shared" si="2"/>
        <v>9692.915381</v>
      </c>
      <c r="Q19" s="379">
        <f t="shared" si="2"/>
        <v>9692.915381</v>
      </c>
      <c r="R19" s="379">
        <f t="shared" si="2"/>
        <v>9692.915381</v>
      </c>
      <c r="S19" s="379">
        <f t="shared" si="2"/>
        <v>9692.915381</v>
      </c>
      <c r="T19" s="380">
        <f>IF(SUM(O19,P19,Q19,R19,S19)&lt;&gt;0,AVERAGE(O19,P19,Q19,R19,S19),IF(SUM(O19,P19,Q19,R19,S19)=0,"N/A","valeur(s) entrée(s) incorrecte(s)"))</f>
        <v>9692.915381</v>
      </c>
      <c r="U19" s="381">
        <f t="shared" ref="U19:U21" si="5">IF(T19="N/A","N/A",IF(I19-T19&lt;&gt;0,ABS((I19-T19)/I19)-0.2,IF(AND(I19=0,T19=0),"N/A",IF(T19&lt;0,"N/A","N/A"))))</f>
        <v>-0.1323543435</v>
      </c>
      <c r="V19" s="382" t="str">
        <f t="shared" ref="V19:V21" si="6">IF(T19="N/A","N/A",IF((ABS((I19-T19)/I19))-0.2&gt;0,IF(I19&gt;T19,"rabais","+"),IF(I19=0,"0","ni rabais ni bonus")))</f>
        <v>ni rabais ni bonus</v>
      </c>
      <c r="W19" s="382">
        <f t="shared" ref="W19:W21" si="7">IF(T19="N/A","N/A",IF(V19="ni rabais ni bonus",0,U19*IF(V19="+",1,-1)))</f>
        <v>0</v>
      </c>
      <c r="Y19" s="383" t="s">
        <v>258</v>
      </c>
      <c r="Z19" s="384"/>
      <c r="AN19" s="385" t="s">
        <v>259</v>
      </c>
      <c r="AO19" s="386"/>
    </row>
    <row r="20" ht="69.0" customHeight="1">
      <c r="C20" s="369" t="s">
        <v>260</v>
      </c>
      <c r="D20" s="377">
        <f t="shared" ref="D20:H20" si="3">IF(ISBLANK(D16),"N/A",IF(D16&gt;0,D16/D10,0))</f>
        <v>1.697010619</v>
      </c>
      <c r="E20" s="377">
        <f t="shared" si="3"/>
        <v>1.599621233</v>
      </c>
      <c r="F20" s="377">
        <f t="shared" si="3"/>
        <v>1.721581841</v>
      </c>
      <c r="G20" s="377">
        <f t="shared" si="3"/>
        <v>1.658715293</v>
      </c>
      <c r="H20" s="377">
        <f t="shared" si="3"/>
        <v>1.658715293</v>
      </c>
      <c r="I20" s="378">
        <f t="array" ref="I20">IF(AND(EXACT(D20:H20,"N/A")),"N/A",AVERAGE(D20,E20,F20,G20,H20))</f>
        <v>1.667128856</v>
      </c>
      <c r="M20" s="363"/>
      <c r="N20" s="369" t="s">
        <v>260</v>
      </c>
      <c r="O20" s="379">
        <f t="shared" ref="O20:S20" si="4">IF(ISBLANK(O16),"N/A",IF(O16&gt;0,O16/O10,0))</f>
        <v>1.658715293</v>
      </c>
      <c r="P20" s="379">
        <f t="shared" si="4"/>
        <v>1.658715293</v>
      </c>
      <c r="Q20" s="379">
        <f t="shared" si="4"/>
        <v>1.658715293</v>
      </c>
      <c r="R20" s="379">
        <f t="shared" si="4"/>
        <v>1.658715293</v>
      </c>
      <c r="S20" s="379">
        <f t="shared" si="4"/>
        <v>1.658715293</v>
      </c>
      <c r="T20" s="378">
        <f t="array" ref="T20">IF(AND(EXACT(O20:S20,"N/A")),"N/A",AVERAGE(O20,P20,Q20,R20,S20))</f>
        <v>1.658715293</v>
      </c>
      <c r="U20" s="381">
        <f t="shared" si="5"/>
        <v>-0.1949532618</v>
      </c>
      <c r="V20" s="382" t="str">
        <f t="shared" si="6"/>
        <v>ni rabais ni bonus</v>
      </c>
      <c r="W20" s="382">
        <f t="shared" si="7"/>
        <v>0</v>
      </c>
      <c r="Y20" s="387" t="s">
        <v>261</v>
      </c>
      <c r="Z20" s="387" t="s">
        <v>262</v>
      </c>
      <c r="AN20" s="388" t="s">
        <v>261</v>
      </c>
      <c r="AO20" s="388" t="s">
        <v>262</v>
      </c>
    </row>
    <row r="21" ht="69.0" customHeight="1">
      <c r="B21" s="192"/>
      <c r="C21" s="369" t="s">
        <v>263</v>
      </c>
      <c r="D21" s="377">
        <f t="shared" ref="D21:H21" si="8">IF(ISBLANK(D18),"N/A",IF(D18&gt;0,D18/D9,0))</f>
        <v>0.1194457716</v>
      </c>
      <c r="E21" s="377">
        <f t="shared" si="8"/>
        <v>0.1042046579</v>
      </c>
      <c r="F21" s="377">
        <f t="shared" si="8"/>
        <v>0.1042046579</v>
      </c>
      <c r="G21" s="377">
        <f t="shared" si="8"/>
        <v>0.1042046579</v>
      </c>
      <c r="H21" s="377">
        <f t="shared" si="8"/>
        <v>0.1042046579</v>
      </c>
      <c r="I21" s="378">
        <f t="array" ref="I21">IF(AND(EXACT(D21:H21,"N/A")),"N/A",AVERAGE(D21,E21,F21,G21,H21))</f>
        <v>0.1072528807</v>
      </c>
      <c r="M21" s="363"/>
      <c r="N21" s="369" t="s">
        <v>263</v>
      </c>
      <c r="O21" s="379">
        <f t="shared" ref="O21:S21" si="9">IF(ISBLANK(O18),"N/A",IF(O18&gt;0,O18/O9,0))</f>
        <v>0.1042046579</v>
      </c>
      <c r="P21" s="379">
        <f t="shared" si="9"/>
        <v>0.1042046579</v>
      </c>
      <c r="Q21" s="379">
        <f t="shared" si="9"/>
        <v>0.1042046579</v>
      </c>
      <c r="R21" s="379">
        <f t="shared" si="9"/>
        <v>0.1042046579</v>
      </c>
      <c r="S21" s="379">
        <f t="shared" si="9"/>
        <v>0.1042046579</v>
      </c>
      <c r="T21" s="380">
        <f>IF(SUM(O21,P21,Q21,R21,S21)&lt;&gt;0,AVERAGE(O21,P21,Q21,R21,S21),IF(SUM(O21,P21,Q21,R21,S21)=0,"N/A","valeur(s) entrée(s) incorrecte(s)"))</f>
        <v>0.1042046579</v>
      </c>
      <c r="U21" s="381">
        <f t="shared" si="5"/>
        <v>-0.1715791062</v>
      </c>
      <c r="V21" s="382" t="str">
        <f t="shared" si="6"/>
        <v>ni rabais ni bonus</v>
      </c>
      <c r="W21" s="382">
        <f t="shared" si="7"/>
        <v>0</v>
      </c>
      <c r="Y21" s="389" t="str">
        <f>IF(Z21="N/A","N/A",IF(Z21&lt;0,"Rabais",IF(Z21&gt;0,"Bonus","Ni rabais ni bonus")))</f>
        <v>Ni rabais ni bonus</v>
      </c>
      <c r="Z21" s="390">
        <f t="array" ref="Z21">IF(AND(EXACT(T19:T21,"N/A")),"N/A",MEDIAN(IF(ISNUMBER(T19:T21),W19:W21)))</f>
        <v>0</v>
      </c>
      <c r="AN21" s="391" t="str">
        <f>IF(AO21="-","-",IF(AO21&lt;0,"Rabais",IF(AO21&gt;0,"Bonus","Ni rabais ni bonus")))</f>
        <v>Ni rabais ni bonus</v>
      </c>
      <c r="AO21" s="392">
        <f>IF(AND(AO47="N/A",Z21="N/A"),"-",IF(AND(ISNUMBER(AO47),ISNUMBER(Z21)),AVERAGE(Z21,AO47),SUM(Z21,AO47)))</f>
        <v>0</v>
      </c>
    </row>
    <row r="22" ht="14.25" customHeight="1">
      <c r="B22" s="192"/>
      <c r="F22" s="48"/>
    </row>
    <row r="23" ht="14.25" customHeight="1">
      <c r="B23" s="192"/>
      <c r="F23" s="48"/>
      <c r="AK23" s="247"/>
    </row>
    <row r="24" ht="14.25" customHeight="1">
      <c r="B24" s="192"/>
      <c r="F24" s="48"/>
      <c r="U24" s="20"/>
      <c r="AK24" s="247"/>
    </row>
    <row r="25" ht="14.25" customHeight="1">
      <c r="B25" s="192"/>
      <c r="F25" s="48"/>
      <c r="AK25" s="247"/>
    </row>
    <row r="26" ht="14.25" customHeight="1"/>
    <row r="27" ht="31.5" customHeight="1">
      <c r="B27" s="364" t="s">
        <v>264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</row>
    <row r="28" ht="34.5" customHeight="1">
      <c r="B28" s="393" t="s">
        <v>265</v>
      </c>
      <c r="C28" s="394" t="s">
        <v>93</v>
      </c>
      <c r="D28" s="395" t="s">
        <v>93</v>
      </c>
      <c r="E28" s="395" t="s">
        <v>93</v>
      </c>
      <c r="F28" s="394" t="s">
        <v>94</v>
      </c>
      <c r="G28" s="395" t="s">
        <v>94</v>
      </c>
      <c r="H28" s="395" t="s">
        <v>94</v>
      </c>
      <c r="I28" s="394" t="s">
        <v>95</v>
      </c>
      <c r="J28" s="395" t="s">
        <v>95</v>
      </c>
      <c r="K28" s="395" t="s">
        <v>95</v>
      </c>
      <c r="L28" s="394" t="s">
        <v>96</v>
      </c>
      <c r="M28" s="395" t="s">
        <v>96</v>
      </c>
      <c r="N28" s="395" t="s">
        <v>96</v>
      </c>
      <c r="O28" s="394" t="s">
        <v>97</v>
      </c>
      <c r="P28" s="395" t="s">
        <v>97</v>
      </c>
      <c r="Q28" s="395" t="s">
        <v>97</v>
      </c>
      <c r="R28" s="396" t="s">
        <v>266</v>
      </c>
      <c r="S28" s="192"/>
      <c r="T28" s="394" t="s">
        <v>205</v>
      </c>
      <c r="U28" s="395" t="s">
        <v>205</v>
      </c>
      <c r="V28" s="397" t="s">
        <v>205</v>
      </c>
      <c r="W28" s="394" t="s">
        <v>206</v>
      </c>
      <c r="X28" s="395" t="s">
        <v>206</v>
      </c>
      <c r="Y28" s="397" t="s">
        <v>206</v>
      </c>
      <c r="Z28" s="394" t="s">
        <v>207</v>
      </c>
      <c r="AA28" s="395" t="s">
        <v>207</v>
      </c>
      <c r="AB28" s="397" t="s">
        <v>207</v>
      </c>
      <c r="AC28" s="394" t="s">
        <v>208</v>
      </c>
      <c r="AD28" s="395" t="s">
        <v>208</v>
      </c>
      <c r="AE28" s="397" t="s">
        <v>208</v>
      </c>
      <c r="AF28" s="394" t="s">
        <v>209</v>
      </c>
      <c r="AG28" s="395" t="s">
        <v>209</v>
      </c>
      <c r="AH28" s="397" t="s">
        <v>209</v>
      </c>
      <c r="AI28" s="398" t="s">
        <v>254</v>
      </c>
      <c r="AJ28" s="399" t="s">
        <v>255</v>
      </c>
      <c r="AK28" s="400" t="s">
        <v>255</v>
      </c>
      <c r="AL28" s="376" t="s">
        <v>256</v>
      </c>
      <c r="AM28" s="401"/>
      <c r="AN28" s="401"/>
      <c r="AO28" s="401"/>
    </row>
    <row r="29" ht="14.25" customHeight="1">
      <c r="B29" s="402"/>
      <c r="C29" s="403" t="s">
        <v>247</v>
      </c>
      <c r="D29" s="244" t="s">
        <v>267</v>
      </c>
      <c r="E29" s="404" t="s">
        <v>268</v>
      </c>
      <c r="F29" s="403" t="s">
        <v>247</v>
      </c>
      <c r="G29" s="244" t="s">
        <v>267</v>
      </c>
      <c r="H29" s="404" t="s">
        <v>268</v>
      </c>
      <c r="I29" s="403" t="s">
        <v>247</v>
      </c>
      <c r="J29" s="244" t="s">
        <v>267</v>
      </c>
      <c r="K29" s="404" t="s">
        <v>268</v>
      </c>
      <c r="L29" s="403" t="s">
        <v>247</v>
      </c>
      <c r="M29" s="244" t="s">
        <v>267</v>
      </c>
      <c r="N29" s="404" t="s">
        <v>268</v>
      </c>
      <c r="O29" s="403" t="s">
        <v>247</v>
      </c>
      <c r="P29" s="244" t="s">
        <v>267</v>
      </c>
      <c r="Q29" s="404" t="s">
        <v>268</v>
      </c>
      <c r="R29" s="293"/>
      <c r="S29" s="405"/>
      <c r="T29" s="403" t="s">
        <v>247</v>
      </c>
      <c r="U29" s="244" t="s">
        <v>267</v>
      </c>
      <c r="V29" s="404" t="s">
        <v>268</v>
      </c>
      <c r="W29" s="403" t="s">
        <v>247</v>
      </c>
      <c r="X29" s="244" t="s">
        <v>267</v>
      </c>
      <c r="Y29" s="404" t="s">
        <v>268</v>
      </c>
      <c r="Z29" s="403" t="s">
        <v>247</v>
      </c>
      <c r="AA29" s="244" t="s">
        <v>267</v>
      </c>
      <c r="AB29" s="404" t="s">
        <v>268</v>
      </c>
      <c r="AC29" s="403" t="s">
        <v>247</v>
      </c>
      <c r="AD29" s="244" t="s">
        <v>267</v>
      </c>
      <c r="AE29" s="404" t="s">
        <v>268</v>
      </c>
      <c r="AF29" s="403" t="s">
        <v>247</v>
      </c>
      <c r="AG29" s="244" t="s">
        <v>267</v>
      </c>
      <c r="AH29" s="404" t="s">
        <v>268</v>
      </c>
      <c r="AI29" s="108"/>
      <c r="AJ29" s="108"/>
      <c r="AK29" s="293"/>
      <c r="AL29" s="293"/>
      <c r="AM29" s="401"/>
      <c r="AN29" s="401"/>
      <c r="AO29" s="401"/>
    </row>
    <row r="30" ht="14.25" customHeight="1">
      <c r="B30" s="299" t="s">
        <v>269</v>
      </c>
      <c r="C30" s="406"/>
      <c r="D30" s="407"/>
      <c r="E30" s="408"/>
      <c r="F30" s="409"/>
      <c r="G30" s="407"/>
      <c r="H30" s="408"/>
      <c r="I30" s="406"/>
      <c r="J30" s="407"/>
      <c r="K30" s="408"/>
      <c r="L30" s="271"/>
      <c r="M30" s="246"/>
      <c r="N30" s="410"/>
      <c r="O30" s="271"/>
      <c r="P30" s="246"/>
      <c r="Q30" s="410"/>
      <c r="R30" s="411"/>
      <c r="T30" s="271"/>
      <c r="U30" s="246"/>
      <c r="V30" s="410"/>
      <c r="W30" s="271"/>
      <c r="X30" s="246"/>
      <c r="Y30" s="410"/>
      <c r="Z30" s="271"/>
      <c r="AA30" s="246"/>
      <c r="AB30" s="410"/>
      <c r="AC30" s="271"/>
      <c r="AD30" s="246"/>
      <c r="AE30" s="410"/>
      <c r="AF30" s="271"/>
      <c r="AG30" s="246"/>
      <c r="AH30" s="410"/>
      <c r="AI30" s="412"/>
      <c r="AJ30" s="108"/>
      <c r="AK30" s="296"/>
      <c r="AL30" s="293"/>
      <c r="AM30" s="401"/>
      <c r="AN30" s="401"/>
      <c r="AO30" s="401"/>
    </row>
    <row r="31" ht="14.25" customHeight="1">
      <c r="B31" s="413" t="s">
        <v>270</v>
      </c>
      <c r="C31" s="414">
        <v>83.05</v>
      </c>
      <c r="D31" s="415">
        <v>613.06</v>
      </c>
      <c r="E31" s="416">
        <v>7.38</v>
      </c>
      <c r="F31" s="417">
        <v>83.46</v>
      </c>
      <c r="G31" s="415">
        <v>687.99</v>
      </c>
      <c r="H31" s="416">
        <v>8.24</v>
      </c>
      <c r="I31" s="418">
        <v>71.57</v>
      </c>
      <c r="J31" s="415">
        <v>597.23</v>
      </c>
      <c r="K31" s="416">
        <v>8.34</v>
      </c>
      <c r="L31" s="418">
        <v>75.43</v>
      </c>
      <c r="M31" s="415">
        <v>560.66</v>
      </c>
      <c r="N31" s="416">
        <v>7.43</v>
      </c>
      <c r="O31" s="418">
        <v>76.65</v>
      </c>
      <c r="P31" s="419"/>
      <c r="Q31" s="416"/>
      <c r="R31" s="420">
        <f t="shared" ref="R31:R47" si="10">IF(SUM(E31,H31,K31,N31,Q31)&lt;&gt;0,AVERAGE(E31,H31,K31,N31,Q31),IF(SUM(C31:Q31)=0,"N/A","valeur(s) entrée(s) incorrecte(s)"))</f>
        <v>7.8475</v>
      </c>
      <c r="S31" s="27"/>
      <c r="T31" s="418">
        <v>76.65</v>
      </c>
      <c r="U31" s="421">
        <f t="shared" ref="U31:U36" si="11">V31*T31</f>
        <v>569.5095</v>
      </c>
      <c r="V31" s="416">
        <v>7.43</v>
      </c>
      <c r="W31" s="418">
        <v>76.65</v>
      </c>
      <c r="X31" s="421">
        <f t="shared" ref="X31:X36" si="12">Y31*W31</f>
        <v>569.5095</v>
      </c>
      <c r="Y31" s="416">
        <v>7.43</v>
      </c>
      <c r="Z31" s="418">
        <v>76.65</v>
      </c>
      <c r="AA31" s="421">
        <f t="shared" ref="AA31:AA36" si="13">AB31*Z31</f>
        <v>569.5095</v>
      </c>
      <c r="AB31" s="416">
        <v>7.43</v>
      </c>
      <c r="AC31" s="418">
        <v>76.65</v>
      </c>
      <c r="AD31" s="421">
        <f t="shared" ref="AD31:AD36" si="14">AE31*AC31</f>
        <v>569.5095</v>
      </c>
      <c r="AE31" s="416">
        <v>7.43</v>
      </c>
      <c r="AF31" s="418">
        <v>76.65</v>
      </c>
      <c r="AG31" s="421">
        <f t="shared" ref="AG31:AG36" si="15">AH31*AF31</f>
        <v>569.5095</v>
      </c>
      <c r="AH31" s="416">
        <v>7.43</v>
      </c>
      <c r="AI31" s="420">
        <f t="shared" ref="AI31:AI47" si="16">IF(SUM(V31,Y31,AB31,AE31,AH31)&lt;&gt;0,AVERAGE(V31,Y31,AB31,AE31,AH31),IF(SUM(T31:AH31)=0,"N/A","valeur(s) entrée(s) incorrecte(s)"))</f>
        <v>7.43</v>
      </c>
      <c r="AJ31" s="422">
        <f t="shared" ref="AJ31:AJ47" si="17">IF(AI31="N/A","N/A",IF(R31-AI31&lt;&gt;0,ABS((R31-AI31)/R31)-0.2,IF(AND(R31=0,AI31=0),"N/A",IF(AI31&lt;0,"N/A","N/A"))))</f>
        <v>-0.1467983434</v>
      </c>
      <c r="AK31" s="422" t="str">
        <f t="shared" ref="AK31:AK47" si="18">IF(AI31="N/A","N/A",IF((ABS((R31-AI31)/R31))-0.2&gt;0,IF(R31&gt;AI31,"rabais","+"),IF(R31=0,"0","ni rabais ni bonus")))</f>
        <v>ni rabais ni bonus</v>
      </c>
      <c r="AL31" s="423">
        <f t="shared" ref="AL31:AL47" si="19">IF(AI31="N/A","N/A",IF(AK31="ni rabais ni bonus",0,AJ31*IF(AK31="+",1,-1)))</f>
        <v>0</v>
      </c>
      <c r="AM31" s="363"/>
      <c r="AN31" s="363"/>
      <c r="AO31" s="363"/>
    </row>
    <row r="32" ht="14.25" customHeight="1">
      <c r="B32" s="413" t="s">
        <v>271</v>
      </c>
      <c r="C32" s="414">
        <v>68.12</v>
      </c>
      <c r="D32" s="415">
        <v>484.5</v>
      </c>
      <c r="E32" s="416">
        <v>7.85</v>
      </c>
      <c r="F32" s="417">
        <v>49.26</v>
      </c>
      <c r="G32" s="415">
        <v>254.53</v>
      </c>
      <c r="H32" s="424">
        <v>5.17</v>
      </c>
      <c r="I32" s="418">
        <v>46.56</v>
      </c>
      <c r="J32" s="415">
        <v>249.08</v>
      </c>
      <c r="K32" s="424">
        <v>6.21</v>
      </c>
      <c r="L32" s="418">
        <v>52.63</v>
      </c>
      <c r="M32" s="415">
        <v>221.39</v>
      </c>
      <c r="N32" s="416">
        <v>6.97</v>
      </c>
      <c r="O32" s="418">
        <v>65.42</v>
      </c>
      <c r="P32" s="419"/>
      <c r="Q32" s="416"/>
      <c r="R32" s="420">
        <f t="shared" si="10"/>
        <v>6.55</v>
      </c>
      <c r="S32" s="27"/>
      <c r="T32" s="418">
        <v>65.42</v>
      </c>
      <c r="U32" s="421">
        <f t="shared" si="11"/>
        <v>455.9774</v>
      </c>
      <c r="V32" s="416">
        <v>6.97</v>
      </c>
      <c r="W32" s="418">
        <v>65.42</v>
      </c>
      <c r="X32" s="421">
        <f t="shared" si="12"/>
        <v>455.9774</v>
      </c>
      <c r="Y32" s="416">
        <v>6.97</v>
      </c>
      <c r="Z32" s="418">
        <v>65.42</v>
      </c>
      <c r="AA32" s="421">
        <f t="shared" si="13"/>
        <v>455.9774</v>
      </c>
      <c r="AB32" s="416">
        <v>6.97</v>
      </c>
      <c r="AC32" s="418">
        <v>65.42</v>
      </c>
      <c r="AD32" s="421">
        <f t="shared" si="14"/>
        <v>455.9774</v>
      </c>
      <c r="AE32" s="416">
        <v>6.97</v>
      </c>
      <c r="AF32" s="418">
        <v>65.42</v>
      </c>
      <c r="AG32" s="421">
        <f t="shared" si="15"/>
        <v>455.9774</v>
      </c>
      <c r="AH32" s="416">
        <v>6.97</v>
      </c>
      <c r="AI32" s="420">
        <f t="shared" si="16"/>
        <v>6.97</v>
      </c>
      <c r="AJ32" s="422">
        <f t="shared" si="17"/>
        <v>-0.1358778626</v>
      </c>
      <c r="AK32" s="422" t="str">
        <f t="shared" si="18"/>
        <v>ni rabais ni bonus</v>
      </c>
      <c r="AL32" s="423">
        <f t="shared" si="19"/>
        <v>0</v>
      </c>
      <c r="AM32" s="363"/>
      <c r="AN32" s="363"/>
      <c r="AO32" s="363"/>
    </row>
    <row r="33" ht="14.25" customHeight="1">
      <c r="B33" s="413" t="s">
        <v>272</v>
      </c>
      <c r="C33" s="414">
        <v>17.8</v>
      </c>
      <c r="D33" s="415">
        <v>112.91</v>
      </c>
      <c r="E33" s="416">
        <v>6.34</v>
      </c>
      <c r="F33" s="417">
        <v>28.0</v>
      </c>
      <c r="G33" s="415">
        <v>179.99</v>
      </c>
      <c r="H33" s="424">
        <v>6.43</v>
      </c>
      <c r="I33" s="418">
        <v>14.32</v>
      </c>
      <c r="J33" s="415">
        <v>100.67</v>
      </c>
      <c r="K33" s="424">
        <v>7.03</v>
      </c>
      <c r="L33" s="418">
        <v>21.74</v>
      </c>
      <c r="M33" s="415">
        <v>37.86</v>
      </c>
      <c r="N33" s="416">
        <v>1.99</v>
      </c>
      <c r="O33" s="418">
        <v>18.04</v>
      </c>
      <c r="P33" s="419"/>
      <c r="Q33" s="416"/>
      <c r="R33" s="420">
        <f t="shared" si="10"/>
        <v>5.4475</v>
      </c>
      <c r="S33" s="27"/>
      <c r="T33" s="418">
        <v>18.04</v>
      </c>
      <c r="U33" s="421">
        <f t="shared" si="11"/>
        <v>35.8996</v>
      </c>
      <c r="V33" s="416">
        <v>1.99</v>
      </c>
      <c r="W33" s="418">
        <v>18.04</v>
      </c>
      <c r="X33" s="421">
        <f t="shared" si="12"/>
        <v>35.8996</v>
      </c>
      <c r="Y33" s="416">
        <v>1.99</v>
      </c>
      <c r="Z33" s="418">
        <v>18.04</v>
      </c>
      <c r="AA33" s="421">
        <f t="shared" si="13"/>
        <v>35.8996</v>
      </c>
      <c r="AB33" s="416">
        <v>1.99</v>
      </c>
      <c r="AC33" s="418">
        <v>18.04</v>
      </c>
      <c r="AD33" s="421">
        <f t="shared" si="14"/>
        <v>35.8996</v>
      </c>
      <c r="AE33" s="416">
        <v>1.99</v>
      </c>
      <c r="AF33" s="418">
        <v>18.04</v>
      </c>
      <c r="AG33" s="421">
        <f t="shared" si="15"/>
        <v>35.8996</v>
      </c>
      <c r="AH33" s="416">
        <v>1.99</v>
      </c>
      <c r="AI33" s="420">
        <f t="shared" si="16"/>
        <v>1.99</v>
      </c>
      <c r="AJ33" s="422">
        <f t="shared" si="17"/>
        <v>0.4346948141</v>
      </c>
      <c r="AK33" s="422" t="str">
        <f t="shared" si="18"/>
        <v>rabais</v>
      </c>
      <c r="AL33" s="423">
        <f t="shared" si="19"/>
        <v>-0.4346948141</v>
      </c>
      <c r="AM33" s="363"/>
      <c r="AN33" s="363"/>
      <c r="AO33" s="363"/>
    </row>
    <row r="34" ht="14.25" customHeight="1">
      <c r="B34" s="413" t="s">
        <v>273</v>
      </c>
      <c r="C34" s="425"/>
      <c r="D34" s="426"/>
      <c r="E34" s="427"/>
      <c r="F34" s="428"/>
      <c r="G34" s="426"/>
      <c r="H34" s="429"/>
      <c r="I34" s="418">
        <v>11.74</v>
      </c>
      <c r="J34" s="415">
        <v>76.0</v>
      </c>
      <c r="K34" s="430">
        <f>J34/I34</f>
        <v>6.473594549</v>
      </c>
      <c r="L34" s="418">
        <v>12.34</v>
      </c>
      <c r="M34" s="415">
        <v>76.0</v>
      </c>
      <c r="N34" s="416">
        <v>6.16</v>
      </c>
      <c r="O34" s="418">
        <v>10.81</v>
      </c>
      <c r="P34" s="419"/>
      <c r="Q34" s="416"/>
      <c r="R34" s="420">
        <f t="shared" si="10"/>
        <v>6.316797274</v>
      </c>
      <c r="S34" s="27"/>
      <c r="T34" s="418">
        <v>10.81</v>
      </c>
      <c r="U34" s="421">
        <f t="shared" si="11"/>
        <v>66.5896</v>
      </c>
      <c r="V34" s="416">
        <v>6.16</v>
      </c>
      <c r="W34" s="418">
        <v>10.81</v>
      </c>
      <c r="X34" s="421">
        <f t="shared" si="12"/>
        <v>66.5896</v>
      </c>
      <c r="Y34" s="416">
        <v>6.16</v>
      </c>
      <c r="Z34" s="418">
        <v>10.81</v>
      </c>
      <c r="AA34" s="421">
        <f t="shared" si="13"/>
        <v>66.5896</v>
      </c>
      <c r="AB34" s="416">
        <v>6.16</v>
      </c>
      <c r="AC34" s="418">
        <v>10.81</v>
      </c>
      <c r="AD34" s="421">
        <f t="shared" si="14"/>
        <v>66.5896</v>
      </c>
      <c r="AE34" s="416">
        <v>6.16</v>
      </c>
      <c r="AF34" s="418">
        <v>10.81</v>
      </c>
      <c r="AG34" s="421">
        <f t="shared" si="15"/>
        <v>66.5896</v>
      </c>
      <c r="AH34" s="416">
        <v>6.16</v>
      </c>
      <c r="AI34" s="420">
        <f t="shared" si="16"/>
        <v>6.16</v>
      </c>
      <c r="AJ34" s="422">
        <f t="shared" si="17"/>
        <v>-0.1751777258</v>
      </c>
      <c r="AK34" s="422" t="str">
        <f t="shared" si="18"/>
        <v>ni rabais ni bonus</v>
      </c>
      <c r="AL34" s="423">
        <f t="shared" si="19"/>
        <v>0</v>
      </c>
      <c r="AM34" s="363"/>
      <c r="AN34" s="363"/>
      <c r="AO34" s="363"/>
    </row>
    <row r="35" ht="14.25" customHeight="1">
      <c r="B35" s="413" t="s">
        <v>274</v>
      </c>
      <c r="C35" s="425"/>
      <c r="D35" s="426"/>
      <c r="E35" s="427"/>
      <c r="F35" s="431"/>
      <c r="G35" s="432"/>
      <c r="H35" s="429"/>
      <c r="I35" s="418">
        <v>11.74</v>
      </c>
      <c r="J35" s="433">
        <v>14.78</v>
      </c>
      <c r="K35" s="424">
        <v>1.26</v>
      </c>
      <c r="L35" s="418">
        <v>12.34</v>
      </c>
      <c r="M35" s="433">
        <v>4.61</v>
      </c>
      <c r="N35" s="416">
        <v>0.37</v>
      </c>
      <c r="O35" s="418">
        <v>10.81</v>
      </c>
      <c r="P35" s="419"/>
      <c r="Q35" s="416"/>
      <c r="R35" s="420">
        <f t="shared" si="10"/>
        <v>0.815</v>
      </c>
      <c r="S35" s="27"/>
      <c r="T35" s="418">
        <v>10.81</v>
      </c>
      <c r="U35" s="421">
        <f t="shared" si="11"/>
        <v>3.9997</v>
      </c>
      <c r="V35" s="416">
        <v>0.37</v>
      </c>
      <c r="W35" s="418">
        <v>10.81</v>
      </c>
      <c r="X35" s="421">
        <f t="shared" si="12"/>
        <v>3.9997</v>
      </c>
      <c r="Y35" s="416">
        <v>0.37</v>
      </c>
      <c r="Z35" s="418">
        <v>10.81</v>
      </c>
      <c r="AA35" s="421">
        <f t="shared" si="13"/>
        <v>3.9997</v>
      </c>
      <c r="AB35" s="416">
        <v>0.37</v>
      </c>
      <c r="AC35" s="418">
        <v>10.81</v>
      </c>
      <c r="AD35" s="421">
        <f t="shared" si="14"/>
        <v>3.9997</v>
      </c>
      <c r="AE35" s="416">
        <v>0.37</v>
      </c>
      <c r="AF35" s="418">
        <v>10.81</v>
      </c>
      <c r="AG35" s="421">
        <f t="shared" si="15"/>
        <v>3.9997</v>
      </c>
      <c r="AH35" s="416">
        <v>0.37</v>
      </c>
      <c r="AI35" s="420">
        <f t="shared" si="16"/>
        <v>0.37</v>
      </c>
      <c r="AJ35" s="422">
        <f t="shared" si="17"/>
        <v>0.3460122699</v>
      </c>
      <c r="AK35" s="422" t="str">
        <f t="shared" si="18"/>
        <v>rabais</v>
      </c>
      <c r="AL35" s="423">
        <f t="shared" si="19"/>
        <v>-0.3460122699</v>
      </c>
      <c r="AM35" s="363"/>
      <c r="AN35" s="363"/>
      <c r="AO35" s="363"/>
    </row>
    <row r="36" ht="14.25" customHeight="1">
      <c r="B36" s="434" t="s">
        <v>275</v>
      </c>
      <c r="C36" s="414">
        <v>35.64</v>
      </c>
      <c r="D36" s="415">
        <v>62.51</v>
      </c>
      <c r="E36" s="416">
        <v>1.75</v>
      </c>
      <c r="F36" s="418">
        <v>35.02</v>
      </c>
      <c r="G36" s="433">
        <v>63.47</v>
      </c>
      <c r="H36" s="424">
        <v>1.81</v>
      </c>
      <c r="I36" s="418">
        <v>23.33</v>
      </c>
      <c r="J36" s="433">
        <v>66.43</v>
      </c>
      <c r="K36" s="424">
        <v>2.85</v>
      </c>
      <c r="L36" s="418"/>
      <c r="M36" s="432"/>
      <c r="N36" s="416"/>
      <c r="O36" s="418">
        <v>40.81</v>
      </c>
      <c r="P36" s="419"/>
      <c r="Q36" s="424"/>
      <c r="R36" s="420">
        <f t="shared" si="10"/>
        <v>2.136666667</v>
      </c>
      <c r="S36" s="20"/>
      <c r="T36" s="418">
        <v>40.81</v>
      </c>
      <c r="U36" s="421">
        <f t="shared" si="11"/>
        <v>116.3085</v>
      </c>
      <c r="V36" s="424">
        <v>2.85</v>
      </c>
      <c r="W36" s="418">
        <v>40.81</v>
      </c>
      <c r="X36" s="421">
        <f t="shared" si="12"/>
        <v>116.3085</v>
      </c>
      <c r="Y36" s="424">
        <v>2.85</v>
      </c>
      <c r="Z36" s="418">
        <v>40.81</v>
      </c>
      <c r="AA36" s="421">
        <f t="shared" si="13"/>
        <v>116.3085</v>
      </c>
      <c r="AB36" s="424">
        <v>2.85</v>
      </c>
      <c r="AC36" s="418">
        <v>40.81</v>
      </c>
      <c r="AD36" s="421">
        <f t="shared" si="14"/>
        <v>116.3085</v>
      </c>
      <c r="AE36" s="424">
        <v>2.85</v>
      </c>
      <c r="AF36" s="418">
        <v>40.81</v>
      </c>
      <c r="AG36" s="421">
        <f t="shared" si="15"/>
        <v>116.3085</v>
      </c>
      <c r="AH36" s="424">
        <v>2.85</v>
      </c>
      <c r="AI36" s="420">
        <f t="shared" si="16"/>
        <v>2.85</v>
      </c>
      <c r="AJ36" s="422">
        <f t="shared" si="17"/>
        <v>0.1338533541</v>
      </c>
      <c r="AK36" s="422" t="str">
        <f t="shared" si="18"/>
        <v>+</v>
      </c>
      <c r="AL36" s="423">
        <f t="shared" si="19"/>
        <v>0.1338533541</v>
      </c>
      <c r="AM36" s="363"/>
      <c r="AN36" s="363"/>
      <c r="AO36" s="363"/>
    </row>
    <row r="37" ht="14.25" customHeight="1">
      <c r="B37" s="434" t="s">
        <v>276</v>
      </c>
      <c r="C37" s="414">
        <v>14.24</v>
      </c>
      <c r="D37" s="415">
        <v>29.41</v>
      </c>
      <c r="E37" s="416">
        <v>2.07</v>
      </c>
      <c r="F37" s="418">
        <v>10.62</v>
      </c>
      <c r="G37" s="433">
        <v>13.43</v>
      </c>
      <c r="H37" s="424">
        <v>1.26</v>
      </c>
      <c r="I37" s="428"/>
      <c r="J37" s="432"/>
      <c r="K37" s="429"/>
      <c r="L37" s="418">
        <v>12.57</v>
      </c>
      <c r="M37" s="433">
        <v>23.84</v>
      </c>
      <c r="N37" s="416">
        <v>1.9</v>
      </c>
      <c r="O37" s="428"/>
      <c r="P37" s="419"/>
      <c r="Q37" s="429"/>
      <c r="R37" s="420">
        <f t="shared" si="10"/>
        <v>1.743333333</v>
      </c>
      <c r="S37" s="20"/>
      <c r="T37" s="435"/>
      <c r="U37" s="432"/>
      <c r="V37" s="429"/>
      <c r="W37" s="428"/>
      <c r="X37" s="432"/>
      <c r="Y37" s="427"/>
      <c r="Z37" s="428"/>
      <c r="AA37" s="432"/>
      <c r="AB37" s="429"/>
      <c r="AC37" s="428"/>
      <c r="AD37" s="432"/>
      <c r="AE37" s="429"/>
      <c r="AF37" s="428"/>
      <c r="AG37" s="432"/>
      <c r="AH37" s="436"/>
      <c r="AI37" s="420" t="str">
        <f t="shared" si="16"/>
        <v>N/A</v>
      </c>
      <c r="AJ37" s="422" t="str">
        <f t="shared" si="17"/>
        <v>N/A</v>
      </c>
      <c r="AK37" s="422" t="str">
        <f t="shared" si="18"/>
        <v>N/A</v>
      </c>
      <c r="AL37" s="423" t="str">
        <f t="shared" si="19"/>
        <v>N/A</v>
      </c>
      <c r="AM37" s="363"/>
      <c r="AN37" s="363"/>
      <c r="AO37" s="363"/>
    </row>
    <row r="38" ht="14.25" customHeight="1">
      <c r="B38" s="437"/>
      <c r="C38" s="425"/>
      <c r="D38" s="426"/>
      <c r="E38" s="427"/>
      <c r="F38" s="431"/>
      <c r="G38" s="432"/>
      <c r="H38" s="429"/>
      <c r="I38" s="428"/>
      <c r="J38" s="432"/>
      <c r="K38" s="429"/>
      <c r="L38" s="428"/>
      <c r="M38" s="432"/>
      <c r="N38" s="429"/>
      <c r="O38" s="428"/>
      <c r="P38" s="432"/>
      <c r="Q38" s="429"/>
      <c r="R38" s="420" t="str">
        <f t="shared" si="10"/>
        <v>N/A</v>
      </c>
      <c r="S38" s="20"/>
      <c r="T38" s="425"/>
      <c r="U38" s="426"/>
      <c r="V38" s="427"/>
      <c r="W38" s="431"/>
      <c r="X38" s="432"/>
      <c r="Y38" s="429"/>
      <c r="Z38" s="428"/>
      <c r="AA38" s="432"/>
      <c r="AB38" s="429"/>
      <c r="AC38" s="428"/>
      <c r="AD38" s="432"/>
      <c r="AE38" s="429"/>
      <c r="AF38" s="428"/>
      <c r="AG38" s="432"/>
      <c r="AH38" s="429"/>
      <c r="AI38" s="420" t="str">
        <f t="shared" si="16"/>
        <v>N/A</v>
      </c>
      <c r="AJ38" s="422" t="str">
        <f t="shared" si="17"/>
        <v>N/A</v>
      </c>
      <c r="AK38" s="422" t="str">
        <f t="shared" si="18"/>
        <v>N/A</v>
      </c>
      <c r="AL38" s="423" t="str">
        <f t="shared" si="19"/>
        <v>N/A</v>
      </c>
      <c r="AM38" s="363"/>
      <c r="AN38" s="363"/>
      <c r="AO38" s="363"/>
    </row>
    <row r="39" ht="14.25" customHeight="1">
      <c r="B39" s="438"/>
      <c r="C39" s="425"/>
      <c r="D39" s="426"/>
      <c r="E39" s="427"/>
      <c r="F39" s="428"/>
      <c r="G39" s="432"/>
      <c r="H39" s="429"/>
      <c r="I39" s="428"/>
      <c r="J39" s="432"/>
      <c r="K39" s="429"/>
      <c r="L39" s="428"/>
      <c r="M39" s="432"/>
      <c r="N39" s="427"/>
      <c r="O39" s="428"/>
      <c r="P39" s="432"/>
      <c r="Q39" s="429"/>
      <c r="R39" s="420" t="str">
        <f t="shared" si="10"/>
        <v>N/A</v>
      </c>
      <c r="S39" s="20"/>
      <c r="T39" s="428"/>
      <c r="U39" s="432"/>
      <c r="V39" s="429"/>
      <c r="W39" s="428"/>
      <c r="X39" s="432"/>
      <c r="Y39" s="427"/>
      <c r="Z39" s="428"/>
      <c r="AA39" s="432"/>
      <c r="AB39" s="429"/>
      <c r="AC39" s="428"/>
      <c r="AD39" s="432"/>
      <c r="AE39" s="429"/>
      <c r="AF39" s="428"/>
      <c r="AG39" s="432"/>
      <c r="AH39" s="436"/>
      <c r="AI39" s="420" t="str">
        <f t="shared" si="16"/>
        <v>N/A</v>
      </c>
      <c r="AJ39" s="422" t="str">
        <f t="shared" si="17"/>
        <v>N/A</v>
      </c>
      <c r="AK39" s="422" t="str">
        <f t="shared" si="18"/>
        <v>N/A</v>
      </c>
      <c r="AL39" s="423" t="str">
        <f t="shared" si="19"/>
        <v>N/A</v>
      </c>
      <c r="AM39" s="363"/>
      <c r="AN39" s="363"/>
      <c r="AO39" s="363"/>
    </row>
    <row r="40" ht="14.25" customHeight="1">
      <c r="B40" s="438"/>
      <c r="C40" s="425"/>
      <c r="D40" s="426"/>
      <c r="E40" s="427"/>
      <c r="F40" s="428"/>
      <c r="G40" s="432"/>
      <c r="H40" s="429"/>
      <c r="I40" s="428"/>
      <c r="J40" s="432"/>
      <c r="K40" s="429"/>
      <c r="L40" s="428"/>
      <c r="M40" s="432"/>
      <c r="N40" s="427"/>
      <c r="O40" s="428"/>
      <c r="P40" s="432"/>
      <c r="Q40" s="429"/>
      <c r="R40" s="420" t="str">
        <f t="shared" si="10"/>
        <v>N/A</v>
      </c>
      <c r="S40" s="20"/>
      <c r="T40" s="428"/>
      <c r="U40" s="432"/>
      <c r="V40" s="429"/>
      <c r="W40" s="428"/>
      <c r="X40" s="432"/>
      <c r="Y40" s="427"/>
      <c r="Z40" s="428"/>
      <c r="AA40" s="432"/>
      <c r="AB40" s="429"/>
      <c r="AC40" s="428"/>
      <c r="AD40" s="432"/>
      <c r="AE40" s="429"/>
      <c r="AF40" s="428"/>
      <c r="AG40" s="432"/>
      <c r="AH40" s="436"/>
      <c r="AI40" s="420" t="str">
        <f t="shared" si="16"/>
        <v>N/A</v>
      </c>
      <c r="AJ40" s="422" t="str">
        <f t="shared" si="17"/>
        <v>N/A</v>
      </c>
      <c r="AK40" s="422" t="str">
        <f t="shared" si="18"/>
        <v>N/A</v>
      </c>
      <c r="AL40" s="423" t="str">
        <f t="shared" si="19"/>
        <v>N/A</v>
      </c>
      <c r="AM40" s="363"/>
      <c r="AN40" s="363"/>
      <c r="AO40" s="363"/>
    </row>
    <row r="41" ht="14.25" customHeight="1">
      <c r="B41" s="438"/>
      <c r="C41" s="425"/>
      <c r="D41" s="426"/>
      <c r="E41" s="427"/>
      <c r="F41" s="428"/>
      <c r="G41" s="432"/>
      <c r="H41" s="429"/>
      <c r="I41" s="428"/>
      <c r="J41" s="432"/>
      <c r="K41" s="429"/>
      <c r="L41" s="428"/>
      <c r="M41" s="432"/>
      <c r="N41" s="427"/>
      <c r="O41" s="428"/>
      <c r="P41" s="432"/>
      <c r="Q41" s="429"/>
      <c r="R41" s="420" t="str">
        <f t="shared" si="10"/>
        <v>N/A</v>
      </c>
      <c r="S41" s="20"/>
      <c r="T41" s="428"/>
      <c r="U41" s="432"/>
      <c r="V41" s="429"/>
      <c r="W41" s="428"/>
      <c r="X41" s="432"/>
      <c r="Y41" s="427"/>
      <c r="Z41" s="428"/>
      <c r="AA41" s="432"/>
      <c r="AB41" s="429"/>
      <c r="AC41" s="428"/>
      <c r="AD41" s="432"/>
      <c r="AE41" s="429"/>
      <c r="AF41" s="428"/>
      <c r="AG41" s="432"/>
      <c r="AH41" s="436"/>
      <c r="AI41" s="420" t="str">
        <f t="shared" si="16"/>
        <v>N/A</v>
      </c>
      <c r="AJ41" s="422" t="str">
        <f t="shared" si="17"/>
        <v>N/A</v>
      </c>
      <c r="AK41" s="422" t="str">
        <f t="shared" si="18"/>
        <v>N/A</v>
      </c>
      <c r="AL41" s="423" t="str">
        <f t="shared" si="19"/>
        <v>N/A</v>
      </c>
      <c r="AM41" s="363"/>
      <c r="AN41" s="363"/>
      <c r="AO41" s="363"/>
    </row>
    <row r="42" ht="14.25" customHeight="1">
      <c r="B42" s="439"/>
      <c r="C42" s="425"/>
      <c r="D42" s="426"/>
      <c r="E42" s="427"/>
      <c r="F42" s="428"/>
      <c r="G42" s="432"/>
      <c r="H42" s="429"/>
      <c r="I42" s="428"/>
      <c r="J42" s="432"/>
      <c r="K42" s="429"/>
      <c r="L42" s="428"/>
      <c r="M42" s="432"/>
      <c r="N42" s="427"/>
      <c r="O42" s="428"/>
      <c r="P42" s="432"/>
      <c r="Q42" s="429"/>
      <c r="R42" s="420" t="str">
        <f t="shared" si="10"/>
        <v>N/A</v>
      </c>
      <c r="S42" s="20"/>
      <c r="T42" s="428"/>
      <c r="U42" s="432"/>
      <c r="V42" s="429"/>
      <c r="W42" s="428"/>
      <c r="X42" s="432"/>
      <c r="Y42" s="427"/>
      <c r="Z42" s="428"/>
      <c r="AA42" s="432"/>
      <c r="AB42" s="429"/>
      <c r="AC42" s="428"/>
      <c r="AD42" s="432"/>
      <c r="AE42" s="429"/>
      <c r="AF42" s="428"/>
      <c r="AG42" s="432"/>
      <c r="AH42" s="436"/>
      <c r="AI42" s="420" t="str">
        <f t="shared" si="16"/>
        <v>N/A</v>
      </c>
      <c r="AJ42" s="422" t="str">
        <f t="shared" si="17"/>
        <v>N/A</v>
      </c>
      <c r="AK42" s="422" t="str">
        <f t="shared" si="18"/>
        <v>N/A</v>
      </c>
      <c r="AL42" s="423" t="str">
        <f t="shared" si="19"/>
        <v>N/A</v>
      </c>
      <c r="AM42" s="363"/>
      <c r="AN42" s="363"/>
      <c r="AO42" s="363"/>
    </row>
    <row r="43" ht="14.25" customHeight="1">
      <c r="B43" s="439"/>
      <c r="C43" s="425"/>
      <c r="D43" s="426"/>
      <c r="E43" s="427"/>
      <c r="F43" s="428"/>
      <c r="G43" s="432"/>
      <c r="H43" s="429"/>
      <c r="I43" s="428"/>
      <c r="J43" s="432"/>
      <c r="K43" s="429"/>
      <c r="L43" s="428"/>
      <c r="M43" s="432"/>
      <c r="N43" s="427"/>
      <c r="O43" s="428"/>
      <c r="P43" s="432"/>
      <c r="Q43" s="429"/>
      <c r="R43" s="420" t="str">
        <f t="shared" si="10"/>
        <v>N/A</v>
      </c>
      <c r="S43" s="20"/>
      <c r="T43" s="428"/>
      <c r="U43" s="432"/>
      <c r="V43" s="429"/>
      <c r="W43" s="428"/>
      <c r="X43" s="432"/>
      <c r="Y43" s="427"/>
      <c r="Z43" s="428"/>
      <c r="AA43" s="432"/>
      <c r="AB43" s="429"/>
      <c r="AC43" s="428"/>
      <c r="AD43" s="432"/>
      <c r="AE43" s="429"/>
      <c r="AF43" s="428"/>
      <c r="AG43" s="432"/>
      <c r="AH43" s="436"/>
      <c r="AI43" s="420" t="str">
        <f t="shared" si="16"/>
        <v>N/A</v>
      </c>
      <c r="AJ43" s="422" t="str">
        <f t="shared" si="17"/>
        <v>N/A</v>
      </c>
      <c r="AK43" s="422" t="str">
        <f t="shared" si="18"/>
        <v>N/A</v>
      </c>
      <c r="AL43" s="423" t="str">
        <f t="shared" si="19"/>
        <v>N/A</v>
      </c>
      <c r="AM43" s="363"/>
      <c r="AN43" s="363"/>
      <c r="AO43" s="363"/>
    </row>
    <row r="44" ht="14.25" customHeight="1">
      <c r="B44" s="439"/>
      <c r="C44" s="425"/>
      <c r="D44" s="426"/>
      <c r="E44" s="427"/>
      <c r="F44" s="428"/>
      <c r="G44" s="432"/>
      <c r="H44" s="429"/>
      <c r="I44" s="428"/>
      <c r="J44" s="432"/>
      <c r="K44" s="429"/>
      <c r="L44" s="428"/>
      <c r="M44" s="432"/>
      <c r="N44" s="427"/>
      <c r="O44" s="428"/>
      <c r="P44" s="432"/>
      <c r="Q44" s="429"/>
      <c r="R44" s="420" t="str">
        <f t="shared" si="10"/>
        <v>N/A</v>
      </c>
      <c r="S44" s="20"/>
      <c r="T44" s="428"/>
      <c r="U44" s="432"/>
      <c r="V44" s="429"/>
      <c r="W44" s="428"/>
      <c r="X44" s="432"/>
      <c r="Y44" s="427"/>
      <c r="Z44" s="428"/>
      <c r="AA44" s="432"/>
      <c r="AB44" s="429"/>
      <c r="AC44" s="428"/>
      <c r="AD44" s="432"/>
      <c r="AE44" s="429"/>
      <c r="AF44" s="428"/>
      <c r="AG44" s="432"/>
      <c r="AH44" s="436"/>
      <c r="AI44" s="420" t="str">
        <f t="shared" si="16"/>
        <v>N/A</v>
      </c>
      <c r="AJ44" s="422" t="str">
        <f t="shared" si="17"/>
        <v>N/A</v>
      </c>
      <c r="AK44" s="422" t="str">
        <f t="shared" si="18"/>
        <v>N/A</v>
      </c>
      <c r="AL44" s="423" t="str">
        <f t="shared" si="19"/>
        <v>N/A</v>
      </c>
      <c r="AM44" s="363"/>
      <c r="AN44" s="363"/>
      <c r="AO44" s="363"/>
    </row>
    <row r="45" ht="14.25" customHeight="1">
      <c r="B45" s="439"/>
      <c r="C45" s="425"/>
      <c r="D45" s="426"/>
      <c r="E45" s="427"/>
      <c r="F45" s="428"/>
      <c r="G45" s="432"/>
      <c r="H45" s="429"/>
      <c r="I45" s="428"/>
      <c r="J45" s="432"/>
      <c r="K45" s="429"/>
      <c r="L45" s="428"/>
      <c r="M45" s="432"/>
      <c r="N45" s="427"/>
      <c r="O45" s="428"/>
      <c r="P45" s="432"/>
      <c r="Q45" s="429"/>
      <c r="R45" s="420" t="str">
        <f t="shared" si="10"/>
        <v>N/A</v>
      </c>
      <c r="S45" s="20"/>
      <c r="T45" s="428"/>
      <c r="U45" s="432"/>
      <c r="V45" s="429"/>
      <c r="W45" s="428"/>
      <c r="X45" s="432"/>
      <c r="Y45" s="427"/>
      <c r="Z45" s="428"/>
      <c r="AA45" s="432"/>
      <c r="AB45" s="429"/>
      <c r="AC45" s="428"/>
      <c r="AD45" s="432"/>
      <c r="AE45" s="429"/>
      <c r="AF45" s="428"/>
      <c r="AG45" s="432"/>
      <c r="AH45" s="436"/>
      <c r="AI45" s="420" t="str">
        <f t="shared" si="16"/>
        <v>N/A</v>
      </c>
      <c r="AJ45" s="422" t="str">
        <f t="shared" si="17"/>
        <v>N/A</v>
      </c>
      <c r="AK45" s="422" t="str">
        <f t="shared" si="18"/>
        <v>N/A</v>
      </c>
      <c r="AL45" s="423" t="str">
        <f t="shared" si="19"/>
        <v>N/A</v>
      </c>
      <c r="AM45" s="363"/>
      <c r="AN45" s="440" t="s">
        <v>277</v>
      </c>
      <c r="AO45" s="441"/>
    </row>
    <row r="46" ht="14.25" customHeight="1">
      <c r="B46" s="439"/>
      <c r="C46" s="425"/>
      <c r="D46" s="426"/>
      <c r="E46" s="427"/>
      <c r="F46" s="428"/>
      <c r="G46" s="432"/>
      <c r="H46" s="429"/>
      <c r="I46" s="428"/>
      <c r="J46" s="432"/>
      <c r="K46" s="429"/>
      <c r="L46" s="428"/>
      <c r="M46" s="432"/>
      <c r="N46" s="427"/>
      <c r="O46" s="428"/>
      <c r="P46" s="432"/>
      <c r="Q46" s="429"/>
      <c r="R46" s="420" t="str">
        <f t="shared" si="10"/>
        <v>N/A</v>
      </c>
      <c r="S46" s="20"/>
      <c r="T46" s="428"/>
      <c r="U46" s="432"/>
      <c r="V46" s="429"/>
      <c r="W46" s="428"/>
      <c r="X46" s="432"/>
      <c r="Y46" s="427"/>
      <c r="Z46" s="428"/>
      <c r="AA46" s="432"/>
      <c r="AB46" s="429"/>
      <c r="AC46" s="428"/>
      <c r="AD46" s="432"/>
      <c r="AE46" s="429"/>
      <c r="AF46" s="428"/>
      <c r="AG46" s="432"/>
      <c r="AH46" s="436"/>
      <c r="AI46" s="420" t="str">
        <f t="shared" si="16"/>
        <v>N/A</v>
      </c>
      <c r="AJ46" s="422" t="str">
        <f t="shared" si="17"/>
        <v>N/A</v>
      </c>
      <c r="AK46" s="422" t="str">
        <f t="shared" si="18"/>
        <v>N/A</v>
      </c>
      <c r="AL46" s="423" t="str">
        <f t="shared" si="19"/>
        <v>N/A</v>
      </c>
      <c r="AM46" s="363"/>
      <c r="AN46" s="387" t="s">
        <v>261</v>
      </c>
      <c r="AO46" s="442" t="s">
        <v>262</v>
      </c>
    </row>
    <row r="47" ht="43.5" customHeight="1">
      <c r="B47" s="443"/>
      <c r="C47" s="444"/>
      <c r="D47" s="445"/>
      <c r="E47" s="446"/>
      <c r="F47" s="447"/>
      <c r="G47" s="448"/>
      <c r="H47" s="449"/>
      <c r="I47" s="447"/>
      <c r="J47" s="448"/>
      <c r="K47" s="449"/>
      <c r="L47" s="447"/>
      <c r="M47" s="448"/>
      <c r="N47" s="446"/>
      <c r="O47" s="447"/>
      <c r="P47" s="448"/>
      <c r="Q47" s="449"/>
      <c r="R47" s="420" t="str">
        <f t="shared" si="10"/>
        <v>N/A</v>
      </c>
      <c r="S47" s="20"/>
      <c r="T47" s="447"/>
      <c r="U47" s="448"/>
      <c r="V47" s="446"/>
      <c r="W47" s="447"/>
      <c r="X47" s="448"/>
      <c r="Y47" s="446"/>
      <c r="Z47" s="447"/>
      <c r="AA47" s="448"/>
      <c r="AB47" s="446"/>
      <c r="AC47" s="447"/>
      <c r="AD47" s="448"/>
      <c r="AE47" s="446"/>
      <c r="AF47" s="447"/>
      <c r="AG47" s="448"/>
      <c r="AH47" s="446"/>
      <c r="AI47" s="420" t="str">
        <f t="shared" si="16"/>
        <v>N/A</v>
      </c>
      <c r="AJ47" s="422" t="str">
        <f t="shared" si="17"/>
        <v>N/A</v>
      </c>
      <c r="AK47" s="422" t="str">
        <f t="shared" si="18"/>
        <v>N/A</v>
      </c>
      <c r="AL47" s="423" t="str">
        <f t="shared" si="19"/>
        <v>N/A</v>
      </c>
      <c r="AM47" s="363"/>
      <c r="AN47" s="389" t="str">
        <f>IF(AO47="N/A","N/A",IF(AO47&lt;0,"Rabais",IF(AO47&gt;0,"Bonus","Ni rabais ni bonus")))</f>
        <v>Ni rabais ni bonus</v>
      </c>
      <c r="AO47" s="390">
        <f t="array" ref="AO47">IF(AND(EXACT(AL31:AL47,"N/A")),"N/A",MEDIAN(IF(ISNUMBER(AI31:AI47),AL31:AL47)))</f>
        <v>0</v>
      </c>
      <c r="AP47" s="363"/>
    </row>
    <row r="48" ht="14.25" customHeight="1">
      <c r="R48" s="319"/>
      <c r="AM48" s="363"/>
      <c r="AN48" s="363"/>
      <c r="AO48" s="363"/>
      <c r="AP48" s="363"/>
    </row>
    <row r="49" ht="15.0" customHeight="1">
      <c r="AI49" s="247"/>
      <c r="AM49" s="363"/>
      <c r="AN49" s="363"/>
      <c r="AO49" s="363"/>
      <c r="AP49" s="363"/>
    </row>
    <row r="50" ht="14.25" customHeight="1">
      <c r="B50" s="31" t="s">
        <v>278</v>
      </c>
    </row>
    <row r="51" ht="15.0" customHeight="1"/>
    <row r="52" ht="14.25" customHeight="1">
      <c r="B52" s="365" t="s">
        <v>279</v>
      </c>
      <c r="C52" s="366"/>
      <c r="D52" s="366"/>
      <c r="E52" s="366"/>
    </row>
    <row r="53" ht="75.0" customHeight="1">
      <c r="B53" s="369" t="s">
        <v>226</v>
      </c>
      <c r="C53" s="450" t="s">
        <v>280</v>
      </c>
      <c r="D53" s="372" t="s">
        <v>281</v>
      </c>
      <c r="E53" s="372" t="s">
        <v>282</v>
      </c>
      <c r="I53" s="451" t="s">
        <v>261</v>
      </c>
      <c r="J53" s="452" t="s">
        <v>262</v>
      </c>
    </row>
    <row r="54" ht="14.25" customHeight="1">
      <c r="B54" s="126" t="s">
        <v>97</v>
      </c>
      <c r="C54" s="453">
        <v>79.0</v>
      </c>
      <c r="D54" s="433">
        <v>0.39</v>
      </c>
      <c r="E54" s="432"/>
      <c r="I54" s="454" t="str">
        <f>IF(J54="-","-",IF(OR(C58-C54&lt;0,D58-D54&lt;0,E58-E54&lt;0),"Rabais",IF(AND(C58=C54, D58=D54, E58=E54),"Ni rabais ni bonus", "Bonus")))</f>
        <v>Ni rabais ni bonus</v>
      </c>
      <c r="J54" s="455">
        <f>IF(AND(ISBLANK(C58),ISBLANK(D58),ISBLANK(E58),ISBLANK(C54),ISBLANK(D54),ISBLANK(E54)),"-",SUM(IF(OR(C58-C54&lt;0,D58-D54&lt;0,E58-E54&lt;0),-0.3,),IF(OR(C58-C54&gt;0,D58-D54&gt;0,E58-E54&gt;0),0.1)))</f>
        <v>0</v>
      </c>
    </row>
    <row r="55" ht="14.25" customHeight="1"/>
    <row r="56" ht="14.25" customHeight="1">
      <c r="B56" s="365" t="s">
        <v>283</v>
      </c>
      <c r="C56" s="366"/>
      <c r="D56" s="366"/>
      <c r="E56" s="366"/>
      <c r="I56" s="7"/>
    </row>
    <row r="57" ht="75.75" customHeight="1">
      <c r="B57" s="369" t="s">
        <v>226</v>
      </c>
      <c r="C57" s="372" t="s">
        <v>280</v>
      </c>
      <c r="D57" s="372" t="s">
        <v>281</v>
      </c>
      <c r="E57" s="372" t="s">
        <v>282</v>
      </c>
      <c r="K57" s="14"/>
    </row>
    <row r="58" ht="14.25" customHeight="1">
      <c r="B58" s="126" t="s">
        <v>209</v>
      </c>
      <c r="C58" s="433">
        <v>79.0</v>
      </c>
      <c r="D58" s="433">
        <v>0.39</v>
      </c>
      <c r="E58" s="432"/>
    </row>
    <row r="59" ht="14.25" customHeight="1"/>
    <row r="60" ht="14.25" customHeight="1">
      <c r="O60" s="456" t="s">
        <v>262</v>
      </c>
    </row>
    <row r="61" ht="14.25" customHeight="1">
      <c r="B61" s="457" t="s">
        <v>284</v>
      </c>
      <c r="L61" s="458"/>
      <c r="O61" s="459"/>
    </row>
    <row r="62" ht="14.25" customHeight="1">
      <c r="L62" s="458"/>
      <c r="M62" s="321" t="s">
        <v>285</v>
      </c>
      <c r="O62" s="460"/>
    </row>
    <row r="63" ht="14.25" customHeight="1"/>
    <row r="64" ht="14.25" customHeight="1">
      <c r="B64" s="321" t="s">
        <v>286</v>
      </c>
      <c r="M64" s="461" t="s">
        <v>205</v>
      </c>
      <c r="O64" s="455">
        <f>IF(ISBLANK(M64),"-",IF(M64="O",-0.2,0))</f>
        <v>0</v>
      </c>
    </row>
    <row r="65" ht="14.25" customHeight="1"/>
    <row r="66" ht="14.25" customHeight="1">
      <c r="B66" s="321" t="s">
        <v>287</v>
      </c>
      <c r="M66" s="461" t="s">
        <v>205</v>
      </c>
      <c r="O66" s="455">
        <f>IF(ISBLANK(M66),"-",IF(M66="O",-0.2,0))</f>
        <v>0</v>
      </c>
    </row>
    <row r="67" ht="14.25" customHeight="1"/>
    <row r="68" ht="14.25" customHeight="1"/>
    <row r="69" ht="14.25" customHeight="1"/>
    <row r="70" ht="14.25" customHeight="1"/>
    <row r="71" ht="14.25" customHeight="1">
      <c r="B71" s="462" t="s">
        <v>288</v>
      </c>
    </row>
    <row r="72" ht="14.25" customHeight="1"/>
    <row r="73" ht="14.25" customHeight="1"/>
    <row r="74" ht="81.0" customHeight="1">
      <c r="C74" s="463" t="s">
        <v>289</v>
      </c>
      <c r="D74" s="463" t="s">
        <v>262</v>
      </c>
    </row>
    <row r="75" ht="14.25" customHeight="1">
      <c r="C75" s="464" t="str">
        <f>IF(D75="-","-",IF(D75&gt;0, "Bonus", IF(D75&lt;0,"Rabais","Ni rabais ni bonus")))</f>
        <v>Ni rabais ni bonus</v>
      </c>
      <c r="D75" s="465">
        <f>IF(SUM(D16:H18,O16:S18,E31:E47,H31:H47,K31:K47,N31:N47,Q31:Q47,V31:V47,Y31:Y47,AB31:AB47,AE31:AE47,AH31:AH47,)=0,"-",(IF('SUIVI RABAIS PRODUCTION ET C '!$AN$21&lt;&gt;"Ni rabais ni bonus",'SUIVI RABAIS PRODUCTION ET C '!$AO$21,0)+IF('SUIVI RABAIS PRODUCTION ET C '!$I$54&lt;&gt;"Ni rabais ni bonus",'SUIVI RABAIS PRODUCTION ET C '!$J$54,0))+IF('SUIVI RABAIS PRODUCTION ET C '!$O$64&lt;&gt;"/",'SUIVI RABAIS PRODUCTION ET C '!$O$64,0)+IF('SUIVI RABAIS PRODUCTION ET C '!$O$66&lt;&gt;"/",'SUIVI RABAIS PRODUCTION ET C '!$O$66,0))</f>
        <v>0</v>
      </c>
    </row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6">
    <mergeCell ref="AI28:AI30"/>
    <mergeCell ref="AJ28:AJ30"/>
    <mergeCell ref="B50:L51"/>
    <mergeCell ref="O60:O62"/>
    <mergeCell ref="B61:K62"/>
    <mergeCell ref="B71:Q72"/>
    <mergeCell ref="AK28:AK30"/>
    <mergeCell ref="AL28:AL30"/>
    <mergeCell ref="AN45:AO45"/>
    <mergeCell ref="B1:K2"/>
    <mergeCell ref="B5:X5"/>
    <mergeCell ref="B13:X13"/>
    <mergeCell ref="Y19:Z19"/>
    <mergeCell ref="AN19:AO19"/>
    <mergeCell ref="B27:X27"/>
    <mergeCell ref="R28:R30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2018-08-24T08:28:57Z</dcterms:created>
  <dc:creator>Mathilde Scheuer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0x0101002C7E1CFF655280409104242688CE3B2D</vt:lpwstr>
  </property>
  <property fmtid="{D5CDD505-2E9C-101B-9397-08002B2CF9AE}" pid="3" name="MediaServiceImageTags">
    <vt:lpwstr/>
  </property>
</Properties>
</file>